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Mrig Analytics\Development\mrigAnalytics\interface\"/>
    </mc:Choice>
  </mc:AlternateContent>
  <bookViews>
    <workbookView xWindow="0" yWindow="0" windowWidth="20490" windowHeight="7800" tabRatio="831" firstSheet="7" activeTab="8"/>
  </bookViews>
  <sheets>
    <sheet name="Trade" sheetId="1" r:id="rId1"/>
    <sheet name="ZeroDha Ledger" sheetId="19" r:id="rId2"/>
    <sheet name="Market" sheetId="9" r:id="rId3"/>
    <sheet name="Punting -&gt;&gt;" sheetId="6" r:id="rId4"/>
    <sheet name="Option_Traders" sheetId="5" r:id="rId5"/>
    <sheet name="Option Wheel -&gt;&gt;" sheetId="13" r:id="rId6"/>
    <sheet name="Stock Fundamentals" sheetId="15" r:id="rId7"/>
    <sheet name="Option_Wheel Analysis" sheetId="10" r:id="rId8"/>
    <sheet name="Iron Butterfly Condor -&gt;&gt;" sheetId="23" r:id="rId9"/>
    <sheet name="Iron ButterflyCondor Analysis" sheetId="21" r:id="rId10"/>
    <sheet name="Sheet1" sheetId="26" r:id="rId11"/>
    <sheet name="Swing Futures" sheetId="24" r:id="rId12"/>
    <sheet name="Lots" sheetId="11" r:id="rId13"/>
    <sheet name="Reference" sheetId="3" r:id="rId14"/>
    <sheet name="Rough Analysis" sheetId="25" r:id="rId15"/>
  </sheets>
  <functionGroups builtInGroupCount="18">
    <functionGroup name="ObjectHandler"/>
  </functionGroups>
  <definedNames>
    <definedName name="_xlnm._FilterDatabase" localSheetId="8" hidden="1">'Iron Butterfly Condor -&gt;&gt;'!$A$7:$BG$434</definedName>
    <definedName name="_xlnm._FilterDatabase" localSheetId="12" hidden="1">Lots!$A$1:$Q$177</definedName>
    <definedName name="_xlnm._FilterDatabase" localSheetId="13" hidden="1">Reference!$A$14:$H$76</definedName>
    <definedName name="NIFTY_DIVYLD">Reference!$S$2</definedName>
    <definedName name="RISKFREE_RATE">Reference!$R$2</definedName>
  </definedNames>
  <calcPr calcId="162913" calcMode="manual" calcCompleted="0" calcOnSave="0"/>
  <pivotCaches>
    <pivotCache cacheId="0" r:id="rId16"/>
  </pivotCaches>
  <extLst>
    <ext xmlns:x14="http://schemas.microsoft.com/office/spreadsheetml/2009/9/main" uri="{8193D73E-4604-4355-AFF4-8A2333D13BE4}">
      <x14:definedNames>
        <x14:definedName name="argcheck">
          <x14:argumentDescriptions count="1">
            <x14:argumentDescription index="0">Positional argument 1</x14:argumentDescription>
          </x14:argumentDescriptions>
        </x14:definedName>
        <x14:definedName name="bondAnalytics">
          <x14:argumentDescriptions count="1">
            <x14:argumentDescription index="0">Positional argument 1</x14:argumentDescription>
          </x14:argumentDescriptions>
        </x14:definedName>
        <x14:definedName name="CORREL2">
          <x14:argumentDescriptions count="1">
            <x14:argumentDescription index="0">Positional argument 1</x14:argumentDescription>
          </x14:argumentDescriptions>
        </x14:definedName>
        <x14:definedName name="mrigxl_Analytics">
          <x14:argumentDescriptions count="2">
            <x14:argumentDescription index="0">Positional argument 1</x14:argumentDescription>
            <x14:argumentDescription index="1">Positional argument 2</x14:argumentDescription>
          </x14:argumentDescriptions>
        </x14:definedName>
        <x14:definedName name="mrigxl_avg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ear_call_spread">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igmoneyzack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ond">
          <x14:argumentDescriptions count="2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 index="19">Positional argument 20</x14:argumentDescription>
            <x14:argumentDescription index="20">Positional argument 21</x14:argumentDescription>
            <x14:argumentDescription index="21">Positional argument 22</x14:argumentDescription>
            <x14:argumentDescription index="22">Positional argument 23</x14:argumentDescription>
            <x14:argumentDescription index="23">Positional argument 24</x14:argumentDescription>
          </x14:argumentDescriptions>
        </x14:definedName>
        <x14:definedName name="mrigxl_bull_put_spread">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CapFloor">
          <x14:argumentDescriptions count="1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s>
        </x14:definedName>
        <x14:definedName name="mrigxl_CapFloorVolatilitySurfac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ConstantVolatilityCurve">
          <x14:argumentDescriptions count="1">
            <x14:argumentDescription index="0">Positional argument 1</x14:argumentDescription>
          </x14:argumentDescriptions>
        </x14:definedName>
        <x14:definedName name="mrigxl_covered_call">
          <x14:argumentDescriptions count="1">
            <x14:argumentDescription index="0">Positional argument 1</x14:argumentDescription>
          </x14:argumentDescriptions>
        </x14:definedName>
        <x14:definedName name="mrigxl_db_crude">
          <x14:argumentDescriptions count="2">
            <x14:argumentDescription index="0">Positional argument 1</x14:argumentDescription>
            <x14:argumentDescription index="1">Positional argument 2</x14:argumentDescription>
          </x14:argumentDescriptions>
        </x14:definedName>
        <x14:definedName name="mrigxl_db_fx">
          <x14:argumentDescriptions count="2">
            <x14:argumentDescription index="0">Positional argument 1</x14:argumentDescription>
            <x14:argumentDescription index="1">Positional argument 2</x14:argumentDescription>
          </x14:argumentDescriptions>
        </x14:definedName>
        <x14:definedName name="mrigxl_db_gold">
          <x14:argumentDescriptions count="2">
            <x14:argumentDescription index="0">Positional argument 1</x14:argumentDescription>
            <x14:argumentDescription index="1">Positional argument 2</x14:argumentDescription>
          </x14:argumentDescriptions>
        </x14:definedName>
        <x14:definedName name="mrigxl_db_nifty">
          <x14:argumentDescriptions count="2">
            <x14:argumentDescription index="0">Positional argument 1</x14:argumentDescription>
            <x14:argumentDescription index="1">Positional argument 2</x14:argumentDescription>
          </x14:argumentDescriptions>
        </x14:definedName>
        <x14:definedName name="mrigxl_db_rates">
          <x14:argumentDescriptions count="2">
            <x14:argumentDescription index="0">Positional argument 1</x14:argumentDescription>
            <x14:argumentDescription index="1">Positional argument 2</x14:argumentDescription>
          </x14:argumentDescriptions>
        </x14:definedName>
        <x14:definedName name="mrigxl_FlatDividendYield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FlatForwardYieldCurv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FlatVolatility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IndexFuturesQuot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etIndexOptionQuote">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rigxl_getIndexQuote">
          <x14:argumentDescriptions count="1">
            <x14:argumentDescription index="0">Positional argument 1</x14:argumentDescription>
          </x14:argumentDescriptions>
        </x14:definedName>
        <x14:definedName name="mrigxl_getMFNAV">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getMFNAV1">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etOptionData">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rigxl_getStockData">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StockFuturesQuot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etStockOptionQuote">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rigxl_getStockQuote">
          <x14:argumentDescriptions count="2">
            <x14:argumentDescription index="0">Positional argument 1</x14:argumentDescription>
            <x14:argumentDescription index="1">Positional argument 2</x14:argumentDescription>
          </x14:argumentDescriptions>
        </x14:definedName>
        <x14:definedName name="mrigxl_growthincom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IRR">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Libor">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max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high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ifty_sector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Option">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quote">
          <x14:argumentDescriptions count="1">
            <x14:argumentDescription index="0">Positional argument 1</x14:argumentDescription>
          </x14:argumentDescriptions>
        </x14:definedName>
        <x14:definedName name="mrigxl_ratePlot">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ector_return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mallcapgrowth">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SpotZeroYieldCurv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stockquote">
          <x14:argumentDescriptions count="1">
            <x14:argumentDescription index="0">Positional argument 1</x14:argumentDescription>
          </x14:argumentDescriptions>
        </x14:definedName>
        <x14:definedName name="mrigxl_stored_strategies">
          <x14:argumentDescriptions count="1">
            <x14:argumentDescription index="0">Positional argument 1</x14:argumentDescription>
          </x14:argumentDescriptions>
        </x14:definedName>
        <x14:definedName name="mrigxl_Swap">
          <x14:argumentDescriptions count="1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s>
        </x14:definedName>
        <x14:definedName name="mrigxl_taf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top_mf_holding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volSurface">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zerodha">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yplot">
          <x14:argumentDescriptions count="1">
            <x14:argumentDescription index="0">Positional argument 1</x14:argumentDescription>
          </x14:argumentDescriptions>
        </x14:definedName>
        <x14:definedName name="setPricing">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87" i="23" l="1"/>
  <c r="AE434" i="23" l="1"/>
  <c r="AD434" i="23"/>
  <c r="AC434" i="23" s="1"/>
  <c r="U434" i="23" s="1"/>
  <c r="V434" i="23"/>
  <c r="W434" i="23" s="1"/>
  <c r="Q434" i="23" s="1"/>
  <c r="T434" i="23"/>
  <c r="S434" i="23"/>
  <c r="P434" i="23"/>
  <c r="AJ434" i="23" s="1"/>
  <c r="O434" i="23"/>
  <c r="N434" i="23"/>
  <c r="M434" i="23"/>
  <c r="AJ433" i="23"/>
  <c r="AE433" i="23"/>
  <c r="AD433" i="23"/>
  <c r="V433" i="23"/>
  <c r="W433" i="23" s="1"/>
  <c r="Q433" i="23" s="1"/>
  <c r="T433" i="23"/>
  <c r="S433" i="23"/>
  <c r="P433" i="23"/>
  <c r="AH433" i="23" s="1"/>
  <c r="O433" i="23"/>
  <c r="N433" i="23"/>
  <c r="M433" i="23"/>
  <c r="AE432" i="23"/>
  <c r="AD432" i="23"/>
  <c r="V432" i="23"/>
  <c r="W432" i="23" s="1"/>
  <c r="Q432" i="23" s="1"/>
  <c r="T432" i="23"/>
  <c r="S432" i="23"/>
  <c r="P432" i="23"/>
  <c r="AH432" i="23" s="1"/>
  <c r="O432" i="23"/>
  <c r="N432" i="23"/>
  <c r="M432" i="23"/>
  <c r="AC433" i="23"/>
  <c r="AC432" i="23"/>
  <c r="U432" i="23" l="1"/>
  <c r="U433" i="23"/>
  <c r="AJ432" i="23"/>
  <c r="AA434" i="23"/>
  <c r="X434" i="23"/>
  <c r="AB434" i="23"/>
  <c r="AH434" i="23"/>
  <c r="Y434" i="23"/>
  <c r="Z434" i="23" s="1"/>
  <c r="R434" i="23" s="1"/>
  <c r="AE431" i="23"/>
  <c r="AD431" i="23"/>
  <c r="V431" i="23"/>
  <c r="W431" i="23" s="1"/>
  <c r="Q431" i="23" s="1"/>
  <c r="S431" i="23"/>
  <c r="P431" i="23"/>
  <c r="AJ431" i="23" s="1"/>
  <c r="O431" i="23"/>
  <c r="N431" i="23"/>
  <c r="M431" i="23"/>
  <c r="AE430" i="23"/>
  <c r="AD430" i="23"/>
  <c r="V430" i="23"/>
  <c r="W430" i="23" s="1"/>
  <c r="Q430" i="23" s="1"/>
  <c r="S430" i="23"/>
  <c r="P430" i="23"/>
  <c r="AH430" i="23" s="1"/>
  <c r="O430" i="23"/>
  <c r="N430" i="23"/>
  <c r="M430" i="23"/>
  <c r="AE429" i="23"/>
  <c r="AD429" i="23"/>
  <c r="V429" i="23"/>
  <c r="W429" i="23" s="1"/>
  <c r="Q429" i="23" s="1"/>
  <c r="S429" i="23"/>
  <c r="P429" i="23"/>
  <c r="AJ429" i="23" s="1"/>
  <c r="O429" i="23"/>
  <c r="N429" i="23"/>
  <c r="M429" i="23"/>
  <c r="AE428" i="23"/>
  <c r="AD428" i="23"/>
  <c r="V428" i="23"/>
  <c r="W428" i="23" s="1"/>
  <c r="Q428" i="23" s="1"/>
  <c r="S428" i="23"/>
  <c r="P428" i="23"/>
  <c r="AH428" i="23" s="1"/>
  <c r="O428" i="23"/>
  <c r="N428" i="23"/>
  <c r="M428" i="23"/>
  <c r="AA432" i="23"/>
  <c r="X432" i="23"/>
  <c r="Y432" i="23"/>
  <c r="AB432" i="23"/>
  <c r="AB433" i="23"/>
  <c r="Y433" i="23"/>
  <c r="AA433" i="23"/>
  <c r="X433" i="23"/>
  <c r="Z433" i="23" l="1"/>
  <c r="R433" i="23" s="1"/>
  <c r="Z432" i="23"/>
  <c r="R432" i="23" s="1"/>
  <c r="AJ428" i="23"/>
  <c r="AH429" i="23"/>
  <c r="AJ430" i="23"/>
  <c r="AH431" i="23"/>
  <c r="AE427" i="23"/>
  <c r="AD427" i="23"/>
  <c r="V427" i="23"/>
  <c r="W427" i="23" s="1"/>
  <c r="Q427" i="23" s="1"/>
  <c r="S427" i="23"/>
  <c r="P427" i="23"/>
  <c r="AJ427" i="23" s="1"/>
  <c r="O427" i="23"/>
  <c r="N427" i="23"/>
  <c r="M427" i="23"/>
  <c r="AE426" i="23"/>
  <c r="AD426" i="23"/>
  <c r="V426" i="23"/>
  <c r="W426" i="23" s="1"/>
  <c r="Q426" i="23" s="1"/>
  <c r="S426" i="23"/>
  <c r="P426" i="23"/>
  <c r="AH426" i="23" s="1"/>
  <c r="O426" i="23"/>
  <c r="N426" i="23"/>
  <c r="M426" i="23"/>
  <c r="AE425" i="23"/>
  <c r="AD425" i="23"/>
  <c r="AA425" i="23" s="1"/>
  <c r="AB425" i="23"/>
  <c r="V425" i="23"/>
  <c r="W425" i="23" s="1"/>
  <c r="S425" i="23"/>
  <c r="P425" i="23"/>
  <c r="AH425" i="23" s="1"/>
  <c r="O425" i="23"/>
  <c r="N425" i="23"/>
  <c r="M425" i="23"/>
  <c r="Y425" i="23" l="1"/>
  <c r="Z425" i="23" s="1"/>
  <c r="AC425" i="23"/>
  <c r="U425" i="23" s="1"/>
  <c r="AJ426" i="23"/>
  <c r="X425" i="23"/>
  <c r="Q425" i="23"/>
  <c r="AJ425" i="23"/>
  <c r="AH427" i="23"/>
  <c r="AE424" i="23"/>
  <c r="AD424" i="23"/>
  <c r="AB424" i="23" s="1"/>
  <c r="V424" i="23"/>
  <c r="W424" i="23" s="1"/>
  <c r="Q424" i="23" s="1"/>
  <c r="S424" i="23"/>
  <c r="P424" i="23"/>
  <c r="AH424" i="23" s="1"/>
  <c r="O424" i="23"/>
  <c r="N424" i="23"/>
  <c r="M424" i="23"/>
  <c r="AE423" i="23"/>
  <c r="AD423" i="23"/>
  <c r="V423" i="23"/>
  <c r="W423" i="23" s="1"/>
  <c r="Q423" i="23" s="1"/>
  <c r="S423" i="23"/>
  <c r="P423" i="23"/>
  <c r="AJ423" i="23" s="1"/>
  <c r="O423" i="23"/>
  <c r="N423" i="23"/>
  <c r="M423" i="23"/>
  <c r="AE422" i="23"/>
  <c r="AD422" i="23"/>
  <c r="V422" i="23"/>
  <c r="W422" i="23" s="1"/>
  <c r="Q422" i="23" s="1"/>
  <c r="S422" i="23"/>
  <c r="P422" i="23"/>
  <c r="AJ422" i="23" s="1"/>
  <c r="O422" i="23"/>
  <c r="N422" i="23"/>
  <c r="M422" i="23"/>
  <c r="AC424" i="23" l="1"/>
  <c r="U424" i="23" s="1"/>
  <c r="Y424" i="23"/>
  <c r="Z424" i="23" s="1"/>
  <c r="AJ424" i="23"/>
  <c r="AH423" i="23"/>
  <c r="AH422" i="23"/>
  <c r="AA424" i="23"/>
  <c r="X424" i="23"/>
  <c r="P406" i="23"/>
  <c r="AJ406" i="23" s="1"/>
  <c r="AF3" i="23"/>
  <c r="AE3" i="23"/>
  <c r="AD3" i="23"/>
  <c r="AC3" i="23"/>
  <c r="AB3" i="23"/>
  <c r="AA3" i="23"/>
  <c r="Z3" i="23"/>
  <c r="Y3" i="23"/>
  <c r="X3" i="23"/>
  <c r="W3" i="23"/>
  <c r="V3" i="23"/>
  <c r="U3" i="23"/>
  <c r="T3" i="23"/>
  <c r="AF2" i="23"/>
  <c r="AE2" i="23"/>
  <c r="AD2" i="23"/>
  <c r="AC2" i="23"/>
  <c r="AB2" i="23"/>
  <c r="AA2" i="23"/>
  <c r="Z2" i="23"/>
  <c r="Y2" i="23"/>
  <c r="X2" i="23"/>
  <c r="W2" i="23"/>
  <c r="V2" i="23"/>
  <c r="U2" i="23"/>
  <c r="T2" i="23"/>
  <c r="V420" i="23"/>
  <c r="W420" i="23" s="1"/>
  <c r="Q420" i="23" s="1"/>
  <c r="V419" i="23"/>
  <c r="W419" i="23" s="1"/>
  <c r="Q419" i="23" s="1"/>
  <c r="V418" i="23"/>
  <c r="W418" i="23" s="1"/>
  <c r="Q418" i="23" s="1"/>
  <c r="V417" i="23"/>
  <c r="V416" i="23"/>
  <c r="W416" i="23" s="1"/>
  <c r="Q416" i="23" s="1"/>
  <c r="V415" i="23"/>
  <c r="W415" i="23" s="1"/>
  <c r="Q415" i="23" s="1"/>
  <c r="V414" i="23"/>
  <c r="W414" i="23" s="1"/>
  <c r="V413" i="23"/>
  <c r="W413" i="23" s="1"/>
  <c r="V412" i="23"/>
  <c r="W412" i="23" s="1"/>
  <c r="V411" i="23"/>
  <c r="W411" i="23" s="1"/>
  <c r="Q411" i="23" s="1"/>
  <c r="V410" i="23"/>
  <c r="W410" i="23" s="1"/>
  <c r="Q410" i="23" s="1"/>
  <c r="V409" i="23"/>
  <c r="W409" i="23" s="1"/>
  <c r="V408" i="23"/>
  <c r="W408" i="23" s="1"/>
  <c r="V407" i="23"/>
  <c r="W407" i="23" s="1"/>
  <c r="V406" i="23"/>
  <c r="W406" i="23" s="1"/>
  <c r="Q406" i="23" s="1"/>
  <c r="V405" i="23"/>
  <c r="V404" i="23"/>
  <c r="W404" i="23" s="1"/>
  <c r="V403" i="23"/>
  <c r="W403" i="23" s="1"/>
  <c r="V402" i="23"/>
  <c r="W402" i="23" s="1"/>
  <c r="Q402" i="23" s="1"/>
  <c r="V401" i="23"/>
  <c r="V400" i="23"/>
  <c r="W400" i="23" s="1"/>
  <c r="Q400" i="23" s="1"/>
  <c r="V399" i="23"/>
  <c r="W399" i="23" s="1"/>
  <c r="Q399" i="23" s="1"/>
  <c r="V398" i="23"/>
  <c r="W398" i="23" s="1"/>
  <c r="Q398" i="23" s="1"/>
  <c r="V397" i="23"/>
  <c r="V396" i="23"/>
  <c r="W396" i="23" s="1"/>
  <c r="Q396" i="23" s="1"/>
  <c r="V395" i="23"/>
  <c r="W395" i="23" s="1"/>
  <c r="V394" i="23"/>
  <c r="W394" i="23" s="1"/>
  <c r="V393" i="23"/>
  <c r="W393" i="23" s="1"/>
  <c r="V392" i="23"/>
  <c r="W392" i="23" s="1"/>
  <c r="V391" i="23"/>
  <c r="W391" i="23" s="1"/>
  <c r="V390" i="23"/>
  <c r="W390" i="23" s="1"/>
  <c r="V389" i="23"/>
  <c r="W389" i="23" s="1"/>
  <c r="V388" i="23"/>
  <c r="W388" i="23" s="1"/>
  <c r="V387" i="23"/>
  <c r="W387" i="23" s="1"/>
  <c r="V386" i="23"/>
  <c r="W386" i="23" s="1"/>
  <c r="V385" i="23"/>
  <c r="W385" i="23" s="1"/>
  <c r="V384" i="23"/>
  <c r="W384" i="23" s="1"/>
  <c r="V383" i="23"/>
  <c r="W383" i="23" s="1"/>
  <c r="V382" i="23"/>
  <c r="W382" i="23" s="1"/>
  <c r="V381" i="23"/>
  <c r="W381" i="23" s="1"/>
  <c r="V380" i="23"/>
  <c r="W380" i="23" s="1"/>
  <c r="V379" i="23"/>
  <c r="W379" i="23" s="1"/>
  <c r="V378" i="23"/>
  <c r="W378" i="23" s="1"/>
  <c r="V377" i="23"/>
  <c r="W377" i="23" s="1"/>
  <c r="V376" i="23"/>
  <c r="W376" i="23" s="1"/>
  <c r="V375" i="23"/>
  <c r="W375" i="23" s="1"/>
  <c r="V374" i="23"/>
  <c r="W374" i="23" s="1"/>
  <c r="V373" i="23"/>
  <c r="W373" i="23" s="1"/>
  <c r="V372" i="23"/>
  <c r="W372" i="23" s="1"/>
  <c r="V371" i="23"/>
  <c r="W371" i="23" s="1"/>
  <c r="V370" i="23"/>
  <c r="W370" i="23" s="1"/>
  <c r="V369" i="23"/>
  <c r="W369" i="23" s="1"/>
  <c r="V368" i="23"/>
  <c r="W368" i="23" s="1"/>
  <c r="V367" i="23"/>
  <c r="W367" i="23" s="1"/>
  <c r="V366" i="23"/>
  <c r="W366" i="23" s="1"/>
  <c r="V365" i="23"/>
  <c r="W365" i="23" s="1"/>
  <c r="V364" i="23"/>
  <c r="W364" i="23" s="1"/>
  <c r="V363" i="23"/>
  <c r="W363" i="23" s="1"/>
  <c r="V362" i="23"/>
  <c r="W362" i="23" s="1"/>
  <c r="V361" i="23"/>
  <c r="W361" i="23" s="1"/>
  <c r="V360" i="23"/>
  <c r="W360" i="23" s="1"/>
  <c r="V359" i="23"/>
  <c r="W359" i="23" s="1"/>
  <c r="V358" i="23"/>
  <c r="W358" i="23" s="1"/>
  <c r="V357" i="23"/>
  <c r="W357" i="23" s="1"/>
  <c r="V356" i="23"/>
  <c r="W356" i="23" s="1"/>
  <c r="V355" i="23"/>
  <c r="W355" i="23" s="1"/>
  <c r="V354" i="23"/>
  <c r="W354" i="23" s="1"/>
  <c r="V353" i="23"/>
  <c r="W353" i="23" s="1"/>
  <c r="V352" i="23"/>
  <c r="W352" i="23" s="1"/>
  <c r="V351" i="23"/>
  <c r="W351" i="23" s="1"/>
  <c r="V350" i="23"/>
  <c r="W350" i="23" s="1"/>
  <c r="V349" i="23"/>
  <c r="W349" i="23" s="1"/>
  <c r="V348" i="23"/>
  <c r="W348" i="23" s="1"/>
  <c r="V347" i="23"/>
  <c r="W347" i="23" s="1"/>
  <c r="V346" i="23"/>
  <c r="W346" i="23" s="1"/>
  <c r="V345" i="23"/>
  <c r="W345" i="23" s="1"/>
  <c r="V344" i="23"/>
  <c r="W344" i="23" s="1"/>
  <c r="V343" i="23"/>
  <c r="W343" i="23" s="1"/>
  <c r="V342" i="23"/>
  <c r="W342" i="23" s="1"/>
  <c r="V341" i="23"/>
  <c r="W341" i="23" s="1"/>
  <c r="V340" i="23"/>
  <c r="W340" i="23" s="1"/>
  <c r="V339" i="23"/>
  <c r="W339" i="23" s="1"/>
  <c r="V338" i="23"/>
  <c r="W338" i="23" s="1"/>
  <c r="V337" i="23"/>
  <c r="W337" i="23" s="1"/>
  <c r="V336" i="23"/>
  <c r="W336" i="23" s="1"/>
  <c r="V335" i="23"/>
  <c r="W335" i="23" s="1"/>
  <c r="V334" i="23"/>
  <c r="W334" i="23" s="1"/>
  <c r="V333" i="23"/>
  <c r="W333" i="23" s="1"/>
  <c r="V332" i="23"/>
  <c r="W332" i="23" s="1"/>
  <c r="V331" i="23"/>
  <c r="W331" i="23" s="1"/>
  <c r="V330" i="23"/>
  <c r="W330" i="23" s="1"/>
  <c r="V329" i="23"/>
  <c r="W329" i="23" s="1"/>
  <c r="V328" i="23"/>
  <c r="W328" i="23" s="1"/>
  <c r="V327" i="23"/>
  <c r="W327" i="23" s="1"/>
  <c r="V326" i="23"/>
  <c r="W326" i="23" s="1"/>
  <c r="V325" i="23"/>
  <c r="W325" i="23" s="1"/>
  <c r="V324" i="23"/>
  <c r="W324" i="23" s="1"/>
  <c r="V323" i="23"/>
  <c r="W323" i="23" s="1"/>
  <c r="V322" i="23"/>
  <c r="W322" i="23" s="1"/>
  <c r="V321" i="23"/>
  <c r="W321" i="23" s="1"/>
  <c r="V320" i="23"/>
  <c r="W320" i="23" s="1"/>
  <c r="V319" i="23"/>
  <c r="W319" i="23" s="1"/>
  <c r="V318" i="23"/>
  <c r="W318" i="23" s="1"/>
  <c r="V317" i="23"/>
  <c r="W317" i="23" s="1"/>
  <c r="V316" i="23"/>
  <c r="W316" i="23" s="1"/>
  <c r="V315" i="23"/>
  <c r="W315" i="23" s="1"/>
  <c r="V314" i="23"/>
  <c r="W314" i="23" s="1"/>
  <c r="V313" i="23"/>
  <c r="W313" i="23" s="1"/>
  <c r="V312" i="23"/>
  <c r="W312" i="23" s="1"/>
  <c r="V311" i="23"/>
  <c r="W311" i="23" s="1"/>
  <c r="V310" i="23"/>
  <c r="W310" i="23" s="1"/>
  <c r="V309" i="23"/>
  <c r="W309" i="23" s="1"/>
  <c r="V308" i="23"/>
  <c r="W308" i="23" s="1"/>
  <c r="V307" i="23"/>
  <c r="W307" i="23" s="1"/>
  <c r="V306" i="23"/>
  <c r="W306" i="23" s="1"/>
  <c r="V305" i="23"/>
  <c r="W305" i="23" s="1"/>
  <c r="V304" i="23"/>
  <c r="W304" i="23" s="1"/>
  <c r="V303" i="23"/>
  <c r="W303" i="23" s="1"/>
  <c r="V302" i="23"/>
  <c r="W302" i="23" s="1"/>
  <c r="V301" i="23"/>
  <c r="W301" i="23" s="1"/>
  <c r="V300" i="23"/>
  <c r="W300" i="23" s="1"/>
  <c r="V299" i="23"/>
  <c r="W299" i="23" s="1"/>
  <c r="V298" i="23"/>
  <c r="W298" i="23" s="1"/>
  <c r="V297" i="23"/>
  <c r="W297" i="23" s="1"/>
  <c r="V296" i="23"/>
  <c r="W296" i="23" s="1"/>
  <c r="V295" i="23"/>
  <c r="W295" i="23" s="1"/>
  <c r="V294" i="23"/>
  <c r="W294" i="23" s="1"/>
  <c r="V293" i="23"/>
  <c r="W293" i="23" s="1"/>
  <c r="V292" i="23"/>
  <c r="W292" i="23" s="1"/>
  <c r="V291" i="23"/>
  <c r="W291" i="23" s="1"/>
  <c r="V290" i="23"/>
  <c r="W290" i="23" s="1"/>
  <c r="V289" i="23"/>
  <c r="W289" i="23" s="1"/>
  <c r="V288" i="23"/>
  <c r="W288" i="23" s="1"/>
  <c r="V287" i="23"/>
  <c r="W287" i="23" s="1"/>
  <c r="V286" i="23"/>
  <c r="W286" i="23" s="1"/>
  <c r="V285" i="23"/>
  <c r="W285" i="23" s="1"/>
  <c r="V284" i="23"/>
  <c r="W284" i="23" s="1"/>
  <c r="V283" i="23"/>
  <c r="W283" i="23" s="1"/>
  <c r="V282" i="23"/>
  <c r="W282" i="23" s="1"/>
  <c r="V281" i="23"/>
  <c r="W281" i="23" s="1"/>
  <c r="V280" i="23"/>
  <c r="W280" i="23" s="1"/>
  <c r="V279" i="23"/>
  <c r="W279" i="23" s="1"/>
  <c r="V278" i="23"/>
  <c r="W278" i="23" s="1"/>
  <c r="V277" i="23"/>
  <c r="W277" i="23" s="1"/>
  <c r="V276" i="23"/>
  <c r="W276" i="23" s="1"/>
  <c r="V275" i="23"/>
  <c r="W275" i="23" s="1"/>
  <c r="V274" i="23"/>
  <c r="W274" i="23" s="1"/>
  <c r="V273" i="23"/>
  <c r="W273" i="23" s="1"/>
  <c r="V272" i="23"/>
  <c r="W272" i="23" s="1"/>
  <c r="V271" i="23"/>
  <c r="W271" i="23" s="1"/>
  <c r="V270" i="23"/>
  <c r="W270" i="23" s="1"/>
  <c r="V269" i="23"/>
  <c r="W269" i="23" s="1"/>
  <c r="V268" i="23"/>
  <c r="W268" i="23" s="1"/>
  <c r="V267" i="23"/>
  <c r="W267" i="23" s="1"/>
  <c r="V266" i="23"/>
  <c r="W266" i="23" s="1"/>
  <c r="V265" i="23"/>
  <c r="W265" i="23" s="1"/>
  <c r="V264" i="23"/>
  <c r="W264" i="23" s="1"/>
  <c r="V263" i="23"/>
  <c r="W263" i="23" s="1"/>
  <c r="V262" i="23"/>
  <c r="W262" i="23" s="1"/>
  <c r="V261" i="23"/>
  <c r="W261" i="23" s="1"/>
  <c r="V260" i="23"/>
  <c r="W260" i="23" s="1"/>
  <c r="V259" i="23"/>
  <c r="W259" i="23" s="1"/>
  <c r="V258" i="23"/>
  <c r="W258" i="23" s="1"/>
  <c r="V257" i="23"/>
  <c r="W257" i="23" s="1"/>
  <c r="V256" i="23"/>
  <c r="W256" i="23" s="1"/>
  <c r="V255" i="23"/>
  <c r="W255" i="23" s="1"/>
  <c r="V254" i="23"/>
  <c r="W254" i="23" s="1"/>
  <c r="V253" i="23"/>
  <c r="W253" i="23" s="1"/>
  <c r="V252" i="23"/>
  <c r="W252" i="23" s="1"/>
  <c r="V251" i="23"/>
  <c r="W251" i="23" s="1"/>
  <c r="V250" i="23"/>
  <c r="W250" i="23" s="1"/>
  <c r="V249" i="23"/>
  <c r="W249" i="23" s="1"/>
  <c r="V248" i="23"/>
  <c r="W248" i="23" s="1"/>
  <c r="V247" i="23"/>
  <c r="W247" i="23" s="1"/>
  <c r="V246" i="23"/>
  <c r="W246" i="23" s="1"/>
  <c r="V245" i="23"/>
  <c r="W245" i="23" s="1"/>
  <c r="V244" i="23"/>
  <c r="W244" i="23" s="1"/>
  <c r="V243" i="23"/>
  <c r="W243" i="23" s="1"/>
  <c r="V242" i="23"/>
  <c r="W242" i="23" s="1"/>
  <c r="V241" i="23"/>
  <c r="W241" i="23" s="1"/>
  <c r="V240" i="23"/>
  <c r="W240" i="23" s="1"/>
  <c r="V239" i="23"/>
  <c r="W239" i="23" s="1"/>
  <c r="V238" i="23"/>
  <c r="W238" i="23" s="1"/>
  <c r="V237" i="23"/>
  <c r="W237" i="23" s="1"/>
  <c r="V236" i="23"/>
  <c r="W236" i="23" s="1"/>
  <c r="V235" i="23"/>
  <c r="W235" i="23" s="1"/>
  <c r="V234" i="23"/>
  <c r="W234" i="23" s="1"/>
  <c r="V233" i="23"/>
  <c r="W233" i="23" s="1"/>
  <c r="V232" i="23"/>
  <c r="W232" i="23" s="1"/>
  <c r="V231" i="23"/>
  <c r="W231" i="23" s="1"/>
  <c r="V230" i="23"/>
  <c r="W230" i="23" s="1"/>
  <c r="V229" i="23"/>
  <c r="W229" i="23" s="1"/>
  <c r="V228" i="23"/>
  <c r="W228" i="23" s="1"/>
  <c r="V227" i="23"/>
  <c r="W227" i="23" s="1"/>
  <c r="V226" i="23"/>
  <c r="W226" i="23" s="1"/>
  <c r="V225" i="23"/>
  <c r="W225" i="23" s="1"/>
  <c r="V224" i="23"/>
  <c r="W224" i="23" s="1"/>
  <c r="V223" i="23"/>
  <c r="W223" i="23" s="1"/>
  <c r="V222" i="23"/>
  <c r="W222" i="23" s="1"/>
  <c r="V221" i="23"/>
  <c r="W221" i="23" s="1"/>
  <c r="V220" i="23"/>
  <c r="W220" i="23" s="1"/>
  <c r="V219" i="23"/>
  <c r="W219" i="23" s="1"/>
  <c r="V218" i="23"/>
  <c r="W218" i="23" s="1"/>
  <c r="V217" i="23"/>
  <c r="W217" i="23" s="1"/>
  <c r="V216" i="23"/>
  <c r="W216" i="23" s="1"/>
  <c r="V215" i="23"/>
  <c r="W215" i="23" s="1"/>
  <c r="V214" i="23"/>
  <c r="W214" i="23" s="1"/>
  <c r="V213" i="23"/>
  <c r="W213" i="23" s="1"/>
  <c r="V212" i="23"/>
  <c r="W212" i="23" s="1"/>
  <c r="V211" i="23"/>
  <c r="W211" i="23" s="1"/>
  <c r="V210" i="23"/>
  <c r="W210" i="23" s="1"/>
  <c r="V209" i="23"/>
  <c r="W209" i="23" s="1"/>
  <c r="V208" i="23"/>
  <c r="W208" i="23" s="1"/>
  <c r="V207" i="23"/>
  <c r="W207" i="23" s="1"/>
  <c r="V206" i="23"/>
  <c r="W206" i="23" s="1"/>
  <c r="V205" i="23"/>
  <c r="W205" i="23" s="1"/>
  <c r="V204" i="23"/>
  <c r="W204" i="23" s="1"/>
  <c r="V203" i="23"/>
  <c r="W203" i="23" s="1"/>
  <c r="V202" i="23"/>
  <c r="W202" i="23" s="1"/>
  <c r="V201" i="23"/>
  <c r="W201" i="23" s="1"/>
  <c r="V200" i="23"/>
  <c r="W200" i="23" s="1"/>
  <c r="V199" i="23"/>
  <c r="W199" i="23" s="1"/>
  <c r="V198" i="23"/>
  <c r="W198" i="23" s="1"/>
  <c r="V197" i="23"/>
  <c r="W197" i="23" s="1"/>
  <c r="V196" i="23"/>
  <c r="W196" i="23" s="1"/>
  <c r="V195" i="23"/>
  <c r="W195" i="23" s="1"/>
  <c r="V194" i="23"/>
  <c r="W194" i="23" s="1"/>
  <c r="V193" i="23"/>
  <c r="W193" i="23" s="1"/>
  <c r="V192" i="23"/>
  <c r="W192" i="23" s="1"/>
  <c r="V191" i="23"/>
  <c r="W191" i="23" s="1"/>
  <c r="V190" i="23"/>
  <c r="W190" i="23" s="1"/>
  <c r="V189" i="23"/>
  <c r="W189" i="23" s="1"/>
  <c r="V188" i="23"/>
  <c r="W188" i="23" s="1"/>
  <c r="V187" i="23"/>
  <c r="W187" i="23" s="1"/>
  <c r="V186" i="23"/>
  <c r="W186" i="23" s="1"/>
  <c r="V185" i="23"/>
  <c r="W185" i="23" s="1"/>
  <c r="V184" i="23"/>
  <c r="W184" i="23" s="1"/>
  <c r="V183" i="23"/>
  <c r="W183" i="23" s="1"/>
  <c r="V182" i="23"/>
  <c r="W182" i="23" s="1"/>
  <c r="V181" i="23"/>
  <c r="W181" i="23" s="1"/>
  <c r="V180" i="23"/>
  <c r="W180" i="23" s="1"/>
  <c r="V179" i="23"/>
  <c r="W179" i="23" s="1"/>
  <c r="V178" i="23"/>
  <c r="W178" i="23" s="1"/>
  <c r="V177" i="23"/>
  <c r="W177" i="23" s="1"/>
  <c r="V176" i="23"/>
  <c r="W176" i="23" s="1"/>
  <c r="V175" i="23"/>
  <c r="W175" i="23" s="1"/>
  <c r="V174" i="23"/>
  <c r="W174" i="23" s="1"/>
  <c r="V173" i="23"/>
  <c r="W173" i="23" s="1"/>
  <c r="V172" i="23"/>
  <c r="W172" i="23" s="1"/>
  <c r="V171" i="23"/>
  <c r="W171" i="23" s="1"/>
  <c r="V170" i="23"/>
  <c r="W170" i="23" s="1"/>
  <c r="V169" i="23"/>
  <c r="W169" i="23" s="1"/>
  <c r="V168" i="23"/>
  <c r="W168" i="23" s="1"/>
  <c r="V167" i="23"/>
  <c r="W167" i="23" s="1"/>
  <c r="V166" i="23"/>
  <c r="W166" i="23" s="1"/>
  <c r="V165" i="23"/>
  <c r="W165" i="23" s="1"/>
  <c r="V164" i="23"/>
  <c r="W164" i="23" s="1"/>
  <c r="V163" i="23"/>
  <c r="W163" i="23" s="1"/>
  <c r="V162" i="23"/>
  <c r="W162" i="23" s="1"/>
  <c r="V161" i="23"/>
  <c r="W161" i="23" s="1"/>
  <c r="V160" i="23"/>
  <c r="W160" i="23" s="1"/>
  <c r="V159" i="23"/>
  <c r="W159" i="23" s="1"/>
  <c r="V158" i="23"/>
  <c r="W158" i="23" s="1"/>
  <c r="V157" i="23"/>
  <c r="W157" i="23" s="1"/>
  <c r="V156" i="23"/>
  <c r="W156" i="23" s="1"/>
  <c r="V155" i="23"/>
  <c r="W155" i="23" s="1"/>
  <c r="V154" i="23"/>
  <c r="W154" i="23" s="1"/>
  <c r="V153" i="23"/>
  <c r="W153" i="23" s="1"/>
  <c r="V152" i="23"/>
  <c r="W152" i="23" s="1"/>
  <c r="V151" i="23"/>
  <c r="W151" i="23" s="1"/>
  <c r="V150" i="23"/>
  <c r="W150" i="23" s="1"/>
  <c r="V149" i="23"/>
  <c r="W149" i="23" s="1"/>
  <c r="V148" i="23"/>
  <c r="W148" i="23" s="1"/>
  <c r="V147" i="23"/>
  <c r="W147" i="23" s="1"/>
  <c r="V146" i="23"/>
  <c r="W146" i="23" s="1"/>
  <c r="V145" i="23"/>
  <c r="W145" i="23" s="1"/>
  <c r="V144" i="23"/>
  <c r="W144" i="23" s="1"/>
  <c r="V143" i="23"/>
  <c r="W143" i="23" s="1"/>
  <c r="V142" i="23"/>
  <c r="W142" i="23" s="1"/>
  <c r="V141" i="23"/>
  <c r="W141" i="23" s="1"/>
  <c r="V140" i="23"/>
  <c r="W140" i="23" s="1"/>
  <c r="V139" i="23"/>
  <c r="W139" i="23" s="1"/>
  <c r="V138" i="23"/>
  <c r="W138" i="23" s="1"/>
  <c r="V137" i="23"/>
  <c r="W137" i="23" s="1"/>
  <c r="V136" i="23"/>
  <c r="W136" i="23" s="1"/>
  <c r="V135" i="23"/>
  <c r="W135" i="23" s="1"/>
  <c r="V134" i="23"/>
  <c r="W134" i="23" s="1"/>
  <c r="V133" i="23"/>
  <c r="W133" i="23" s="1"/>
  <c r="V132" i="23"/>
  <c r="W132" i="23" s="1"/>
  <c r="V131" i="23"/>
  <c r="W131" i="23" s="1"/>
  <c r="V130" i="23"/>
  <c r="W130" i="23" s="1"/>
  <c r="V129" i="23"/>
  <c r="W129" i="23" s="1"/>
  <c r="V128" i="23"/>
  <c r="W128" i="23" s="1"/>
  <c r="V127" i="23"/>
  <c r="W127" i="23" s="1"/>
  <c r="V126" i="23"/>
  <c r="W126" i="23" s="1"/>
  <c r="V125" i="23"/>
  <c r="W125" i="23" s="1"/>
  <c r="V124" i="23"/>
  <c r="W124" i="23" s="1"/>
  <c r="V123" i="23"/>
  <c r="W123" i="23" s="1"/>
  <c r="V122" i="23"/>
  <c r="W122" i="23" s="1"/>
  <c r="V121" i="23"/>
  <c r="W121" i="23" s="1"/>
  <c r="V120" i="23"/>
  <c r="W120" i="23" s="1"/>
  <c r="V119" i="23"/>
  <c r="W119" i="23" s="1"/>
  <c r="V118" i="23"/>
  <c r="W118" i="23" s="1"/>
  <c r="V117" i="23"/>
  <c r="W117" i="23" s="1"/>
  <c r="V116" i="23"/>
  <c r="W116" i="23" s="1"/>
  <c r="V115" i="23"/>
  <c r="W115" i="23" s="1"/>
  <c r="V114" i="23"/>
  <c r="W114" i="23" s="1"/>
  <c r="V113" i="23"/>
  <c r="W113" i="23" s="1"/>
  <c r="V112" i="23"/>
  <c r="W112" i="23" s="1"/>
  <c r="V111" i="23"/>
  <c r="W111" i="23" s="1"/>
  <c r="V110" i="23"/>
  <c r="W110" i="23" s="1"/>
  <c r="V109" i="23"/>
  <c r="W109" i="23" s="1"/>
  <c r="V108" i="23"/>
  <c r="W108" i="23" s="1"/>
  <c r="V107" i="23"/>
  <c r="W107" i="23" s="1"/>
  <c r="V106" i="23"/>
  <c r="W106" i="23" s="1"/>
  <c r="V105" i="23"/>
  <c r="W105" i="23" s="1"/>
  <c r="V104" i="23"/>
  <c r="W104" i="23" s="1"/>
  <c r="V103" i="23"/>
  <c r="W103" i="23" s="1"/>
  <c r="V102" i="23"/>
  <c r="W102" i="23" s="1"/>
  <c r="V101" i="23"/>
  <c r="W101" i="23" s="1"/>
  <c r="V100" i="23"/>
  <c r="W100" i="23" s="1"/>
  <c r="V99" i="23"/>
  <c r="W99" i="23" s="1"/>
  <c r="V98" i="23"/>
  <c r="W98" i="23" s="1"/>
  <c r="V97" i="23"/>
  <c r="W97" i="23" s="1"/>
  <c r="V96" i="23"/>
  <c r="W96" i="23" s="1"/>
  <c r="V95" i="23"/>
  <c r="W95" i="23" s="1"/>
  <c r="V94" i="23"/>
  <c r="W94" i="23" s="1"/>
  <c r="V93" i="23"/>
  <c r="W93" i="23" s="1"/>
  <c r="V92" i="23"/>
  <c r="W92" i="23" s="1"/>
  <c r="V91" i="23"/>
  <c r="W91" i="23" s="1"/>
  <c r="V90" i="23"/>
  <c r="W90" i="23" s="1"/>
  <c r="V89" i="23"/>
  <c r="W89" i="23" s="1"/>
  <c r="V88" i="23"/>
  <c r="W88" i="23" s="1"/>
  <c r="V87" i="23"/>
  <c r="W87" i="23" s="1"/>
  <c r="V86" i="23"/>
  <c r="W86" i="23" s="1"/>
  <c r="V85" i="23"/>
  <c r="W85" i="23" s="1"/>
  <c r="V84" i="23"/>
  <c r="W84" i="23" s="1"/>
  <c r="V83" i="23"/>
  <c r="W83" i="23" s="1"/>
  <c r="V82" i="23"/>
  <c r="W82" i="23" s="1"/>
  <c r="V81" i="23"/>
  <c r="W81" i="23" s="1"/>
  <c r="V80" i="23"/>
  <c r="W80" i="23" s="1"/>
  <c r="V79" i="23"/>
  <c r="W79" i="23" s="1"/>
  <c r="V78" i="23"/>
  <c r="W78" i="23" s="1"/>
  <c r="V77" i="23"/>
  <c r="W77" i="23" s="1"/>
  <c r="V76" i="23"/>
  <c r="W76" i="23" s="1"/>
  <c r="V75" i="23"/>
  <c r="W75" i="23" s="1"/>
  <c r="V74" i="23"/>
  <c r="W74" i="23" s="1"/>
  <c r="V73" i="23"/>
  <c r="W73" i="23" s="1"/>
  <c r="V72" i="23"/>
  <c r="W72" i="23" s="1"/>
  <c r="V71" i="23"/>
  <c r="W71" i="23" s="1"/>
  <c r="V70" i="23"/>
  <c r="W70" i="23" s="1"/>
  <c r="V69" i="23"/>
  <c r="W69" i="23" s="1"/>
  <c r="V68" i="23"/>
  <c r="W68" i="23" s="1"/>
  <c r="V67" i="23"/>
  <c r="W67" i="23" s="1"/>
  <c r="V66" i="23"/>
  <c r="W66" i="23" s="1"/>
  <c r="V65" i="23"/>
  <c r="W65" i="23" s="1"/>
  <c r="V64" i="23"/>
  <c r="W64" i="23" s="1"/>
  <c r="V63" i="23"/>
  <c r="W63" i="23" s="1"/>
  <c r="V62" i="23"/>
  <c r="W62" i="23" s="1"/>
  <c r="V61" i="23"/>
  <c r="W61" i="23" s="1"/>
  <c r="V60" i="23"/>
  <c r="W60" i="23" s="1"/>
  <c r="V59" i="23"/>
  <c r="W59" i="23" s="1"/>
  <c r="V58" i="23"/>
  <c r="W58" i="23" s="1"/>
  <c r="V57" i="23"/>
  <c r="W57" i="23" s="1"/>
  <c r="V56" i="23"/>
  <c r="W56" i="23" s="1"/>
  <c r="V55" i="23"/>
  <c r="W55" i="23" s="1"/>
  <c r="V54" i="23"/>
  <c r="W54" i="23" s="1"/>
  <c r="V53" i="23"/>
  <c r="W53" i="23" s="1"/>
  <c r="V52" i="23"/>
  <c r="W52" i="23" s="1"/>
  <c r="V51" i="23"/>
  <c r="W51" i="23" s="1"/>
  <c r="V50" i="23"/>
  <c r="W50" i="23" s="1"/>
  <c r="V49" i="23"/>
  <c r="W49" i="23" s="1"/>
  <c r="V48" i="23"/>
  <c r="W48" i="23" s="1"/>
  <c r="V47" i="23"/>
  <c r="W47" i="23" s="1"/>
  <c r="V46" i="23"/>
  <c r="W46" i="23" s="1"/>
  <c r="V45" i="23"/>
  <c r="W45" i="23" s="1"/>
  <c r="V44" i="23"/>
  <c r="W44" i="23" s="1"/>
  <c r="V43" i="23"/>
  <c r="W43" i="23" s="1"/>
  <c r="V42" i="23"/>
  <c r="W42" i="23" s="1"/>
  <c r="V41" i="23"/>
  <c r="W41" i="23" s="1"/>
  <c r="V40" i="23"/>
  <c r="W40" i="23" s="1"/>
  <c r="V39" i="23"/>
  <c r="W39" i="23" s="1"/>
  <c r="V38" i="23"/>
  <c r="W38" i="23" s="1"/>
  <c r="V37" i="23"/>
  <c r="W37" i="23" s="1"/>
  <c r="V36" i="23"/>
  <c r="W36" i="23" s="1"/>
  <c r="V35" i="23"/>
  <c r="W35" i="23" s="1"/>
  <c r="V34" i="23"/>
  <c r="W34" i="23" s="1"/>
  <c r="V33" i="23"/>
  <c r="W33" i="23" s="1"/>
  <c r="V32" i="23"/>
  <c r="W32" i="23" s="1"/>
  <c r="V31" i="23"/>
  <c r="W31" i="23" s="1"/>
  <c r="V30" i="23"/>
  <c r="W30" i="23" s="1"/>
  <c r="V29" i="23"/>
  <c r="W29" i="23" s="1"/>
  <c r="V28" i="23"/>
  <c r="W28" i="23" s="1"/>
  <c r="V27" i="23"/>
  <c r="W27" i="23" s="1"/>
  <c r="V26" i="23"/>
  <c r="W26" i="23" s="1"/>
  <c r="V25" i="23"/>
  <c r="W25" i="23" s="1"/>
  <c r="V24" i="23"/>
  <c r="W24" i="23" s="1"/>
  <c r="V23" i="23"/>
  <c r="W23" i="23" s="1"/>
  <c r="V22" i="23"/>
  <c r="W22" i="23" s="1"/>
  <c r="V21" i="23"/>
  <c r="W21" i="23" s="1"/>
  <c r="V20" i="23"/>
  <c r="W20" i="23" s="1"/>
  <c r="V19" i="23"/>
  <c r="W19" i="23" s="1"/>
  <c r="V18" i="23"/>
  <c r="W18" i="23" s="1"/>
  <c r="V17" i="23"/>
  <c r="W17" i="23" s="1"/>
  <c r="V16" i="23"/>
  <c r="W16" i="23" s="1"/>
  <c r="V15" i="23"/>
  <c r="W15" i="23" s="1"/>
  <c r="V14" i="23"/>
  <c r="W14" i="23" s="1"/>
  <c r="V13" i="23"/>
  <c r="W13" i="23" s="1"/>
  <c r="V12" i="23"/>
  <c r="W12" i="23" s="1"/>
  <c r="V11" i="23"/>
  <c r="W11" i="23" s="1"/>
  <c r="V10" i="23"/>
  <c r="W10" i="23" s="1"/>
  <c r="V9" i="23"/>
  <c r="W9" i="23" s="1"/>
  <c r="V8" i="23"/>
  <c r="W8" i="23" s="1"/>
  <c r="V421" i="23"/>
  <c r="W421" i="23" s="1"/>
  <c r="Q421" i="23" s="1"/>
  <c r="AE421" i="23"/>
  <c r="AD421" i="23"/>
  <c r="S421" i="23"/>
  <c r="P421" i="23"/>
  <c r="AH421" i="23" s="1"/>
  <c r="O421" i="23"/>
  <c r="N421" i="23"/>
  <c r="M421" i="23"/>
  <c r="AE420" i="23"/>
  <c r="AD420" i="23"/>
  <c r="S420" i="23"/>
  <c r="P420" i="23"/>
  <c r="AJ420" i="23" s="1"/>
  <c r="O420" i="23"/>
  <c r="N420" i="23"/>
  <c r="M420" i="23"/>
  <c r="AE419" i="23"/>
  <c r="AD419" i="23"/>
  <c r="S419" i="23"/>
  <c r="P419" i="23"/>
  <c r="AH419" i="23" s="1"/>
  <c r="O419" i="23"/>
  <c r="N419" i="23"/>
  <c r="M419" i="23"/>
  <c r="AE418" i="23"/>
  <c r="AD418" i="23"/>
  <c r="S418" i="23"/>
  <c r="P418" i="23"/>
  <c r="AJ418" i="23" s="1"/>
  <c r="O418" i="23"/>
  <c r="N418" i="23"/>
  <c r="M418" i="23"/>
  <c r="AE417" i="23"/>
  <c r="AD417" i="23"/>
  <c r="S417" i="23"/>
  <c r="P417" i="23"/>
  <c r="AH417" i="23" s="1"/>
  <c r="O417" i="23"/>
  <c r="N417" i="23"/>
  <c r="M417" i="23"/>
  <c r="AE416" i="23"/>
  <c r="AD416" i="23"/>
  <c r="S416" i="23"/>
  <c r="P416" i="23"/>
  <c r="AJ416" i="23" s="1"/>
  <c r="O416" i="23"/>
  <c r="N416" i="23"/>
  <c r="M416" i="23"/>
  <c r="AE415" i="23"/>
  <c r="AD415" i="23"/>
  <c r="S415" i="23"/>
  <c r="P415" i="23"/>
  <c r="AH415" i="23" s="1"/>
  <c r="O415" i="23"/>
  <c r="N415" i="23"/>
  <c r="M415" i="23"/>
  <c r="AE414" i="23"/>
  <c r="AD414" i="23"/>
  <c r="Y414" i="23" s="1"/>
  <c r="Z414" i="23" s="1"/>
  <c r="S414" i="23"/>
  <c r="P414" i="23"/>
  <c r="AJ414" i="23" s="1"/>
  <c r="O414" i="23"/>
  <c r="N414" i="23"/>
  <c r="M414" i="23"/>
  <c r="AE413" i="23"/>
  <c r="AD413" i="23"/>
  <c r="Y413" i="23" s="1"/>
  <c r="Z413" i="23" s="1"/>
  <c r="S413" i="23"/>
  <c r="P413" i="23"/>
  <c r="AH413" i="23" s="1"/>
  <c r="O413" i="23"/>
  <c r="N413" i="23"/>
  <c r="M413" i="23"/>
  <c r="AE412" i="23"/>
  <c r="AD412" i="23"/>
  <c r="Y412" i="23" s="1"/>
  <c r="Z412" i="23" s="1"/>
  <c r="S412" i="23"/>
  <c r="P412" i="23"/>
  <c r="AJ412" i="23" s="1"/>
  <c r="O412" i="23"/>
  <c r="N412" i="23"/>
  <c r="M412" i="23"/>
  <c r="AE411" i="23"/>
  <c r="AD411" i="23"/>
  <c r="S411" i="23"/>
  <c r="P411" i="23"/>
  <c r="AH411" i="23" s="1"/>
  <c r="O411" i="23"/>
  <c r="N411" i="23"/>
  <c r="M411" i="23"/>
  <c r="AE410" i="23"/>
  <c r="AD410" i="23"/>
  <c r="S410" i="23"/>
  <c r="P410" i="23"/>
  <c r="AJ410" i="23" s="1"/>
  <c r="O410" i="23"/>
  <c r="N410" i="23"/>
  <c r="M410" i="23"/>
  <c r="AE409" i="23"/>
  <c r="AD409" i="23"/>
  <c r="Y409" i="23" s="1"/>
  <c r="Z409" i="23" s="1"/>
  <c r="S409" i="23"/>
  <c r="P409" i="23"/>
  <c r="AH409" i="23" s="1"/>
  <c r="O409" i="23"/>
  <c r="N409" i="23"/>
  <c r="M409" i="23"/>
  <c r="AE408" i="23"/>
  <c r="AD408" i="23"/>
  <c r="Y408" i="23" s="1"/>
  <c r="Z408" i="23" s="1"/>
  <c r="S408" i="23"/>
  <c r="P408" i="23"/>
  <c r="AJ408" i="23" s="1"/>
  <c r="O408" i="23"/>
  <c r="N408" i="23"/>
  <c r="M408" i="23"/>
  <c r="AE407" i="23"/>
  <c r="AD407" i="23"/>
  <c r="Y407" i="23" s="1"/>
  <c r="Z407" i="23" s="1"/>
  <c r="S407" i="23"/>
  <c r="P407" i="23"/>
  <c r="AH407" i="23" s="1"/>
  <c r="O407" i="23"/>
  <c r="N407" i="23"/>
  <c r="M407" i="23"/>
  <c r="AE406" i="23"/>
  <c r="AD406" i="23"/>
  <c r="S406" i="23"/>
  <c r="O406" i="23"/>
  <c r="N406" i="23"/>
  <c r="M406" i="23"/>
  <c r="AE405" i="23"/>
  <c r="AD405" i="23"/>
  <c r="S405" i="23"/>
  <c r="P405" i="23"/>
  <c r="O405" i="23"/>
  <c r="N405" i="23"/>
  <c r="M405" i="23"/>
  <c r="AE404" i="23"/>
  <c r="AD404" i="23"/>
  <c r="Y404" i="23" s="1"/>
  <c r="Z404" i="23" s="1"/>
  <c r="S404" i="23"/>
  <c r="P404" i="23"/>
  <c r="AJ404" i="23" s="1"/>
  <c r="O404" i="23"/>
  <c r="N404" i="23"/>
  <c r="M404" i="23"/>
  <c r="AE403" i="23"/>
  <c r="AD403" i="23"/>
  <c r="Y403" i="23" s="1"/>
  <c r="Z403" i="23" s="1"/>
  <c r="S403" i="23"/>
  <c r="P403" i="23"/>
  <c r="AH403" i="23" s="1"/>
  <c r="O403" i="23"/>
  <c r="N403" i="23"/>
  <c r="M403" i="23"/>
  <c r="AE402" i="23"/>
  <c r="AD402" i="23"/>
  <c r="S402" i="23"/>
  <c r="P402" i="23"/>
  <c r="AJ402" i="23" s="1"/>
  <c r="O402" i="23"/>
  <c r="N402" i="23"/>
  <c r="M402" i="23"/>
  <c r="AE401" i="23"/>
  <c r="AD401" i="23"/>
  <c r="S401" i="23"/>
  <c r="P401" i="23"/>
  <c r="AJ401" i="23" s="1"/>
  <c r="O401" i="23"/>
  <c r="N401" i="23"/>
  <c r="M401" i="23"/>
  <c r="AE400" i="23"/>
  <c r="AD400" i="23"/>
  <c r="S400" i="23"/>
  <c r="P400" i="23"/>
  <c r="AJ400" i="23" s="1"/>
  <c r="O400" i="23"/>
  <c r="N400" i="23"/>
  <c r="M400" i="23"/>
  <c r="AE399" i="23"/>
  <c r="AD399" i="23"/>
  <c r="S399" i="23"/>
  <c r="P399" i="23"/>
  <c r="AJ399" i="23" s="1"/>
  <c r="O399" i="23"/>
  <c r="N399" i="23"/>
  <c r="M399" i="23"/>
  <c r="AE398" i="23"/>
  <c r="AD398" i="23"/>
  <c r="S398" i="23"/>
  <c r="P398" i="23"/>
  <c r="AJ398" i="23" s="1"/>
  <c r="O398" i="23"/>
  <c r="N398" i="23"/>
  <c r="M398" i="23"/>
  <c r="AE397" i="23"/>
  <c r="AD397" i="23"/>
  <c r="S397" i="23"/>
  <c r="P397" i="23"/>
  <c r="AJ397" i="23" s="1"/>
  <c r="O397" i="23"/>
  <c r="N397" i="23"/>
  <c r="M397" i="23"/>
  <c r="AE396" i="23"/>
  <c r="AD396" i="23"/>
  <c r="S396" i="23"/>
  <c r="P396" i="23"/>
  <c r="AJ396" i="23" s="1"/>
  <c r="O396" i="23"/>
  <c r="N396" i="23"/>
  <c r="M396" i="23"/>
  <c r="C17" i="3"/>
  <c r="C11" i="3"/>
  <c r="C7" i="3"/>
  <c r="C15" i="3"/>
  <c r="C10" i="3"/>
  <c r="C5" i="3"/>
  <c r="C77" i="3"/>
  <c r="C60" i="3"/>
  <c r="C4" i="3"/>
  <c r="C78" i="3"/>
  <c r="C13" i="3"/>
  <c r="C9" i="3"/>
  <c r="C3" i="3"/>
  <c r="C12" i="3"/>
  <c r="C8" i="3"/>
  <c r="T418" i="23" l="1"/>
  <c r="T416" i="23"/>
  <c r="T415" i="23"/>
  <c r="T413" i="23"/>
  <c r="T412" i="23"/>
  <c r="T417" i="23"/>
  <c r="T414" i="23"/>
  <c r="R414" i="23" s="1"/>
  <c r="T402" i="23"/>
  <c r="T423" i="23"/>
  <c r="T424" i="23"/>
  <c r="T420" i="23"/>
  <c r="T419" i="23"/>
  <c r="T407" i="23"/>
  <c r="T409" i="23"/>
  <c r="T408" i="23"/>
  <c r="R408" i="23" s="1"/>
  <c r="T431" i="23"/>
  <c r="T429" i="23"/>
  <c r="T430" i="23"/>
  <c r="T421" i="23"/>
  <c r="T400" i="23"/>
  <c r="T399" i="23"/>
  <c r="T411" i="23"/>
  <c r="T422" i="23"/>
  <c r="T428" i="23"/>
  <c r="T427" i="23"/>
  <c r="T426" i="23"/>
  <c r="T425" i="23"/>
  <c r="R425" i="23" s="1"/>
  <c r="T410" i="23"/>
  <c r="T401" i="23"/>
  <c r="T398" i="23"/>
  <c r="T397" i="23"/>
  <c r="T396" i="23"/>
  <c r="R424" i="23"/>
  <c r="R407" i="23"/>
  <c r="R412" i="23"/>
  <c r="R409" i="23"/>
  <c r="R413" i="23"/>
  <c r="AA404" i="23"/>
  <c r="X404" i="23"/>
  <c r="AC404" i="23"/>
  <c r="U404" i="23" s="1"/>
  <c r="AB404" i="23"/>
  <c r="AC413" i="23"/>
  <c r="U413" i="23" s="1"/>
  <c r="X413" i="23"/>
  <c r="AB413" i="23"/>
  <c r="AA413" i="23"/>
  <c r="AA412" i="23"/>
  <c r="X412" i="23"/>
  <c r="AC412" i="23"/>
  <c r="U412" i="23" s="1"/>
  <c r="AB412" i="23"/>
  <c r="AA407" i="23"/>
  <c r="AB407" i="23"/>
  <c r="X407" i="23"/>
  <c r="AC407" i="23"/>
  <c r="U407" i="23" s="1"/>
  <c r="AB414" i="23"/>
  <c r="AC414" i="23"/>
  <c r="U414" i="23" s="1"/>
  <c r="X414" i="23"/>
  <c r="AA414" i="23"/>
  <c r="AC409" i="23"/>
  <c r="X409" i="23"/>
  <c r="AB409" i="23"/>
  <c r="AA409" i="23"/>
  <c r="AA403" i="23"/>
  <c r="AB403" i="23"/>
  <c r="AC403" i="23"/>
  <c r="U403" i="23" s="1"/>
  <c r="X403" i="23"/>
  <c r="AA408" i="23"/>
  <c r="AC408" i="23"/>
  <c r="U408" i="23" s="1"/>
  <c r="AB408" i="23"/>
  <c r="X408" i="23"/>
  <c r="U409" i="23"/>
  <c r="W401" i="23"/>
  <c r="W417" i="23"/>
  <c r="W397" i="23"/>
  <c r="W405" i="23"/>
  <c r="AH400" i="23"/>
  <c r="Q407" i="23"/>
  <c r="Q403" i="23"/>
  <c r="Q409" i="23"/>
  <c r="AJ403" i="23"/>
  <c r="Q408" i="23"/>
  <c r="Q413" i="23"/>
  <c r="Q404" i="23"/>
  <c r="AH396" i="23"/>
  <c r="AH405" i="23"/>
  <c r="AJ405" i="23"/>
  <c r="Q412" i="23"/>
  <c r="Q414" i="23"/>
  <c r="AJ407" i="23"/>
  <c r="AJ409" i="23"/>
  <c r="AJ411" i="23"/>
  <c r="AJ413" i="23"/>
  <c r="AJ415" i="23"/>
  <c r="AJ417" i="23"/>
  <c r="AJ419" i="23"/>
  <c r="AJ421" i="23"/>
  <c r="AH404" i="23"/>
  <c r="AH406" i="23"/>
  <c r="AH408" i="23"/>
  <c r="AH410" i="23"/>
  <c r="AH412" i="23"/>
  <c r="AH414" i="23"/>
  <c r="AH416" i="23"/>
  <c r="AH418" i="23"/>
  <c r="AH420" i="23"/>
  <c r="AH398" i="23"/>
  <c r="AH402" i="23"/>
  <c r="AH397" i="23"/>
  <c r="AH399" i="23"/>
  <c r="AH401" i="23"/>
  <c r="AE395" i="23"/>
  <c r="AD395" i="23"/>
  <c r="Q395" i="23"/>
  <c r="T395" i="23"/>
  <c r="S395" i="23"/>
  <c r="P395" i="23"/>
  <c r="AJ395" i="23" s="1"/>
  <c r="O395" i="23"/>
  <c r="N395" i="23"/>
  <c r="M395" i="23"/>
  <c r="AE394" i="23"/>
  <c r="AD394" i="23"/>
  <c r="Q394" i="23"/>
  <c r="T394" i="23"/>
  <c r="S394" i="23"/>
  <c r="P394" i="23"/>
  <c r="AJ394" i="23" s="1"/>
  <c r="O394" i="23"/>
  <c r="N394" i="23"/>
  <c r="M394" i="23"/>
  <c r="AE393" i="23"/>
  <c r="AD393" i="23"/>
  <c r="Q393" i="23"/>
  <c r="T393" i="23"/>
  <c r="S393" i="23"/>
  <c r="P393" i="23"/>
  <c r="AJ393" i="23" s="1"/>
  <c r="O393" i="23"/>
  <c r="N393" i="23"/>
  <c r="M393" i="23"/>
  <c r="AE392" i="23"/>
  <c r="AD392" i="23"/>
  <c r="Y392" i="23" s="1"/>
  <c r="Z392" i="23" s="1"/>
  <c r="Q392" i="23"/>
  <c r="T392" i="23"/>
  <c r="S392" i="23"/>
  <c r="P392" i="23"/>
  <c r="AJ392" i="23" s="1"/>
  <c r="O392" i="23"/>
  <c r="N392" i="23"/>
  <c r="M392" i="23"/>
  <c r="AE391" i="23"/>
  <c r="AD391" i="23"/>
  <c r="Q391" i="23"/>
  <c r="T391" i="23"/>
  <c r="S391" i="23"/>
  <c r="P391" i="23"/>
  <c r="AJ391" i="23" s="1"/>
  <c r="O391" i="23"/>
  <c r="N391" i="23"/>
  <c r="M391" i="23"/>
  <c r="AE390" i="23"/>
  <c r="AD390" i="23"/>
  <c r="Q390" i="23"/>
  <c r="T390" i="23"/>
  <c r="S390" i="23"/>
  <c r="P390" i="23"/>
  <c r="AH390" i="23" s="1"/>
  <c r="O390" i="23"/>
  <c r="N390" i="23"/>
  <c r="M390" i="23"/>
  <c r="AE389" i="23"/>
  <c r="AD389" i="23"/>
  <c r="Q389" i="23"/>
  <c r="T389" i="23"/>
  <c r="S389" i="23"/>
  <c r="P389" i="23"/>
  <c r="AJ389" i="23" s="1"/>
  <c r="O389" i="23"/>
  <c r="N389" i="23"/>
  <c r="M389" i="23"/>
  <c r="AE388" i="23"/>
  <c r="AD388" i="23"/>
  <c r="Q388" i="23"/>
  <c r="T388" i="23"/>
  <c r="S388" i="23"/>
  <c r="P388" i="23"/>
  <c r="AH388" i="23" s="1"/>
  <c r="O388" i="23"/>
  <c r="N388" i="23"/>
  <c r="M388" i="23"/>
  <c r="AE387" i="23"/>
  <c r="AD387" i="23"/>
  <c r="Y387" i="23" s="1"/>
  <c r="Z387" i="23" s="1"/>
  <c r="T387" i="23"/>
  <c r="S387" i="23"/>
  <c r="P387" i="23"/>
  <c r="AJ387" i="23" s="1"/>
  <c r="O387" i="23"/>
  <c r="N387" i="23"/>
  <c r="M387" i="23"/>
  <c r="AE386" i="23"/>
  <c r="AD386" i="23"/>
  <c r="Q386" i="23"/>
  <c r="T386" i="23"/>
  <c r="S386" i="23"/>
  <c r="P386" i="23"/>
  <c r="AH386" i="23" s="1"/>
  <c r="O386" i="23"/>
  <c r="N386" i="23"/>
  <c r="M386" i="23"/>
  <c r="AE385" i="23"/>
  <c r="AD385" i="23"/>
  <c r="Q385" i="23"/>
  <c r="T385" i="23"/>
  <c r="S385" i="23"/>
  <c r="P385" i="23"/>
  <c r="AJ385" i="23" s="1"/>
  <c r="O385" i="23"/>
  <c r="N385" i="23"/>
  <c r="M385" i="23"/>
  <c r="AE384" i="23"/>
  <c r="AD384" i="23"/>
  <c r="Q384" i="23"/>
  <c r="T384" i="23"/>
  <c r="S384" i="23"/>
  <c r="P384" i="23"/>
  <c r="AH384" i="23" s="1"/>
  <c r="O384" i="23"/>
  <c r="N384" i="23"/>
  <c r="M384" i="23"/>
  <c r="AE383" i="23"/>
  <c r="AD383" i="23"/>
  <c r="Q383" i="23"/>
  <c r="T383" i="23"/>
  <c r="S383" i="23"/>
  <c r="P383" i="23"/>
  <c r="AJ383" i="23" s="1"/>
  <c r="O383" i="23"/>
  <c r="N383" i="23"/>
  <c r="M383" i="23"/>
  <c r="AE382" i="23"/>
  <c r="AD382" i="23"/>
  <c r="Q382" i="23"/>
  <c r="T382" i="23"/>
  <c r="S382" i="23"/>
  <c r="P382" i="23"/>
  <c r="AH382" i="23" s="1"/>
  <c r="O382" i="23"/>
  <c r="N382" i="23"/>
  <c r="M382" i="23"/>
  <c r="AE381" i="23"/>
  <c r="AD381" i="23"/>
  <c r="Y381" i="23" s="1"/>
  <c r="Z381" i="23" s="1"/>
  <c r="Q381" i="23"/>
  <c r="T381" i="23"/>
  <c r="S381" i="23"/>
  <c r="P381" i="23"/>
  <c r="AJ381" i="23" s="1"/>
  <c r="O381" i="23"/>
  <c r="N381" i="23"/>
  <c r="M381" i="23"/>
  <c r="AC420" i="23"/>
  <c r="AC410" i="23"/>
  <c r="AC427" i="23"/>
  <c r="AC426" i="23"/>
  <c r="AC415" i="23"/>
  <c r="AC430" i="23"/>
  <c r="AC428" i="23"/>
  <c r="AC396" i="23"/>
  <c r="AC423" i="23"/>
  <c r="AC421" i="23"/>
  <c r="AC417" i="23"/>
  <c r="AC429" i="23"/>
  <c r="AC422" i="23"/>
  <c r="AC399" i="23"/>
  <c r="AC402" i="23"/>
  <c r="AC397" i="23"/>
  <c r="AC419" i="23"/>
  <c r="AC416" i="23"/>
  <c r="AC431" i="23"/>
  <c r="AC398" i="23"/>
  <c r="AC418" i="23"/>
  <c r="AC411" i="23"/>
  <c r="AC401" i="23"/>
  <c r="AC400" i="23"/>
  <c r="U428" i="23" l="1"/>
  <c r="U431" i="23"/>
  <c r="U422" i="23"/>
  <c r="U426" i="23"/>
  <c r="U430" i="23"/>
  <c r="U427" i="23"/>
  <c r="U429" i="23"/>
  <c r="U423" i="23"/>
  <c r="R392" i="23"/>
  <c r="R381" i="23"/>
  <c r="R387" i="23"/>
  <c r="AA387" i="23"/>
  <c r="X387" i="23"/>
  <c r="AC387" i="23"/>
  <c r="U387" i="23" s="1"/>
  <c r="AB387" i="23"/>
  <c r="AC381" i="23"/>
  <c r="U381" i="23" s="1"/>
  <c r="X381" i="23"/>
  <c r="AB381" i="23"/>
  <c r="AA381" i="23"/>
  <c r="AA392" i="23"/>
  <c r="AC392" i="23"/>
  <c r="U392" i="23" s="1"/>
  <c r="AB392" i="23"/>
  <c r="X392" i="23"/>
  <c r="U410" i="23"/>
  <c r="U419" i="23"/>
  <c r="U421" i="23"/>
  <c r="U398" i="23"/>
  <c r="U396" i="23"/>
  <c r="U418" i="23"/>
  <c r="U402" i="23"/>
  <c r="U400" i="23"/>
  <c r="U420" i="23"/>
  <c r="U411" i="23"/>
  <c r="U416" i="23"/>
  <c r="U415" i="23"/>
  <c r="U399" i="23"/>
  <c r="U417" i="23"/>
  <c r="U397" i="23"/>
  <c r="U401" i="23"/>
  <c r="Q405" i="23"/>
  <c r="Q417" i="23"/>
  <c r="Q397" i="23"/>
  <c r="Q401" i="23"/>
  <c r="AH392" i="23"/>
  <c r="AH394" i="23"/>
  <c r="AH395" i="23"/>
  <c r="Q387" i="23"/>
  <c r="AJ382" i="23"/>
  <c r="AJ384" i="23"/>
  <c r="AJ386" i="23"/>
  <c r="AJ388" i="23"/>
  <c r="AJ390" i="23"/>
  <c r="AH381" i="23"/>
  <c r="AH383" i="23"/>
  <c r="AH385" i="23"/>
  <c r="AH387" i="23"/>
  <c r="AH389" i="23"/>
  <c r="AH391" i="23"/>
  <c r="AH393" i="23"/>
  <c r="M314" i="23"/>
  <c r="AE380" i="23"/>
  <c r="AD380" i="23"/>
  <c r="S380" i="23"/>
  <c r="P380" i="23"/>
  <c r="AJ380" i="23" s="1"/>
  <c r="O380" i="23"/>
  <c r="N380" i="23"/>
  <c r="M380" i="23"/>
  <c r="AE379" i="23"/>
  <c r="AD379" i="23"/>
  <c r="S379" i="23"/>
  <c r="P379" i="23"/>
  <c r="AJ379" i="23" s="1"/>
  <c r="O379" i="23"/>
  <c r="N379" i="23"/>
  <c r="M379" i="23"/>
  <c r="AE378" i="23"/>
  <c r="AD378" i="23"/>
  <c r="S378" i="23"/>
  <c r="P378" i="23"/>
  <c r="AJ378" i="23" s="1"/>
  <c r="O378" i="23"/>
  <c r="N378" i="23"/>
  <c r="M378" i="23"/>
  <c r="AE377" i="23"/>
  <c r="AD377" i="23"/>
  <c r="S377" i="23"/>
  <c r="P377" i="23"/>
  <c r="AJ377" i="23" s="1"/>
  <c r="O377" i="23"/>
  <c r="N377" i="23"/>
  <c r="M377" i="23"/>
  <c r="AE376" i="23"/>
  <c r="AD376" i="23"/>
  <c r="S376" i="23"/>
  <c r="P376" i="23"/>
  <c r="AJ376" i="23" s="1"/>
  <c r="O376" i="23"/>
  <c r="N376" i="23"/>
  <c r="M376" i="23"/>
  <c r="AE375" i="23"/>
  <c r="AD375" i="23"/>
  <c r="T375" i="23"/>
  <c r="S375" i="23"/>
  <c r="P375" i="23"/>
  <c r="AJ375" i="23" s="1"/>
  <c r="O375" i="23"/>
  <c r="N375" i="23"/>
  <c r="M375" i="23"/>
  <c r="AE374" i="23"/>
  <c r="AD374" i="23"/>
  <c r="T374" i="23"/>
  <c r="S374" i="23"/>
  <c r="P374" i="23"/>
  <c r="AJ374" i="23" s="1"/>
  <c r="O374" i="23"/>
  <c r="N374" i="23"/>
  <c r="M374" i="23"/>
  <c r="AE373" i="23"/>
  <c r="AD373" i="23"/>
  <c r="T373" i="23"/>
  <c r="S373" i="23"/>
  <c r="P373" i="23"/>
  <c r="AJ373" i="23" s="1"/>
  <c r="O373" i="23"/>
  <c r="N373" i="23"/>
  <c r="M373" i="23"/>
  <c r="AE372" i="23"/>
  <c r="AD372" i="23"/>
  <c r="Y372" i="23" s="1"/>
  <c r="Z372" i="23" s="1"/>
  <c r="T372" i="23"/>
  <c r="S372" i="23"/>
  <c r="P372" i="23"/>
  <c r="AJ372" i="23" s="1"/>
  <c r="O372" i="23"/>
  <c r="N372" i="23"/>
  <c r="M372" i="23"/>
  <c r="AE371" i="23"/>
  <c r="AD371" i="23"/>
  <c r="S371" i="23"/>
  <c r="P371" i="23"/>
  <c r="AJ371" i="23" s="1"/>
  <c r="O371" i="23"/>
  <c r="N371" i="23"/>
  <c r="M371" i="23"/>
  <c r="AE370" i="23"/>
  <c r="AD370" i="23"/>
  <c r="S370" i="23"/>
  <c r="P370" i="23"/>
  <c r="AJ370" i="23" s="1"/>
  <c r="O370" i="23"/>
  <c r="N370" i="23"/>
  <c r="M370" i="23"/>
  <c r="AE369" i="23"/>
  <c r="AD369" i="23"/>
  <c r="S369" i="23"/>
  <c r="P369" i="23"/>
  <c r="AJ369" i="23" s="1"/>
  <c r="O369" i="23"/>
  <c r="N369" i="23"/>
  <c r="M369" i="23"/>
  <c r="AE368" i="23"/>
  <c r="AD368" i="23"/>
  <c r="S368" i="23"/>
  <c r="P368" i="23"/>
  <c r="AJ368" i="23" s="1"/>
  <c r="O368" i="23"/>
  <c r="N368" i="23"/>
  <c r="M368" i="23"/>
  <c r="AE367" i="23"/>
  <c r="AD367" i="23"/>
  <c r="S367" i="23"/>
  <c r="P367" i="23"/>
  <c r="AJ367" i="23" s="1"/>
  <c r="O367" i="23"/>
  <c r="N367" i="23"/>
  <c r="M367" i="23"/>
  <c r="AE366" i="23"/>
  <c r="AD366" i="23"/>
  <c r="S366" i="23"/>
  <c r="P366" i="23"/>
  <c r="AJ366" i="23" s="1"/>
  <c r="O366" i="23"/>
  <c r="N366" i="23"/>
  <c r="M366" i="23"/>
  <c r="AE365" i="23"/>
  <c r="AD365" i="23"/>
  <c r="Y365" i="23" s="1"/>
  <c r="Z365" i="23" s="1"/>
  <c r="S365" i="23"/>
  <c r="P365" i="23"/>
  <c r="AJ365" i="23" s="1"/>
  <c r="O365" i="23"/>
  <c r="N365" i="23"/>
  <c r="M365" i="23"/>
  <c r="AE364" i="23"/>
  <c r="AD364" i="23"/>
  <c r="Y364" i="23" s="1"/>
  <c r="Z364" i="23" s="1"/>
  <c r="S364" i="23"/>
  <c r="P364" i="23"/>
  <c r="AJ364" i="23" s="1"/>
  <c r="O364" i="23"/>
  <c r="N364" i="23"/>
  <c r="M364" i="23"/>
  <c r="AE363" i="23"/>
  <c r="AD363" i="23"/>
  <c r="S363" i="23"/>
  <c r="P363" i="23"/>
  <c r="AJ363" i="23" s="1"/>
  <c r="O363" i="23"/>
  <c r="N363" i="23"/>
  <c r="M363" i="23"/>
  <c r="AE362" i="23"/>
  <c r="AD362" i="23"/>
  <c r="S362" i="23"/>
  <c r="P362" i="23"/>
  <c r="AJ362" i="23" s="1"/>
  <c r="O362" i="23"/>
  <c r="N362" i="23"/>
  <c r="M362" i="23"/>
  <c r="AE361" i="23"/>
  <c r="AD361" i="23"/>
  <c r="S361" i="23"/>
  <c r="P361" i="23"/>
  <c r="AJ361" i="23" s="1"/>
  <c r="O361" i="23"/>
  <c r="N361" i="23"/>
  <c r="M361" i="23"/>
  <c r="AE360" i="23"/>
  <c r="AD360" i="23"/>
  <c r="S360" i="23"/>
  <c r="P360" i="23"/>
  <c r="AJ360" i="23" s="1"/>
  <c r="O360" i="23"/>
  <c r="N360" i="23"/>
  <c r="M360" i="23"/>
  <c r="AE359" i="23"/>
  <c r="AD359" i="23"/>
  <c r="S359" i="23"/>
  <c r="P359" i="23"/>
  <c r="AJ359" i="23" s="1"/>
  <c r="O359" i="23"/>
  <c r="N359" i="23"/>
  <c r="M359" i="23"/>
  <c r="AE358" i="23"/>
  <c r="AD358" i="23"/>
  <c r="S358" i="23"/>
  <c r="P358" i="23"/>
  <c r="AJ358" i="23" s="1"/>
  <c r="O358" i="23"/>
  <c r="N358" i="23"/>
  <c r="M358" i="23"/>
  <c r="AE357" i="23"/>
  <c r="AD357" i="23"/>
  <c r="S357" i="23"/>
  <c r="P357" i="23"/>
  <c r="AJ357" i="23" s="1"/>
  <c r="O357" i="23"/>
  <c r="N357" i="23"/>
  <c r="M357" i="23"/>
  <c r="AE356" i="23"/>
  <c r="AD356" i="23"/>
  <c r="S356" i="23"/>
  <c r="P356" i="23"/>
  <c r="AJ356" i="23" s="1"/>
  <c r="O356" i="23"/>
  <c r="N356" i="23"/>
  <c r="M356" i="23"/>
  <c r="AE355" i="23"/>
  <c r="AD355" i="23"/>
  <c r="S355" i="23"/>
  <c r="P355" i="23"/>
  <c r="AJ355" i="23" s="1"/>
  <c r="O355" i="23"/>
  <c r="N355" i="23"/>
  <c r="M355" i="23"/>
  <c r="AE354" i="23"/>
  <c r="AD354" i="23"/>
  <c r="S354" i="23"/>
  <c r="P354" i="23"/>
  <c r="AJ354" i="23" s="1"/>
  <c r="O354" i="23"/>
  <c r="N354" i="23"/>
  <c r="M354" i="23"/>
  <c r="AE353" i="23"/>
  <c r="AD353" i="23"/>
  <c r="S353" i="23"/>
  <c r="P353" i="23"/>
  <c r="AJ353" i="23" s="1"/>
  <c r="O353" i="23"/>
  <c r="N353" i="23"/>
  <c r="M353" i="23"/>
  <c r="Y420" i="23"/>
  <c r="AC382" i="23"/>
  <c r="AC383" i="23"/>
  <c r="X420" i="23"/>
  <c r="AA420" i="23"/>
  <c r="AB420" i="23"/>
  <c r="AA410" i="23"/>
  <c r="Y410" i="23"/>
  <c r="X410" i="23"/>
  <c r="AB410" i="23"/>
  <c r="AC384" i="23"/>
  <c r="AB427" i="23"/>
  <c r="AA427" i="23"/>
  <c r="X427" i="23"/>
  <c r="Y427" i="23"/>
  <c r="AB426" i="23"/>
  <c r="Y426" i="23"/>
  <c r="AA426" i="23"/>
  <c r="X426" i="23"/>
  <c r="X415" i="23"/>
  <c r="Y415" i="23"/>
  <c r="AA415" i="23"/>
  <c r="AB415" i="23"/>
  <c r="AB428" i="23"/>
  <c r="AA430" i="23"/>
  <c r="AB431" i="23"/>
  <c r="Y422" i="23"/>
  <c r="AB429" i="23"/>
  <c r="AA423" i="23"/>
  <c r="AA421" i="23"/>
  <c r="Y400" i="23"/>
  <c r="AA416" i="23"/>
  <c r="AC395" i="23"/>
  <c r="AC385" i="23"/>
  <c r="AA399" i="23"/>
  <c r="X419" i="23"/>
  <c r="AC390" i="23"/>
  <c r="AB396" i="23"/>
  <c r="Y416" i="23"/>
  <c r="AA401" i="23"/>
  <c r="AA398" i="23"/>
  <c r="AB402" i="23"/>
  <c r="AC389" i="23"/>
  <c r="Y396" i="23"/>
  <c r="AA417" i="23"/>
  <c r="Y417" i="23"/>
  <c r="Y399" i="23"/>
  <c r="X421" i="23"/>
  <c r="Y421" i="23"/>
  <c r="AC386" i="23"/>
  <c r="X431" i="23"/>
  <c r="Y423" i="23"/>
  <c r="AB399" i="23"/>
  <c r="X416" i="23"/>
  <c r="X396" i="23"/>
  <c r="X398" i="23"/>
  <c r="AB397" i="23"/>
  <c r="X399" i="23"/>
  <c r="Y428" i="23"/>
  <c r="X430" i="23"/>
  <c r="AA431" i="23"/>
  <c r="X422" i="23"/>
  <c r="X429" i="23"/>
  <c r="X423" i="23"/>
  <c r="X400" i="23"/>
  <c r="AB416" i="23"/>
  <c r="X401" i="23"/>
  <c r="AB421" i="23"/>
  <c r="AA396" i="23"/>
  <c r="Y419" i="23"/>
  <c r="AA418" i="23"/>
  <c r="AB400" i="23"/>
  <c r="X428" i="23"/>
  <c r="AB422" i="23"/>
  <c r="Y398" i="23"/>
  <c r="AB417" i="23"/>
  <c r="X402" i="23"/>
  <c r="AA402" i="23"/>
  <c r="Y401" i="23"/>
  <c r="AA428" i="23"/>
  <c r="AB430" i="23"/>
  <c r="Y431" i="23"/>
  <c r="AA422" i="23"/>
  <c r="Y429" i="23"/>
  <c r="AB423" i="23"/>
  <c r="Y402" i="23"/>
  <c r="AB411" i="23"/>
  <c r="AB398" i="23"/>
  <c r="AC393" i="23"/>
  <c r="AB419" i="23"/>
  <c r="X411" i="23"/>
  <c r="AC391" i="23"/>
  <c r="AC388" i="23"/>
  <c r="AA411" i="23"/>
  <c r="X397" i="23"/>
  <c r="X417" i="23"/>
  <c r="Y397" i="23"/>
  <c r="AC394" i="23"/>
  <c r="AB418" i="23"/>
  <c r="AA400" i="23"/>
  <c r="Y430" i="23"/>
  <c r="AA429" i="23"/>
  <c r="AA397" i="23"/>
  <c r="Y418" i="23"/>
  <c r="AB401" i="23"/>
  <c r="Y411" i="23"/>
  <c r="X418" i="23"/>
  <c r="AA419" i="23"/>
  <c r="Z423" i="23" l="1"/>
  <c r="R423" i="23" s="1"/>
  <c r="Z426" i="23"/>
  <c r="R426" i="23" s="1"/>
  <c r="Z429" i="23"/>
  <c r="R429" i="23" s="1"/>
  <c r="Z422" i="23"/>
  <c r="R422" i="23" s="1"/>
  <c r="Z427" i="23"/>
  <c r="R427" i="23" s="1"/>
  <c r="Z431" i="23"/>
  <c r="R431" i="23" s="1"/>
  <c r="Z430" i="23"/>
  <c r="R430" i="23" s="1"/>
  <c r="Z428" i="23"/>
  <c r="R428" i="23" s="1"/>
  <c r="R372" i="23"/>
  <c r="Z401" i="23"/>
  <c r="R401" i="23" s="1"/>
  <c r="Z400" i="23"/>
  <c r="R400" i="23" s="1"/>
  <c r="Z398" i="23"/>
  <c r="R398" i="23" s="1"/>
  <c r="Z402" i="23"/>
  <c r="R402" i="23" s="1"/>
  <c r="Z417" i="23"/>
  <c r="R417" i="23" s="1"/>
  <c r="Z411" i="23"/>
  <c r="R411" i="23" s="1"/>
  <c r="Z418" i="23"/>
  <c r="R418" i="23" s="1"/>
  <c r="Z419" i="23"/>
  <c r="R419" i="23" s="1"/>
  <c r="Z415" i="23"/>
  <c r="R415" i="23" s="1"/>
  <c r="Z397" i="23"/>
  <c r="R397" i="23" s="1"/>
  <c r="Z416" i="23"/>
  <c r="R416" i="23" s="1"/>
  <c r="Z421" i="23"/>
  <c r="R421" i="23" s="1"/>
  <c r="Z399" i="23"/>
  <c r="R399" i="23" s="1"/>
  <c r="Z420" i="23"/>
  <c r="R420" i="23" s="1"/>
  <c r="Z396" i="23"/>
  <c r="R396" i="23" s="1"/>
  <c r="Z410" i="23"/>
  <c r="R410" i="23" s="1"/>
  <c r="AH365" i="23"/>
  <c r="X372" i="23"/>
  <c r="AC372" i="23"/>
  <c r="U372" i="23" s="1"/>
  <c r="AB372" i="23"/>
  <c r="AA372" i="23"/>
  <c r="AB364" i="23"/>
  <c r="AA364" i="23"/>
  <c r="X364" i="23"/>
  <c r="AC364" i="23"/>
  <c r="AC365" i="23"/>
  <c r="X365" i="23"/>
  <c r="AB365" i="23"/>
  <c r="AA365" i="23"/>
  <c r="U388" i="23"/>
  <c r="U393" i="23"/>
  <c r="U385" i="23"/>
  <c r="U382" i="23"/>
  <c r="U390" i="23"/>
  <c r="U391" i="23"/>
  <c r="U384" i="23"/>
  <c r="U389" i="23"/>
  <c r="U386" i="23"/>
  <c r="U395" i="23"/>
  <c r="U394" i="23"/>
  <c r="U383" i="23"/>
  <c r="AH355" i="23"/>
  <c r="AH363" i="23"/>
  <c r="AH357" i="23"/>
  <c r="AH375" i="23"/>
  <c r="AH371" i="23"/>
  <c r="AH374" i="23"/>
  <c r="AH353" i="23"/>
  <c r="AH361" i="23"/>
  <c r="AH369" i="23"/>
  <c r="AH379" i="23"/>
  <c r="AH359" i="23"/>
  <c r="AH367" i="23"/>
  <c r="AH377" i="23"/>
  <c r="AH354" i="23"/>
  <c r="AH356" i="23"/>
  <c r="AH358" i="23"/>
  <c r="AH360" i="23"/>
  <c r="AH362" i="23"/>
  <c r="AH364" i="23"/>
  <c r="AH366" i="23"/>
  <c r="AH368" i="23"/>
  <c r="AH370" i="23"/>
  <c r="AH372" i="23"/>
  <c r="AH373" i="23"/>
  <c r="AH376" i="23"/>
  <c r="AH378" i="23"/>
  <c r="AH380" i="23"/>
  <c r="AE352" i="23"/>
  <c r="AD352" i="23"/>
  <c r="Y352" i="23" s="1"/>
  <c r="Z352" i="23" s="1"/>
  <c r="S352" i="23"/>
  <c r="P352" i="23"/>
  <c r="AJ352" i="23" s="1"/>
  <c r="O352" i="23"/>
  <c r="N352" i="23"/>
  <c r="M352" i="23"/>
  <c r="AE351" i="23"/>
  <c r="AD351" i="23"/>
  <c r="S351" i="23"/>
  <c r="P351" i="23"/>
  <c r="AJ351" i="23" s="1"/>
  <c r="O351" i="23"/>
  <c r="N351" i="23"/>
  <c r="M351" i="23"/>
  <c r="AE350" i="23"/>
  <c r="AD350" i="23"/>
  <c r="Y350" i="23" s="1"/>
  <c r="Z350" i="23" s="1"/>
  <c r="T350" i="23"/>
  <c r="S350" i="23"/>
  <c r="P350" i="23"/>
  <c r="AJ350" i="23" s="1"/>
  <c r="O350" i="23"/>
  <c r="N350" i="23"/>
  <c r="M350" i="23"/>
  <c r="AE349" i="23"/>
  <c r="AD349" i="23"/>
  <c r="T349" i="23"/>
  <c r="S349" i="23"/>
  <c r="P349" i="23"/>
  <c r="AJ349" i="23" s="1"/>
  <c r="O349" i="23"/>
  <c r="N349" i="23"/>
  <c r="M349" i="23"/>
  <c r="AE348" i="23"/>
  <c r="AD348" i="23"/>
  <c r="S348" i="23"/>
  <c r="P348" i="23"/>
  <c r="AJ348" i="23" s="1"/>
  <c r="O348" i="23"/>
  <c r="N348" i="23"/>
  <c r="M348" i="23"/>
  <c r="AE347" i="23"/>
  <c r="AD347" i="23"/>
  <c r="S347" i="23"/>
  <c r="P347" i="23"/>
  <c r="AJ347" i="23" s="1"/>
  <c r="O347" i="23"/>
  <c r="N347" i="23"/>
  <c r="M347" i="23"/>
  <c r="AE346" i="23"/>
  <c r="AD346" i="23"/>
  <c r="S346" i="23"/>
  <c r="P346" i="23"/>
  <c r="AJ346" i="23" s="1"/>
  <c r="O346" i="23"/>
  <c r="N346" i="23"/>
  <c r="M346" i="23"/>
  <c r="AE345" i="23"/>
  <c r="AD345" i="23"/>
  <c r="S345" i="23"/>
  <c r="P345" i="23"/>
  <c r="AJ345" i="23" s="1"/>
  <c r="O345" i="23"/>
  <c r="N345" i="23"/>
  <c r="M345" i="23"/>
  <c r="Y382" i="23"/>
  <c r="Y383" i="23"/>
  <c r="AA382" i="23"/>
  <c r="X382" i="23"/>
  <c r="AB382" i="23"/>
  <c r="X383" i="23"/>
  <c r="AA383" i="23"/>
  <c r="AB383" i="23"/>
  <c r="X384" i="23"/>
  <c r="Y384" i="23"/>
  <c r="AA384" i="23"/>
  <c r="AB384" i="23"/>
  <c r="AB393" i="23"/>
  <c r="AB386" i="23"/>
  <c r="Y395" i="23"/>
  <c r="AB389" i="23"/>
  <c r="X391" i="23"/>
  <c r="AB388" i="23"/>
  <c r="Y388" i="23"/>
  <c r="AB390" i="23"/>
  <c r="Y393" i="23"/>
  <c r="Y390" i="23"/>
  <c r="AA391" i="23"/>
  <c r="AA394" i="23"/>
  <c r="AB395" i="23"/>
  <c r="AA385" i="23"/>
  <c r="X386" i="23"/>
  <c r="AB385" i="23"/>
  <c r="AC373" i="23"/>
  <c r="AA388" i="23"/>
  <c r="AB394" i="23"/>
  <c r="AC375" i="23"/>
  <c r="Y394" i="23"/>
  <c r="AA395" i="23"/>
  <c r="AC374" i="23"/>
  <c r="X389" i="23"/>
  <c r="X395" i="23"/>
  <c r="AB391" i="23"/>
  <c r="X388" i="23"/>
  <c r="AA393" i="23"/>
  <c r="X385" i="23"/>
  <c r="Y391" i="23"/>
  <c r="X390" i="23"/>
  <c r="X394" i="23"/>
  <c r="AA389" i="23"/>
  <c r="Y385" i="23"/>
  <c r="Y389" i="23"/>
  <c r="Y386" i="23"/>
  <c r="AA386" i="23"/>
  <c r="X393" i="23"/>
  <c r="AA390" i="23"/>
  <c r="R350" i="23" l="1"/>
  <c r="Z394" i="23"/>
  <c r="R394" i="23" s="1"/>
  <c r="Z385" i="23"/>
  <c r="R385" i="23" s="1"/>
  <c r="Z395" i="23"/>
  <c r="R395" i="23" s="1"/>
  <c r="Z391" i="23"/>
  <c r="R391" i="23" s="1"/>
  <c r="Z393" i="23"/>
  <c r="R393" i="23" s="1"/>
  <c r="Z384" i="23"/>
  <c r="R384" i="23" s="1"/>
  <c r="Z386" i="23"/>
  <c r="R386" i="23" s="1"/>
  <c r="Z390" i="23"/>
  <c r="R390" i="23" s="1"/>
  <c r="Z388" i="23"/>
  <c r="R388" i="23" s="1"/>
  <c r="Z383" i="23"/>
  <c r="R383" i="23" s="1"/>
  <c r="Z389" i="23"/>
  <c r="R389" i="23" s="1"/>
  <c r="Z382" i="23"/>
  <c r="R382" i="23" s="1"/>
  <c r="AC350" i="23"/>
  <c r="X350" i="23"/>
  <c r="AB350" i="23"/>
  <c r="AA350" i="23"/>
  <c r="AA352" i="23"/>
  <c r="AC352" i="23"/>
  <c r="X352" i="23"/>
  <c r="AB352" i="23"/>
  <c r="U374" i="23"/>
  <c r="U375" i="23"/>
  <c r="U373" i="23"/>
  <c r="AH350" i="23"/>
  <c r="AH345" i="23"/>
  <c r="AH351" i="23"/>
  <c r="AH346" i="23"/>
  <c r="AH347" i="23"/>
  <c r="AH348" i="23"/>
  <c r="AH349" i="23"/>
  <c r="AH352" i="23"/>
  <c r="M344" i="23"/>
  <c r="AB374" i="23"/>
  <c r="AA375" i="23"/>
  <c r="AA373" i="23"/>
  <c r="Y373" i="23"/>
  <c r="Y374" i="23"/>
  <c r="Y375" i="23"/>
  <c r="AB375" i="23"/>
  <c r="X373" i="23"/>
  <c r="X375" i="23"/>
  <c r="AA374" i="23"/>
  <c r="AC349" i="23"/>
  <c r="AB373" i="23"/>
  <c r="X374" i="23"/>
  <c r="Z373" i="23" l="1"/>
  <c r="R373" i="23" s="1"/>
  <c r="Z375" i="23"/>
  <c r="R375" i="23" s="1"/>
  <c r="Z374" i="23"/>
  <c r="R374" i="23" s="1"/>
  <c r="U349" i="23"/>
  <c r="U350" i="23"/>
  <c r="AE344" i="23"/>
  <c r="AD344" i="23"/>
  <c r="Y344" i="23" s="1"/>
  <c r="Z344" i="23" s="1"/>
  <c r="S344" i="23"/>
  <c r="P344" i="23"/>
  <c r="AJ344" i="23" s="1"/>
  <c r="O344" i="23"/>
  <c r="N344" i="23"/>
  <c r="AE343" i="23"/>
  <c r="AD343" i="23"/>
  <c r="Y343" i="23" s="1"/>
  <c r="Z343" i="23" s="1"/>
  <c r="S343" i="23"/>
  <c r="P343" i="23"/>
  <c r="AJ343" i="23" s="1"/>
  <c r="O343" i="23"/>
  <c r="N343" i="23"/>
  <c r="M343" i="23"/>
  <c r="AE342" i="23"/>
  <c r="AD342" i="23"/>
  <c r="Y342" i="23" s="1"/>
  <c r="Z342" i="23" s="1"/>
  <c r="S342" i="23"/>
  <c r="P342" i="23"/>
  <c r="AJ342" i="23" s="1"/>
  <c r="O342" i="23"/>
  <c r="N342" i="23"/>
  <c r="M342" i="23"/>
  <c r="AE341" i="23"/>
  <c r="AD341" i="23"/>
  <c r="Y341" i="23" s="1"/>
  <c r="Z341" i="23" s="1"/>
  <c r="S341" i="23"/>
  <c r="P341" i="23"/>
  <c r="AJ341" i="23" s="1"/>
  <c r="O341" i="23"/>
  <c r="N341" i="23"/>
  <c r="M341" i="23"/>
  <c r="AE340" i="23"/>
  <c r="AD340" i="23"/>
  <c r="Y340" i="23" s="1"/>
  <c r="Z340" i="23" s="1"/>
  <c r="S340" i="23"/>
  <c r="P340" i="23"/>
  <c r="AJ340" i="23" s="1"/>
  <c r="O340" i="23"/>
  <c r="N340" i="23"/>
  <c r="M340" i="23"/>
  <c r="AE339" i="23"/>
  <c r="AD339" i="23"/>
  <c r="Y339" i="23" s="1"/>
  <c r="Z339" i="23" s="1"/>
  <c r="S339" i="23"/>
  <c r="P339" i="23"/>
  <c r="AH339" i="23" s="1"/>
  <c r="O339" i="23"/>
  <c r="N339" i="23"/>
  <c r="M339" i="23"/>
  <c r="AA349" i="23"/>
  <c r="Y349" i="23"/>
  <c r="AB349" i="23"/>
  <c r="X349" i="23"/>
  <c r="Z349" i="23" l="1"/>
  <c r="R349" i="23" s="1"/>
  <c r="AA344" i="23"/>
  <c r="AC344" i="23"/>
  <c r="U344" i="23" s="1"/>
  <c r="X344" i="23"/>
  <c r="AB344" i="23"/>
  <c r="AB339" i="23"/>
  <c r="AA339" i="23"/>
  <c r="X339" i="23"/>
  <c r="AC339" i="23"/>
  <c r="AA340" i="23"/>
  <c r="AC340" i="23"/>
  <c r="X340" i="23"/>
  <c r="AB340" i="23"/>
  <c r="AC341" i="23"/>
  <c r="X341" i="23"/>
  <c r="AB341" i="23"/>
  <c r="AA341" i="23"/>
  <c r="AC342" i="23"/>
  <c r="U342" i="23" s="1"/>
  <c r="X342" i="23"/>
  <c r="AB342" i="23"/>
  <c r="AA342" i="23"/>
  <c r="AB343" i="23"/>
  <c r="AA343" i="23"/>
  <c r="AC343" i="23"/>
  <c r="U343" i="23" s="1"/>
  <c r="X343" i="23"/>
  <c r="AH343" i="23"/>
  <c r="AH342" i="23"/>
  <c r="AH344" i="23"/>
  <c r="AJ339" i="23"/>
  <c r="AH340" i="23"/>
  <c r="AH341" i="23"/>
  <c r="AE338" i="23"/>
  <c r="AD338" i="23"/>
  <c r="Y338" i="23" s="1"/>
  <c r="Z338" i="23" s="1"/>
  <c r="S338" i="23"/>
  <c r="P338" i="23"/>
  <c r="AJ338" i="23" s="1"/>
  <c r="O338" i="23"/>
  <c r="N338" i="23"/>
  <c r="M338" i="23"/>
  <c r="AE337" i="23"/>
  <c r="AD337" i="23"/>
  <c r="Y337" i="23" s="1"/>
  <c r="Z337" i="23" s="1"/>
  <c r="S337" i="23"/>
  <c r="P337" i="23"/>
  <c r="AH337" i="23" s="1"/>
  <c r="O337" i="23"/>
  <c r="N337" i="23"/>
  <c r="M337" i="23"/>
  <c r="AC337" i="23" l="1"/>
  <c r="X337" i="23"/>
  <c r="AB337" i="23"/>
  <c r="AA337" i="23"/>
  <c r="AC338" i="23"/>
  <c r="X338" i="23"/>
  <c r="AB338" i="23"/>
  <c r="AA338" i="23"/>
  <c r="U337" i="23"/>
  <c r="AH338" i="23"/>
  <c r="AJ337" i="23"/>
  <c r="AE336" i="23"/>
  <c r="AD336" i="23"/>
  <c r="Y336" i="23" s="1"/>
  <c r="Z336" i="23" s="1"/>
  <c r="T336" i="23"/>
  <c r="S336" i="23"/>
  <c r="P336" i="23"/>
  <c r="AH336" i="23" s="1"/>
  <c r="O336" i="23"/>
  <c r="N336" i="23"/>
  <c r="M336" i="23"/>
  <c r="AE335" i="23"/>
  <c r="AD335" i="23"/>
  <c r="Y335" i="23" s="1"/>
  <c r="Z335" i="23" s="1"/>
  <c r="T335" i="23"/>
  <c r="S335" i="23"/>
  <c r="P335" i="23"/>
  <c r="AJ335" i="23" s="1"/>
  <c r="O335" i="23"/>
  <c r="N335" i="23"/>
  <c r="M335" i="23"/>
  <c r="R336" i="23" l="1"/>
  <c r="R335" i="23"/>
  <c r="AB335" i="23"/>
  <c r="AA335" i="23"/>
  <c r="X335" i="23"/>
  <c r="AC335" i="23"/>
  <c r="U335" i="23" s="1"/>
  <c r="AA336" i="23"/>
  <c r="AC336" i="23"/>
  <c r="U336" i="23" s="1"/>
  <c r="X336" i="23"/>
  <c r="AB336" i="23"/>
  <c r="AH335" i="23"/>
  <c r="AJ336" i="23"/>
  <c r="AE334" i="23"/>
  <c r="AD334" i="23"/>
  <c r="Y334" i="23" s="1"/>
  <c r="Z334" i="23" s="1"/>
  <c r="S334" i="23"/>
  <c r="P334" i="23"/>
  <c r="AH334" i="23" s="1"/>
  <c r="O334" i="23"/>
  <c r="N334" i="23"/>
  <c r="M334" i="23"/>
  <c r="AC334" i="23" l="1"/>
  <c r="U334" i="23" s="1"/>
  <c r="X334" i="23"/>
  <c r="AB334" i="23"/>
  <c r="AA334" i="23"/>
  <c r="AJ334" i="23"/>
  <c r="AE333" i="23"/>
  <c r="AD333" i="23"/>
  <c r="Y333" i="23" s="1"/>
  <c r="Z333" i="23" s="1"/>
  <c r="S333" i="23"/>
  <c r="P333" i="23"/>
  <c r="AH333" i="23" s="1"/>
  <c r="O333" i="23"/>
  <c r="N333" i="23"/>
  <c r="M333" i="23"/>
  <c r="AC333" i="23" l="1"/>
  <c r="X333" i="23"/>
  <c r="AB333" i="23"/>
  <c r="AA333" i="23"/>
  <c r="U333" i="23"/>
  <c r="AJ333" i="23"/>
  <c r="AE332" i="23"/>
  <c r="AD332" i="23"/>
  <c r="Y332" i="23" s="1"/>
  <c r="Z332" i="23" s="1"/>
  <c r="S332" i="23"/>
  <c r="P332" i="23"/>
  <c r="AJ332" i="23" s="1"/>
  <c r="O332" i="23"/>
  <c r="N332" i="23"/>
  <c r="M332" i="23"/>
  <c r="AE331" i="23"/>
  <c r="AD331" i="23"/>
  <c r="Y331" i="23" s="1"/>
  <c r="Z331" i="23" s="1"/>
  <c r="S331" i="23"/>
  <c r="P331" i="23"/>
  <c r="AJ331" i="23" s="1"/>
  <c r="O331" i="23"/>
  <c r="N331" i="23"/>
  <c r="M331" i="23"/>
  <c r="AE330" i="23"/>
  <c r="AD330" i="23"/>
  <c r="Y330" i="23" s="1"/>
  <c r="Z330" i="23" s="1"/>
  <c r="S330" i="23"/>
  <c r="P330" i="23"/>
  <c r="AJ330" i="23" s="1"/>
  <c r="O330" i="23"/>
  <c r="N330" i="23"/>
  <c r="M330" i="23"/>
  <c r="AE329" i="23"/>
  <c r="AD329" i="23"/>
  <c r="Y329" i="23" s="1"/>
  <c r="Z329" i="23" s="1"/>
  <c r="S329" i="23"/>
  <c r="P329" i="23"/>
  <c r="AJ329" i="23" s="1"/>
  <c r="O329" i="23"/>
  <c r="N329" i="23"/>
  <c r="M329" i="23"/>
  <c r="AE328" i="23"/>
  <c r="AD328" i="23"/>
  <c r="Y328" i="23" s="1"/>
  <c r="Z328" i="23" s="1"/>
  <c r="S328" i="23"/>
  <c r="P328" i="23"/>
  <c r="AJ328" i="23" s="1"/>
  <c r="O328" i="23"/>
  <c r="N328" i="23"/>
  <c r="M328" i="23"/>
  <c r="AE327" i="23"/>
  <c r="AD327" i="23"/>
  <c r="Y327" i="23" s="1"/>
  <c r="Z327" i="23" s="1"/>
  <c r="S327" i="23"/>
  <c r="P327" i="23"/>
  <c r="AJ327" i="23" s="1"/>
  <c r="O327" i="23"/>
  <c r="N327" i="23"/>
  <c r="M327" i="23"/>
  <c r="AE326" i="23"/>
  <c r="AD326" i="23"/>
  <c r="Y326" i="23" s="1"/>
  <c r="Z326" i="23" s="1"/>
  <c r="S326" i="23"/>
  <c r="P326" i="23"/>
  <c r="AJ326" i="23" s="1"/>
  <c r="O326" i="23"/>
  <c r="N326" i="23"/>
  <c r="M326" i="23"/>
  <c r="AE325" i="23"/>
  <c r="AD325" i="23"/>
  <c r="S325" i="23"/>
  <c r="P325" i="23"/>
  <c r="AJ325" i="23" s="1"/>
  <c r="O325" i="23"/>
  <c r="N325" i="23"/>
  <c r="M325" i="23"/>
  <c r="AE324" i="23"/>
  <c r="AD324" i="23"/>
  <c r="Y324" i="23" s="1"/>
  <c r="Z324" i="23" s="1"/>
  <c r="S324" i="23"/>
  <c r="P324" i="23"/>
  <c r="AJ324" i="23" s="1"/>
  <c r="O324" i="23"/>
  <c r="N324" i="23"/>
  <c r="M324" i="23"/>
  <c r="AE323" i="23"/>
  <c r="AD323" i="23"/>
  <c r="Y323" i="23" s="1"/>
  <c r="Z323" i="23" s="1"/>
  <c r="S323" i="23"/>
  <c r="P323" i="23"/>
  <c r="AJ323" i="23" s="1"/>
  <c r="O323" i="23"/>
  <c r="N323" i="23"/>
  <c r="M323" i="23"/>
  <c r="AE322" i="23"/>
  <c r="AD322" i="23"/>
  <c r="Y322" i="23" s="1"/>
  <c r="Z322" i="23" s="1"/>
  <c r="S322" i="23"/>
  <c r="P322" i="23"/>
  <c r="AJ322" i="23" s="1"/>
  <c r="O322" i="23"/>
  <c r="N322" i="23"/>
  <c r="M322" i="23"/>
  <c r="AE321" i="23"/>
  <c r="AD321" i="23"/>
  <c r="Y321" i="23" s="1"/>
  <c r="Z321" i="23" s="1"/>
  <c r="S321" i="23"/>
  <c r="P321" i="23"/>
  <c r="AJ321" i="23" s="1"/>
  <c r="O321" i="23"/>
  <c r="N321" i="23"/>
  <c r="M321" i="23"/>
  <c r="AE320" i="23"/>
  <c r="AD320" i="23"/>
  <c r="Y320" i="23" s="1"/>
  <c r="Z320" i="23" s="1"/>
  <c r="S320" i="23"/>
  <c r="P320" i="23"/>
  <c r="AH320" i="23" s="1"/>
  <c r="O320" i="23"/>
  <c r="N320" i="23"/>
  <c r="M320" i="23"/>
  <c r="AC320" i="23" l="1"/>
  <c r="X320" i="23"/>
  <c r="AB320" i="23"/>
  <c r="AA320" i="23"/>
  <c r="AB321" i="23"/>
  <c r="AA321" i="23"/>
  <c r="AC321" i="23"/>
  <c r="U321" i="23" s="1"/>
  <c r="X321" i="23"/>
  <c r="AA322" i="23"/>
  <c r="AC322" i="23"/>
  <c r="AB322" i="23"/>
  <c r="X322" i="23"/>
  <c r="AC323" i="23"/>
  <c r="X323" i="23"/>
  <c r="AA323" i="23"/>
  <c r="AB323" i="23"/>
  <c r="AC324" i="23"/>
  <c r="X324" i="23"/>
  <c r="AB324" i="23"/>
  <c r="AA324" i="23"/>
  <c r="AC327" i="23"/>
  <c r="X327" i="23"/>
  <c r="AB327" i="23"/>
  <c r="AA327" i="23"/>
  <c r="AA326" i="23"/>
  <c r="AB326" i="23"/>
  <c r="X326" i="23"/>
  <c r="AC326" i="23"/>
  <c r="U326" i="23" s="1"/>
  <c r="AA328" i="23"/>
  <c r="X328" i="23"/>
  <c r="AC328" i="23"/>
  <c r="AB328" i="23"/>
  <c r="AC329" i="23"/>
  <c r="AB329" i="23"/>
  <c r="X329" i="23"/>
  <c r="AA329" i="23"/>
  <c r="AC330" i="23"/>
  <c r="X330" i="23"/>
  <c r="AB330" i="23"/>
  <c r="AA330" i="23"/>
  <c r="AB331" i="23"/>
  <c r="AA331" i="23"/>
  <c r="AC331" i="23"/>
  <c r="X331" i="23"/>
  <c r="AA332" i="23"/>
  <c r="AC332" i="23"/>
  <c r="X332" i="23"/>
  <c r="AB332" i="23"/>
  <c r="U320" i="23"/>
  <c r="U322" i="23"/>
  <c r="AH331" i="23"/>
  <c r="AH332" i="23"/>
  <c r="AH329" i="23"/>
  <c r="AH330" i="23"/>
  <c r="AH328" i="23"/>
  <c r="AH325" i="23"/>
  <c r="AH327" i="23"/>
  <c r="AH323" i="23"/>
  <c r="AH324" i="23"/>
  <c r="AH326" i="23"/>
  <c r="AH321" i="23"/>
  <c r="AH322" i="23"/>
  <c r="AJ320" i="23"/>
  <c r="AE319" i="23"/>
  <c r="AD319" i="23"/>
  <c r="Y319" i="23" s="1"/>
  <c r="Z319" i="23" s="1"/>
  <c r="S319" i="23"/>
  <c r="P319" i="23"/>
  <c r="AJ319" i="23" s="1"/>
  <c r="O319" i="23"/>
  <c r="N319" i="23"/>
  <c r="M319" i="23"/>
  <c r="AE318" i="23"/>
  <c r="AD318" i="23"/>
  <c r="Y318" i="23" s="1"/>
  <c r="Z318" i="23" s="1"/>
  <c r="S318" i="23"/>
  <c r="P318" i="23"/>
  <c r="AJ318" i="23" s="1"/>
  <c r="O318" i="23"/>
  <c r="N318" i="23"/>
  <c r="M318" i="23"/>
  <c r="AE317" i="23"/>
  <c r="AD317" i="23"/>
  <c r="Y317" i="23" s="1"/>
  <c r="Z317" i="23" s="1"/>
  <c r="S317" i="23"/>
  <c r="P317" i="23"/>
  <c r="AJ317" i="23" s="1"/>
  <c r="O317" i="23"/>
  <c r="N317" i="23"/>
  <c r="M317" i="23"/>
  <c r="AE316" i="23"/>
  <c r="AD316" i="23"/>
  <c r="Y316" i="23" s="1"/>
  <c r="Z316" i="23" s="1"/>
  <c r="S316" i="23"/>
  <c r="P316" i="23"/>
  <c r="AH316" i="23" s="1"/>
  <c r="O316" i="23"/>
  <c r="N316" i="23"/>
  <c r="M316" i="23"/>
  <c r="AE315" i="23"/>
  <c r="AD315" i="23"/>
  <c r="Y315" i="23" s="1"/>
  <c r="Z315" i="23" s="1"/>
  <c r="S315" i="23"/>
  <c r="P315" i="23"/>
  <c r="AJ315" i="23" s="1"/>
  <c r="O315" i="23"/>
  <c r="N315" i="23"/>
  <c r="M315" i="23"/>
  <c r="AE314" i="23"/>
  <c r="AD314" i="23"/>
  <c r="Y314" i="23" s="1"/>
  <c r="Z314" i="23" s="1"/>
  <c r="S314" i="23"/>
  <c r="P314" i="23"/>
  <c r="AH314" i="23" s="1"/>
  <c r="O314" i="23"/>
  <c r="N314" i="23"/>
  <c r="AE313" i="23"/>
  <c r="AD313" i="23"/>
  <c r="Y313" i="23" s="1"/>
  <c r="Z313" i="23" s="1"/>
  <c r="S313" i="23"/>
  <c r="P313" i="23"/>
  <c r="AJ313" i="23" s="1"/>
  <c r="O313" i="23"/>
  <c r="N313" i="23"/>
  <c r="M313" i="23"/>
  <c r="AE312" i="23"/>
  <c r="AD312" i="23"/>
  <c r="Y312" i="23" s="1"/>
  <c r="Z312" i="23" s="1"/>
  <c r="S312" i="23"/>
  <c r="P312" i="23"/>
  <c r="AJ312" i="23" s="1"/>
  <c r="O312" i="23"/>
  <c r="N312" i="23"/>
  <c r="M312" i="23"/>
  <c r="AE311" i="23"/>
  <c r="AD311" i="23"/>
  <c r="Y311" i="23" s="1"/>
  <c r="Z311" i="23" s="1"/>
  <c r="S311" i="23"/>
  <c r="P311" i="23"/>
  <c r="AJ311" i="23" s="1"/>
  <c r="O311" i="23"/>
  <c r="N311" i="23"/>
  <c r="M311" i="23"/>
  <c r="AE310" i="23"/>
  <c r="AD310" i="23"/>
  <c r="Y310" i="23" s="1"/>
  <c r="Z310" i="23" s="1"/>
  <c r="S310" i="23"/>
  <c r="P310" i="23"/>
  <c r="AJ310" i="23" s="1"/>
  <c r="O310" i="23"/>
  <c r="N310" i="23"/>
  <c r="M310" i="23"/>
  <c r="AE309" i="23"/>
  <c r="AD309" i="23"/>
  <c r="Y309" i="23" s="1"/>
  <c r="Z309" i="23" s="1"/>
  <c r="S309" i="23"/>
  <c r="P309" i="23"/>
  <c r="AJ309" i="23" s="1"/>
  <c r="O309" i="23"/>
  <c r="N309" i="23"/>
  <c r="M309" i="23"/>
  <c r="AE308" i="23"/>
  <c r="AD308" i="23"/>
  <c r="Y308" i="23" s="1"/>
  <c r="Z308" i="23" s="1"/>
  <c r="S308" i="23"/>
  <c r="P308" i="23"/>
  <c r="AJ308" i="23" s="1"/>
  <c r="O308" i="23"/>
  <c r="N308" i="23"/>
  <c r="M308" i="23"/>
  <c r="AE307" i="23"/>
  <c r="AD307" i="23"/>
  <c r="Y307" i="23" s="1"/>
  <c r="Z307" i="23" s="1"/>
  <c r="S307" i="23"/>
  <c r="P307" i="23"/>
  <c r="AJ307" i="23" s="1"/>
  <c r="O307" i="23"/>
  <c r="N307" i="23"/>
  <c r="M307" i="23"/>
  <c r="AE306" i="23"/>
  <c r="AD306" i="23"/>
  <c r="Y306" i="23" s="1"/>
  <c r="Z306" i="23" s="1"/>
  <c r="S306" i="23"/>
  <c r="P306" i="23"/>
  <c r="AJ306" i="23" s="1"/>
  <c r="O306" i="23"/>
  <c r="N306" i="23"/>
  <c r="M306" i="23"/>
  <c r="AE305" i="23"/>
  <c r="AD305" i="23"/>
  <c r="Y305" i="23" s="1"/>
  <c r="Z305" i="23" s="1"/>
  <c r="S305" i="23"/>
  <c r="P305" i="23"/>
  <c r="AJ305" i="23" s="1"/>
  <c r="O305" i="23"/>
  <c r="N305" i="23"/>
  <c r="M305" i="23"/>
  <c r="AE304" i="23"/>
  <c r="AD304" i="23"/>
  <c r="Y304" i="23" s="1"/>
  <c r="Z304" i="23" s="1"/>
  <c r="S304" i="23"/>
  <c r="P304" i="23"/>
  <c r="AJ304" i="23" s="1"/>
  <c r="O304" i="23"/>
  <c r="N304" i="23"/>
  <c r="M304" i="23"/>
  <c r="AE303" i="23"/>
  <c r="AD303" i="23"/>
  <c r="Y303" i="23" s="1"/>
  <c r="Z303" i="23" s="1"/>
  <c r="S303" i="23"/>
  <c r="P303" i="23"/>
  <c r="AJ303" i="23" s="1"/>
  <c r="O303" i="23"/>
  <c r="N303" i="23"/>
  <c r="M303" i="23"/>
  <c r="AE302" i="23"/>
  <c r="AD302" i="23"/>
  <c r="S302" i="23"/>
  <c r="P302" i="23"/>
  <c r="AJ302" i="23" s="1"/>
  <c r="O302" i="23"/>
  <c r="N302" i="23"/>
  <c r="M302" i="23"/>
  <c r="M301" i="23"/>
  <c r="N301" i="23"/>
  <c r="O301" i="23"/>
  <c r="P301" i="23"/>
  <c r="AJ301" i="23" s="1"/>
  <c r="S301" i="23"/>
  <c r="AD301" i="23"/>
  <c r="Y301" i="23" s="1"/>
  <c r="Z301" i="23" s="1"/>
  <c r="AE301" i="23"/>
  <c r="AE300" i="23"/>
  <c r="AD300" i="23"/>
  <c r="Y300" i="23" s="1"/>
  <c r="Z300" i="23" s="1"/>
  <c r="S300" i="23"/>
  <c r="P300" i="23"/>
  <c r="AJ300" i="23" s="1"/>
  <c r="O300" i="23"/>
  <c r="N300" i="23"/>
  <c r="M300" i="23"/>
  <c r="AE299" i="23"/>
  <c r="AD299" i="23"/>
  <c r="Y299" i="23" s="1"/>
  <c r="Z299" i="23" s="1"/>
  <c r="S299" i="23"/>
  <c r="P299" i="23"/>
  <c r="AJ299" i="23" s="1"/>
  <c r="O299" i="23"/>
  <c r="N299" i="23"/>
  <c r="M299" i="23"/>
  <c r="AB301" i="23" l="1"/>
  <c r="AA301" i="23"/>
  <c r="X301" i="23"/>
  <c r="AC301" i="23"/>
  <c r="AB317" i="23"/>
  <c r="AA317" i="23"/>
  <c r="X317" i="23"/>
  <c r="AC317" i="23"/>
  <c r="AC307" i="23"/>
  <c r="X307" i="23"/>
  <c r="AA307" i="23"/>
  <c r="AB307" i="23"/>
  <c r="AC308" i="23"/>
  <c r="X308" i="23"/>
  <c r="AB308" i="23"/>
  <c r="AA308" i="23"/>
  <c r="AA310" i="23"/>
  <c r="AB310" i="23"/>
  <c r="X310" i="23"/>
  <c r="AC310" i="23"/>
  <c r="AA314" i="23"/>
  <c r="AC314" i="23"/>
  <c r="AB314" i="23"/>
  <c r="X314" i="23"/>
  <c r="AC315" i="23"/>
  <c r="X315" i="23"/>
  <c r="AA315" i="23"/>
  <c r="AB315" i="23"/>
  <c r="AC316" i="23"/>
  <c r="X316" i="23"/>
  <c r="AB316" i="23"/>
  <c r="AA316" i="23"/>
  <c r="AA318" i="23"/>
  <c r="AB318" i="23"/>
  <c r="X318" i="23"/>
  <c r="AC318" i="23"/>
  <c r="AC319" i="23"/>
  <c r="X319" i="23"/>
  <c r="AB319" i="23"/>
  <c r="AA319" i="23"/>
  <c r="AC299" i="23"/>
  <c r="X299" i="23"/>
  <c r="AA299" i="23"/>
  <c r="AB299" i="23"/>
  <c r="AC300" i="23"/>
  <c r="X300" i="23"/>
  <c r="AB300" i="23"/>
  <c r="AA300" i="23"/>
  <c r="AC303" i="23"/>
  <c r="X303" i="23"/>
  <c r="AB303" i="23"/>
  <c r="AA303" i="23"/>
  <c r="AC304" i="23"/>
  <c r="U304" i="23" s="1"/>
  <c r="X304" i="23"/>
  <c r="AB304" i="23"/>
  <c r="AA304" i="23"/>
  <c r="AB305" i="23"/>
  <c r="AA305" i="23"/>
  <c r="AC305" i="23"/>
  <c r="X305" i="23"/>
  <c r="AA306" i="23"/>
  <c r="AC306" i="23"/>
  <c r="AB306" i="23"/>
  <c r="X306" i="23"/>
  <c r="AB309" i="23"/>
  <c r="AA309" i="23"/>
  <c r="X309" i="23"/>
  <c r="AC309" i="23"/>
  <c r="AC311" i="23"/>
  <c r="X311" i="23"/>
  <c r="AB311" i="23"/>
  <c r="AA311" i="23"/>
  <c r="AC312" i="23"/>
  <c r="X312" i="23"/>
  <c r="AB312" i="23"/>
  <c r="AA312" i="23"/>
  <c r="AB313" i="23"/>
  <c r="AA313" i="23"/>
  <c r="AC313" i="23"/>
  <c r="X313" i="23"/>
  <c r="AH301" i="23"/>
  <c r="AH310" i="23"/>
  <c r="AH319" i="23"/>
  <c r="AH302" i="23"/>
  <c r="AH317" i="23"/>
  <c r="AH312" i="23"/>
  <c r="AH318" i="23"/>
  <c r="AJ316" i="23"/>
  <c r="AH308" i="23"/>
  <c r="AH313" i="23"/>
  <c r="AH315" i="23"/>
  <c r="AJ314" i="23"/>
  <c r="AH306" i="23"/>
  <c r="AH304" i="23"/>
  <c r="AH300" i="23"/>
  <c r="AH299" i="23"/>
  <c r="AH303" i="23"/>
  <c r="AH305" i="23"/>
  <c r="AH307" i="23"/>
  <c r="AH309" i="23"/>
  <c r="AH311" i="23"/>
  <c r="AE298" i="23"/>
  <c r="AD298" i="23"/>
  <c r="S298" i="23"/>
  <c r="P298" i="23"/>
  <c r="AH298" i="23" s="1"/>
  <c r="O298" i="23"/>
  <c r="N298" i="23"/>
  <c r="M298" i="23"/>
  <c r="AE297" i="23"/>
  <c r="AD297" i="23"/>
  <c r="Y297" i="23" s="1"/>
  <c r="Z297" i="23" s="1"/>
  <c r="S297" i="23"/>
  <c r="P297" i="23"/>
  <c r="AJ297" i="23" s="1"/>
  <c r="O297" i="23"/>
  <c r="N297" i="23"/>
  <c r="M297" i="23"/>
  <c r="AE296" i="23"/>
  <c r="AD296" i="23"/>
  <c r="Y296" i="23" s="1"/>
  <c r="Z296" i="23" s="1"/>
  <c r="S296" i="23"/>
  <c r="P296" i="23"/>
  <c r="AH296" i="23" s="1"/>
  <c r="O296" i="23"/>
  <c r="N296" i="23"/>
  <c r="M296" i="23"/>
  <c r="AE295" i="23"/>
  <c r="AD295" i="23"/>
  <c r="Y295" i="23" s="1"/>
  <c r="Z295" i="23" s="1"/>
  <c r="S295" i="23"/>
  <c r="P295" i="23"/>
  <c r="AJ295" i="23" s="1"/>
  <c r="O295" i="23"/>
  <c r="N295" i="23"/>
  <c r="M295" i="23"/>
  <c r="AE294" i="23"/>
  <c r="AD294" i="23"/>
  <c r="Y294" i="23" s="1"/>
  <c r="Z294" i="23" s="1"/>
  <c r="S294" i="23"/>
  <c r="P294" i="23"/>
  <c r="AH294" i="23" s="1"/>
  <c r="O294" i="23"/>
  <c r="N294" i="23"/>
  <c r="M294" i="23"/>
  <c r="AE293" i="23"/>
  <c r="AD293" i="23"/>
  <c r="Y293" i="23" s="1"/>
  <c r="Z293" i="23" s="1"/>
  <c r="S293" i="23"/>
  <c r="P293" i="23"/>
  <c r="AJ293" i="23" s="1"/>
  <c r="O293" i="23"/>
  <c r="N293" i="23"/>
  <c r="M293" i="23"/>
  <c r="AE292" i="23"/>
  <c r="AD292" i="23"/>
  <c r="Y292" i="23" s="1"/>
  <c r="Z292" i="23" s="1"/>
  <c r="S292" i="23"/>
  <c r="P292" i="23"/>
  <c r="AH292" i="23" s="1"/>
  <c r="O292" i="23"/>
  <c r="N292" i="23"/>
  <c r="M292" i="23"/>
  <c r="AE291" i="23"/>
  <c r="AD291" i="23"/>
  <c r="Y291" i="23" s="1"/>
  <c r="Z291" i="23" s="1"/>
  <c r="S291" i="23"/>
  <c r="P291" i="23"/>
  <c r="AJ291" i="23" s="1"/>
  <c r="O291" i="23"/>
  <c r="N291" i="23"/>
  <c r="M291" i="23"/>
  <c r="AE290" i="23"/>
  <c r="AD290" i="23"/>
  <c r="Y290" i="23" s="1"/>
  <c r="Z290" i="23" s="1"/>
  <c r="S290" i="23"/>
  <c r="P290" i="23"/>
  <c r="AJ290" i="23" s="1"/>
  <c r="O290" i="23"/>
  <c r="N290" i="23"/>
  <c r="M290" i="23"/>
  <c r="AE289" i="23"/>
  <c r="AD289" i="23"/>
  <c r="Y289" i="23" s="1"/>
  <c r="Z289" i="23" s="1"/>
  <c r="S289" i="23"/>
  <c r="P289" i="23"/>
  <c r="AJ289" i="23" s="1"/>
  <c r="O289" i="23"/>
  <c r="N289" i="23"/>
  <c r="M289" i="23"/>
  <c r="AE288" i="23"/>
  <c r="AD288" i="23"/>
  <c r="Y288" i="23" s="1"/>
  <c r="Z288" i="23" s="1"/>
  <c r="S288" i="23"/>
  <c r="P288" i="23"/>
  <c r="AJ288" i="23" s="1"/>
  <c r="O288" i="23"/>
  <c r="N288" i="23"/>
  <c r="M288" i="23"/>
  <c r="AE287" i="23"/>
  <c r="AD287" i="23"/>
  <c r="Y287" i="23" s="1"/>
  <c r="Z287" i="23" s="1"/>
  <c r="S287" i="23"/>
  <c r="P287" i="23"/>
  <c r="AJ287" i="23" s="1"/>
  <c r="O287" i="23"/>
  <c r="N287" i="23"/>
  <c r="M287" i="23"/>
  <c r="AE286" i="23"/>
  <c r="AD286" i="23"/>
  <c r="Y286" i="23" s="1"/>
  <c r="Z286" i="23" s="1"/>
  <c r="S286" i="23"/>
  <c r="P286" i="23"/>
  <c r="AJ286" i="23" s="1"/>
  <c r="O286" i="23"/>
  <c r="N286" i="23"/>
  <c r="M286" i="23"/>
  <c r="AE285" i="23"/>
  <c r="AD285" i="23"/>
  <c r="Y285" i="23" s="1"/>
  <c r="Z285" i="23" s="1"/>
  <c r="S285" i="23"/>
  <c r="P285" i="23"/>
  <c r="AJ285" i="23" s="1"/>
  <c r="O285" i="23"/>
  <c r="N285" i="23"/>
  <c r="M285" i="23"/>
  <c r="AE284" i="23"/>
  <c r="AD284" i="23"/>
  <c r="Y284" i="23" s="1"/>
  <c r="Z284" i="23" s="1"/>
  <c r="S284" i="23"/>
  <c r="P284" i="23"/>
  <c r="AJ284" i="23" s="1"/>
  <c r="O284" i="23"/>
  <c r="N284" i="23"/>
  <c r="M284" i="23"/>
  <c r="AE283" i="23"/>
  <c r="AD283" i="23"/>
  <c r="Y283" i="23" s="1"/>
  <c r="Z283" i="23" s="1"/>
  <c r="S283" i="23"/>
  <c r="P283" i="23"/>
  <c r="AJ283" i="23" s="1"/>
  <c r="O283" i="23"/>
  <c r="N283" i="23"/>
  <c r="M283" i="23"/>
  <c r="AE282" i="23"/>
  <c r="AD282" i="23"/>
  <c r="Y282" i="23" s="1"/>
  <c r="Z282" i="23" s="1"/>
  <c r="S282" i="23"/>
  <c r="P282" i="23"/>
  <c r="AJ282" i="23" s="1"/>
  <c r="O282" i="23"/>
  <c r="N282" i="23"/>
  <c r="M282" i="23"/>
  <c r="AE281" i="23"/>
  <c r="AD281" i="23"/>
  <c r="Y281" i="23" s="1"/>
  <c r="Z281" i="23" s="1"/>
  <c r="S281" i="23"/>
  <c r="P281" i="23"/>
  <c r="AJ281" i="23" s="1"/>
  <c r="O281" i="23"/>
  <c r="N281" i="23"/>
  <c r="M281" i="23"/>
  <c r="AE280" i="23"/>
  <c r="AD280" i="23"/>
  <c r="Y280" i="23" s="1"/>
  <c r="Z280" i="23" s="1"/>
  <c r="S280" i="23"/>
  <c r="P280" i="23"/>
  <c r="AJ280" i="23" s="1"/>
  <c r="O280" i="23"/>
  <c r="N280" i="23"/>
  <c r="M280" i="23"/>
  <c r="AE279" i="23"/>
  <c r="AD279" i="23"/>
  <c r="Y279" i="23" s="1"/>
  <c r="Z279" i="23" s="1"/>
  <c r="S279" i="23"/>
  <c r="P279" i="23"/>
  <c r="AJ279" i="23" s="1"/>
  <c r="O279" i="23"/>
  <c r="N279" i="23"/>
  <c r="M279" i="23"/>
  <c r="AE278" i="23"/>
  <c r="AD278" i="23"/>
  <c r="Y278" i="23" s="1"/>
  <c r="Z278" i="23" s="1"/>
  <c r="S278" i="23"/>
  <c r="P278" i="23"/>
  <c r="AJ278" i="23" s="1"/>
  <c r="O278" i="23"/>
  <c r="N278" i="23"/>
  <c r="M278" i="23"/>
  <c r="AE277" i="23"/>
  <c r="AD277" i="23"/>
  <c r="Y277" i="23" s="1"/>
  <c r="Z277" i="23" s="1"/>
  <c r="S277" i="23"/>
  <c r="P277" i="23"/>
  <c r="AJ277" i="23" s="1"/>
  <c r="O277" i="23"/>
  <c r="N277" i="23"/>
  <c r="M277" i="23"/>
  <c r="AE276" i="23"/>
  <c r="AD276" i="23"/>
  <c r="Y276" i="23" s="1"/>
  <c r="Z276" i="23" s="1"/>
  <c r="S276" i="23"/>
  <c r="P276" i="23"/>
  <c r="AJ276" i="23" s="1"/>
  <c r="O276" i="23"/>
  <c r="N276" i="23"/>
  <c r="M276" i="23"/>
  <c r="AE275" i="23"/>
  <c r="AD275" i="23"/>
  <c r="Y275" i="23" s="1"/>
  <c r="Z275" i="23" s="1"/>
  <c r="S275" i="23"/>
  <c r="P275" i="23"/>
  <c r="AJ275" i="23" s="1"/>
  <c r="O275" i="23"/>
  <c r="N275" i="23"/>
  <c r="M275" i="23"/>
  <c r="AE274" i="23"/>
  <c r="AD274" i="23"/>
  <c r="Y274" i="23" s="1"/>
  <c r="Z274" i="23" s="1"/>
  <c r="S274" i="23"/>
  <c r="P274" i="23"/>
  <c r="AJ274" i="23" s="1"/>
  <c r="O274" i="23"/>
  <c r="N274" i="23"/>
  <c r="M274" i="23"/>
  <c r="AE273" i="23"/>
  <c r="AD273" i="23"/>
  <c r="Y273" i="23" s="1"/>
  <c r="Z273" i="23" s="1"/>
  <c r="S273" i="23"/>
  <c r="P273" i="23"/>
  <c r="AJ273" i="23" s="1"/>
  <c r="O273" i="23"/>
  <c r="N273" i="23"/>
  <c r="M273" i="23"/>
  <c r="AE272" i="23"/>
  <c r="AD272" i="23"/>
  <c r="Y272" i="23" s="1"/>
  <c r="Z272" i="23" s="1"/>
  <c r="S272" i="23"/>
  <c r="P272" i="23"/>
  <c r="AJ272" i="23" s="1"/>
  <c r="O272" i="23"/>
  <c r="N272" i="23"/>
  <c r="M272" i="23"/>
  <c r="AE271" i="23"/>
  <c r="AD271" i="23"/>
  <c r="Y271" i="23" s="1"/>
  <c r="Z271" i="23" s="1"/>
  <c r="S271" i="23"/>
  <c r="P271" i="23"/>
  <c r="AH271" i="23" s="1"/>
  <c r="O271" i="23"/>
  <c r="N271" i="23"/>
  <c r="M271" i="23"/>
  <c r="AC271" i="23" l="1"/>
  <c r="X271" i="23"/>
  <c r="AB271" i="23"/>
  <c r="AA271" i="23"/>
  <c r="AC272" i="23"/>
  <c r="X272" i="23"/>
  <c r="AB272" i="23"/>
  <c r="AA272" i="23"/>
  <c r="AB273" i="23"/>
  <c r="AA273" i="23"/>
  <c r="AC273" i="23"/>
  <c r="X273" i="23"/>
  <c r="AA274" i="23"/>
  <c r="AC274" i="23"/>
  <c r="AB274" i="23"/>
  <c r="X274" i="23"/>
  <c r="AC275" i="23"/>
  <c r="X275" i="23"/>
  <c r="AA275" i="23"/>
  <c r="AB275" i="23"/>
  <c r="AC276" i="23"/>
  <c r="X276" i="23"/>
  <c r="AB276" i="23"/>
  <c r="AA276" i="23"/>
  <c r="AB277" i="23"/>
  <c r="AA277" i="23"/>
  <c r="X277" i="23"/>
  <c r="AC277" i="23"/>
  <c r="AA278" i="23"/>
  <c r="AB278" i="23"/>
  <c r="X278" i="23"/>
  <c r="AC278" i="23"/>
  <c r="AC279" i="23"/>
  <c r="X279" i="23"/>
  <c r="AB279" i="23"/>
  <c r="AA279" i="23"/>
  <c r="AC280" i="23"/>
  <c r="X280" i="23"/>
  <c r="AB280" i="23"/>
  <c r="AA280" i="23"/>
  <c r="AB281" i="23"/>
  <c r="AA281" i="23"/>
  <c r="AC281" i="23"/>
  <c r="X281" i="23"/>
  <c r="AA282" i="23"/>
  <c r="AC282" i="23"/>
  <c r="AB282" i="23"/>
  <c r="X282" i="23"/>
  <c r="AC283" i="23"/>
  <c r="X283" i="23"/>
  <c r="AA283" i="23"/>
  <c r="AB283" i="23"/>
  <c r="AC284" i="23"/>
  <c r="X284" i="23"/>
  <c r="AB284" i="23"/>
  <c r="AA284" i="23"/>
  <c r="AB285" i="23"/>
  <c r="AA285" i="23"/>
  <c r="X285" i="23"/>
  <c r="AC285" i="23"/>
  <c r="AA286" i="23"/>
  <c r="AB286" i="23"/>
  <c r="X286" i="23"/>
  <c r="AC286" i="23"/>
  <c r="AC287" i="23"/>
  <c r="X287" i="23"/>
  <c r="AB287" i="23"/>
  <c r="AA287" i="23"/>
  <c r="AC288" i="23"/>
  <c r="X288" i="23"/>
  <c r="AB288" i="23"/>
  <c r="AA288" i="23"/>
  <c r="AB289" i="23"/>
  <c r="AA289" i="23"/>
  <c r="AC289" i="23"/>
  <c r="X289" i="23"/>
  <c r="AA290" i="23"/>
  <c r="AC290" i="23"/>
  <c r="AB290" i="23"/>
  <c r="X290" i="23"/>
  <c r="AC291" i="23"/>
  <c r="X291" i="23"/>
  <c r="AA291" i="23"/>
  <c r="AB291" i="23"/>
  <c r="AC292" i="23"/>
  <c r="U292" i="23" s="1"/>
  <c r="X292" i="23"/>
  <c r="AB292" i="23"/>
  <c r="AA292" i="23"/>
  <c r="AB293" i="23"/>
  <c r="AA293" i="23"/>
  <c r="X293" i="23"/>
  <c r="AC293" i="23"/>
  <c r="U293" i="23" s="1"/>
  <c r="AA294" i="23"/>
  <c r="AB294" i="23"/>
  <c r="X294" i="23"/>
  <c r="AC294" i="23"/>
  <c r="U294" i="23" s="1"/>
  <c r="AC295" i="23"/>
  <c r="X295" i="23"/>
  <c r="AB295" i="23"/>
  <c r="AA295" i="23"/>
  <c r="AC296" i="23"/>
  <c r="X296" i="23"/>
  <c r="AB296" i="23"/>
  <c r="AA296" i="23"/>
  <c r="AB297" i="23"/>
  <c r="AA297" i="23"/>
  <c r="AC297" i="23"/>
  <c r="X297" i="23"/>
  <c r="U296" i="23"/>
  <c r="AH290" i="23"/>
  <c r="AJ294" i="23"/>
  <c r="AJ296" i="23"/>
  <c r="AJ298" i="23"/>
  <c r="AH293" i="23"/>
  <c r="AH295" i="23"/>
  <c r="AH297" i="23"/>
  <c r="AJ292" i="23"/>
  <c r="AH289" i="23"/>
  <c r="AH291" i="23"/>
  <c r="AH288" i="23"/>
  <c r="AH287" i="23"/>
  <c r="AH286" i="23"/>
  <c r="AH284" i="23"/>
  <c r="AH285" i="23"/>
  <c r="AH283" i="23"/>
  <c r="AH282" i="23"/>
  <c r="AH280" i="23"/>
  <c r="AH281" i="23"/>
  <c r="AH279" i="23"/>
  <c r="AH278" i="23"/>
  <c r="AH276" i="23"/>
  <c r="AH275" i="23"/>
  <c r="AH277" i="23"/>
  <c r="AH273" i="23"/>
  <c r="AH272" i="23"/>
  <c r="AH274" i="23"/>
  <c r="AJ271" i="23"/>
  <c r="AE270" i="23"/>
  <c r="AD270" i="23"/>
  <c r="Y270" i="23" s="1"/>
  <c r="Z270" i="23" s="1"/>
  <c r="T270" i="23"/>
  <c r="S270" i="23"/>
  <c r="P270" i="23"/>
  <c r="AH270" i="23" s="1"/>
  <c r="O270" i="23"/>
  <c r="N270" i="23"/>
  <c r="M270" i="23"/>
  <c r="AE269" i="23"/>
  <c r="AD269" i="23"/>
  <c r="Y269" i="23" s="1"/>
  <c r="Z269" i="23" s="1"/>
  <c r="T269" i="23"/>
  <c r="S269" i="23"/>
  <c r="P269" i="23"/>
  <c r="AJ269" i="23" s="1"/>
  <c r="O269" i="23"/>
  <c r="N269" i="23"/>
  <c r="M269" i="23"/>
  <c r="AE268" i="23"/>
  <c r="AD268" i="23"/>
  <c r="Y268" i="23" s="1"/>
  <c r="Z268" i="23" s="1"/>
  <c r="S268" i="23"/>
  <c r="P268" i="23"/>
  <c r="AJ268" i="23" s="1"/>
  <c r="O268" i="23"/>
  <c r="N268" i="23"/>
  <c r="M268" i="23"/>
  <c r="AE267" i="23"/>
  <c r="AD267" i="23"/>
  <c r="Y267" i="23" s="1"/>
  <c r="Z267" i="23" s="1"/>
  <c r="S267" i="23"/>
  <c r="P267" i="23"/>
  <c r="AJ267" i="23" s="1"/>
  <c r="O267" i="23"/>
  <c r="N267" i="23"/>
  <c r="M267" i="23"/>
  <c r="AE266" i="23"/>
  <c r="AD266" i="23"/>
  <c r="Y266" i="23" s="1"/>
  <c r="Z266" i="23" s="1"/>
  <c r="S266" i="23"/>
  <c r="P266" i="23"/>
  <c r="AJ266" i="23" s="1"/>
  <c r="O266" i="23"/>
  <c r="N266" i="23"/>
  <c r="M266" i="23"/>
  <c r="AE265" i="23"/>
  <c r="AD265" i="23"/>
  <c r="Y265" i="23" s="1"/>
  <c r="Z265" i="23" s="1"/>
  <c r="S265" i="23"/>
  <c r="P265" i="23"/>
  <c r="AJ265" i="23" s="1"/>
  <c r="O265" i="23"/>
  <c r="N265" i="23"/>
  <c r="M265" i="23"/>
  <c r="AE264" i="23"/>
  <c r="AD264" i="23"/>
  <c r="Y264" i="23" s="1"/>
  <c r="Z264" i="23" s="1"/>
  <c r="S264" i="23"/>
  <c r="P264" i="23"/>
  <c r="AJ264" i="23" s="1"/>
  <c r="O264" i="23"/>
  <c r="N264" i="23"/>
  <c r="M264" i="23"/>
  <c r="AE263" i="23"/>
  <c r="AD263" i="23"/>
  <c r="Y263" i="23" s="1"/>
  <c r="Z263" i="23" s="1"/>
  <c r="S263" i="23"/>
  <c r="P263" i="23"/>
  <c r="AJ263" i="23" s="1"/>
  <c r="O263" i="23"/>
  <c r="N263" i="23"/>
  <c r="M263" i="23"/>
  <c r="AE262" i="23"/>
  <c r="AD262" i="23"/>
  <c r="Y262" i="23" s="1"/>
  <c r="Z262" i="23" s="1"/>
  <c r="S262" i="23"/>
  <c r="P262" i="23"/>
  <c r="AJ262" i="23" s="1"/>
  <c r="O262" i="23"/>
  <c r="N262" i="23"/>
  <c r="M262" i="23"/>
  <c r="AE261" i="23"/>
  <c r="AD261" i="23"/>
  <c r="Y261" i="23" s="1"/>
  <c r="Z261" i="23" s="1"/>
  <c r="S261" i="23"/>
  <c r="P261" i="23"/>
  <c r="AJ261" i="23" s="1"/>
  <c r="O261" i="23"/>
  <c r="N261" i="23"/>
  <c r="M261" i="23"/>
  <c r="AE260" i="23"/>
  <c r="AD260" i="23"/>
  <c r="Y260" i="23" s="1"/>
  <c r="Z260" i="23" s="1"/>
  <c r="S260" i="23"/>
  <c r="P260" i="23"/>
  <c r="AJ260" i="23" s="1"/>
  <c r="O260" i="23"/>
  <c r="N260" i="23"/>
  <c r="M260" i="23"/>
  <c r="AE259" i="23"/>
  <c r="AD259" i="23"/>
  <c r="Y259" i="23" s="1"/>
  <c r="Z259" i="23" s="1"/>
  <c r="S259" i="23"/>
  <c r="P259" i="23"/>
  <c r="AJ259" i="23" s="1"/>
  <c r="O259" i="23"/>
  <c r="N259" i="23"/>
  <c r="M259" i="23"/>
  <c r="AE258" i="23"/>
  <c r="AD258" i="23"/>
  <c r="Y258" i="23" s="1"/>
  <c r="Z258" i="23" s="1"/>
  <c r="S258" i="23"/>
  <c r="P258" i="23"/>
  <c r="AJ258" i="23" s="1"/>
  <c r="O258" i="23"/>
  <c r="N258" i="23"/>
  <c r="M258" i="23"/>
  <c r="AE257" i="23"/>
  <c r="AD257" i="23"/>
  <c r="Y257" i="23" s="1"/>
  <c r="Z257" i="23" s="1"/>
  <c r="S257" i="23"/>
  <c r="P257" i="23"/>
  <c r="AJ257" i="23" s="1"/>
  <c r="O257" i="23"/>
  <c r="N257" i="23"/>
  <c r="M257" i="23"/>
  <c r="AE256" i="23"/>
  <c r="AD256" i="23"/>
  <c r="Y256" i="23" s="1"/>
  <c r="Z256" i="23" s="1"/>
  <c r="S256" i="23"/>
  <c r="P256" i="23"/>
  <c r="AJ256" i="23" s="1"/>
  <c r="O256" i="23"/>
  <c r="N256" i="23"/>
  <c r="M256" i="23"/>
  <c r="AE255" i="23"/>
  <c r="AD255" i="23"/>
  <c r="Y255" i="23" s="1"/>
  <c r="Z255" i="23" s="1"/>
  <c r="S255" i="23"/>
  <c r="P255" i="23"/>
  <c r="AJ255" i="23" s="1"/>
  <c r="O255" i="23"/>
  <c r="N255" i="23"/>
  <c r="M255" i="23"/>
  <c r="AE254" i="23"/>
  <c r="AD254" i="23"/>
  <c r="Y254" i="23" s="1"/>
  <c r="Z254" i="23" s="1"/>
  <c r="S254" i="23"/>
  <c r="P254" i="23"/>
  <c r="AJ254" i="23" s="1"/>
  <c r="O254" i="23"/>
  <c r="N254" i="23"/>
  <c r="M254" i="23"/>
  <c r="AE253" i="23"/>
  <c r="AD253" i="23"/>
  <c r="Y253" i="23" s="1"/>
  <c r="Z253" i="23" s="1"/>
  <c r="S253" i="23"/>
  <c r="P253" i="23"/>
  <c r="AJ253" i="23" s="1"/>
  <c r="O253" i="23"/>
  <c r="N253" i="23"/>
  <c r="M253" i="23"/>
  <c r="AE252" i="23"/>
  <c r="AD252" i="23"/>
  <c r="Y252" i="23" s="1"/>
  <c r="Z252" i="23" s="1"/>
  <c r="S252" i="23"/>
  <c r="P252" i="23"/>
  <c r="AJ252" i="23" s="1"/>
  <c r="O252" i="23"/>
  <c r="N252" i="23"/>
  <c r="M252" i="23"/>
  <c r="AE251" i="23"/>
  <c r="AD251" i="23"/>
  <c r="Y251" i="23" s="1"/>
  <c r="Z251" i="23" s="1"/>
  <c r="T251" i="23"/>
  <c r="S251" i="23"/>
  <c r="P251" i="23"/>
  <c r="AJ251" i="23" s="1"/>
  <c r="O251" i="23"/>
  <c r="N251" i="23"/>
  <c r="M251" i="23"/>
  <c r="AE250" i="23"/>
  <c r="AD250" i="23"/>
  <c r="Y250" i="23" s="1"/>
  <c r="Z250" i="23" s="1"/>
  <c r="T250" i="23"/>
  <c r="S250" i="23"/>
  <c r="P250" i="23"/>
  <c r="AJ250" i="23" s="1"/>
  <c r="O250" i="23"/>
  <c r="N250" i="23"/>
  <c r="M250" i="23"/>
  <c r="AE249" i="23"/>
  <c r="AD249" i="23"/>
  <c r="Y249" i="23" s="1"/>
  <c r="Z249" i="23" s="1"/>
  <c r="S249" i="23"/>
  <c r="P249" i="23"/>
  <c r="AH249" i="23" s="1"/>
  <c r="O249" i="23"/>
  <c r="N249" i="23"/>
  <c r="M249" i="23"/>
  <c r="R269" i="23" l="1"/>
  <c r="R270" i="23"/>
  <c r="R250" i="23"/>
  <c r="R251" i="23"/>
  <c r="AB249" i="23"/>
  <c r="AA249" i="23"/>
  <c r="AC249" i="23"/>
  <c r="U249" i="23" s="1"/>
  <c r="X249" i="23"/>
  <c r="AA270" i="23"/>
  <c r="AB270" i="23"/>
  <c r="X270" i="23"/>
  <c r="AC270" i="23"/>
  <c r="U270" i="23" s="1"/>
  <c r="AC251" i="23"/>
  <c r="U251" i="23" s="1"/>
  <c r="X251" i="23"/>
  <c r="AA251" i="23"/>
  <c r="AB251" i="23"/>
  <c r="AC252" i="23"/>
  <c r="X252" i="23"/>
  <c r="AB252" i="23"/>
  <c r="AA252" i="23"/>
  <c r="AB253" i="23"/>
  <c r="AA253" i="23"/>
  <c r="X253" i="23"/>
  <c r="AC253" i="23"/>
  <c r="U253" i="23" s="1"/>
  <c r="AA254" i="23"/>
  <c r="AB254" i="23"/>
  <c r="X254" i="23"/>
  <c r="AC254" i="23"/>
  <c r="U254" i="23" s="1"/>
  <c r="AC255" i="23"/>
  <c r="X255" i="23"/>
  <c r="AB255" i="23"/>
  <c r="AA255" i="23"/>
  <c r="AC256" i="23"/>
  <c r="X256" i="23"/>
  <c r="AB256" i="23"/>
  <c r="AA256" i="23"/>
  <c r="AB257" i="23"/>
  <c r="AA257" i="23"/>
  <c r="AC257" i="23"/>
  <c r="X257" i="23"/>
  <c r="AA258" i="23"/>
  <c r="AC258" i="23"/>
  <c r="U258" i="23" s="1"/>
  <c r="AB258" i="23"/>
  <c r="X258" i="23"/>
  <c r="AC259" i="23"/>
  <c r="U259" i="23" s="1"/>
  <c r="X259" i="23"/>
  <c r="AA259" i="23"/>
  <c r="AB259" i="23"/>
  <c r="AC260" i="23"/>
  <c r="U260" i="23" s="1"/>
  <c r="X260" i="23"/>
  <c r="AB260" i="23"/>
  <c r="AA260" i="23"/>
  <c r="AB261" i="23"/>
  <c r="AA261" i="23"/>
  <c r="X261" i="23"/>
  <c r="AC261" i="23"/>
  <c r="U261" i="23" s="1"/>
  <c r="AA262" i="23"/>
  <c r="AB262" i="23"/>
  <c r="X262" i="23"/>
  <c r="AC262" i="23"/>
  <c r="AC263" i="23"/>
  <c r="X263" i="23"/>
  <c r="AB263" i="23"/>
  <c r="AA263" i="23"/>
  <c r="AC264" i="23"/>
  <c r="X264" i="23"/>
  <c r="AB264" i="23"/>
  <c r="AA264" i="23"/>
  <c r="AB265" i="23"/>
  <c r="AA265" i="23"/>
  <c r="AC265" i="23"/>
  <c r="X265" i="23"/>
  <c r="AA266" i="23"/>
  <c r="AC266" i="23"/>
  <c r="AB266" i="23"/>
  <c r="X266" i="23"/>
  <c r="AC267" i="23"/>
  <c r="X267" i="23"/>
  <c r="AA267" i="23"/>
  <c r="AB267" i="23"/>
  <c r="AC268" i="23"/>
  <c r="U268" i="23" s="1"/>
  <c r="X268" i="23"/>
  <c r="AB268" i="23"/>
  <c r="AA268" i="23"/>
  <c r="AB269" i="23"/>
  <c r="AA269" i="23"/>
  <c r="X269" i="23"/>
  <c r="AC269" i="23"/>
  <c r="U269" i="23" s="1"/>
  <c r="AA250" i="23"/>
  <c r="AC250" i="23"/>
  <c r="U250" i="23" s="1"/>
  <c r="AB250" i="23"/>
  <c r="X250" i="23"/>
  <c r="AH268" i="23"/>
  <c r="AH269" i="23"/>
  <c r="AJ270" i="23"/>
  <c r="AH251" i="23"/>
  <c r="AH255" i="23"/>
  <c r="AH256" i="23"/>
  <c r="AH262" i="23"/>
  <c r="AH264" i="23"/>
  <c r="AH266" i="23"/>
  <c r="AH263" i="23"/>
  <c r="AH265" i="23"/>
  <c r="AH267" i="23"/>
  <c r="AH250" i="23"/>
  <c r="AH252" i="23"/>
  <c r="AH253" i="23"/>
  <c r="AH254" i="23"/>
  <c r="AH257" i="23"/>
  <c r="AH258" i="23"/>
  <c r="AH259" i="23"/>
  <c r="AH260" i="23"/>
  <c r="AH261" i="23"/>
  <c r="AJ249" i="23"/>
  <c r="AE248" i="23"/>
  <c r="AD248" i="23"/>
  <c r="Y248" i="23" s="1"/>
  <c r="Z248" i="23" s="1"/>
  <c r="S248" i="23"/>
  <c r="P248" i="23"/>
  <c r="AJ248" i="23" s="1"/>
  <c r="O248" i="23"/>
  <c r="N248" i="23"/>
  <c r="M248" i="23"/>
  <c r="AE247" i="23"/>
  <c r="AD247" i="23"/>
  <c r="Y247" i="23" s="1"/>
  <c r="Z247" i="23" s="1"/>
  <c r="S247" i="23"/>
  <c r="P247" i="23"/>
  <c r="AJ247" i="23" s="1"/>
  <c r="O247" i="23"/>
  <c r="N247" i="23"/>
  <c r="M247" i="23"/>
  <c r="AE246" i="23"/>
  <c r="AD246" i="23"/>
  <c r="Y246" i="23" s="1"/>
  <c r="Z246" i="23" s="1"/>
  <c r="S246" i="23"/>
  <c r="P246" i="23"/>
  <c r="AJ246" i="23" s="1"/>
  <c r="O246" i="23"/>
  <c r="N246" i="23"/>
  <c r="M246" i="23"/>
  <c r="AE245" i="23"/>
  <c r="AD245" i="23"/>
  <c r="Y245" i="23" s="1"/>
  <c r="Z245" i="23" s="1"/>
  <c r="S245" i="23"/>
  <c r="P245" i="23"/>
  <c r="AJ245" i="23" s="1"/>
  <c r="O245" i="23"/>
  <c r="N245" i="23"/>
  <c r="M245" i="23"/>
  <c r="AB245" i="23" l="1"/>
  <c r="AA245" i="23"/>
  <c r="X245" i="23"/>
  <c r="AC245" i="23"/>
  <c r="AA246" i="23"/>
  <c r="AB246" i="23"/>
  <c r="X246" i="23"/>
  <c r="AC246" i="23"/>
  <c r="AC247" i="23"/>
  <c r="U247" i="23" s="1"/>
  <c r="X247" i="23"/>
  <c r="AB247" i="23"/>
  <c r="AA247" i="23"/>
  <c r="AC248" i="23"/>
  <c r="X248" i="23"/>
  <c r="AB248" i="23"/>
  <c r="AA248" i="23"/>
  <c r="AH245" i="23"/>
  <c r="AH247" i="23"/>
  <c r="AH248" i="23"/>
  <c r="AH246" i="23"/>
  <c r="AL9" i="26"/>
  <c r="AG9" i="26" s="1"/>
  <c r="AO9" i="26"/>
  <c r="AN9" i="26" s="1"/>
  <c r="AE9" i="26"/>
  <c r="AB10" i="26"/>
  <c r="AB11" i="26" s="1"/>
  <c r="AB12" i="26" s="1"/>
  <c r="AB13" i="26" s="1"/>
  <c r="AB14" i="26" s="1"/>
  <c r="AB15" i="26" s="1"/>
  <c r="AB16" i="26" s="1"/>
  <c r="AB17" i="26" s="1"/>
  <c r="AB18" i="26" s="1"/>
  <c r="AB19" i="26" s="1"/>
  <c r="AB20" i="26" s="1"/>
  <c r="AB21" i="26" s="1"/>
  <c r="AB22" i="26" s="1"/>
  <c r="AB23" i="26" s="1"/>
  <c r="AB24" i="26" s="1"/>
  <c r="AB25" i="26" s="1"/>
  <c r="AB26" i="26" s="1"/>
  <c r="AB27" i="26" s="1"/>
  <c r="AB28" i="26" s="1"/>
  <c r="AB29" i="26" s="1"/>
  <c r="AB30" i="26" s="1"/>
  <c r="AO30" i="26" s="1"/>
  <c r="AN30" i="26" s="1"/>
  <c r="AC9" i="26" l="1"/>
  <c r="AE28" i="26"/>
  <c r="AE20" i="26"/>
  <c r="AE27" i="26"/>
  <c r="AC27" i="26" s="1"/>
  <c r="AE23" i="26"/>
  <c r="AE19" i="26"/>
  <c r="AE15" i="26"/>
  <c r="AE11" i="26"/>
  <c r="AC11" i="26" s="1"/>
  <c r="AE29" i="26"/>
  <c r="AE25" i="26"/>
  <c r="AE21" i="26"/>
  <c r="AE17" i="26"/>
  <c r="AE13" i="26"/>
  <c r="AE24" i="26"/>
  <c r="AE16" i="26"/>
  <c r="AE12" i="26"/>
  <c r="AE30" i="26"/>
  <c r="AE26" i="26"/>
  <c r="AE22" i="26"/>
  <c r="AE18" i="26"/>
  <c r="AE14" i="26"/>
  <c r="AE10" i="26"/>
  <c r="AL12" i="26"/>
  <c r="AG12" i="26" s="1"/>
  <c r="AL28" i="26"/>
  <c r="AG28" i="26" s="1"/>
  <c r="AO19" i="26"/>
  <c r="AN19" i="26" s="1"/>
  <c r="AO23" i="26"/>
  <c r="AN23" i="26" s="1"/>
  <c r="AO27" i="26"/>
  <c r="AN27" i="26" s="1"/>
  <c r="AL16" i="26"/>
  <c r="AG16" i="26" s="1"/>
  <c r="AO11" i="26"/>
  <c r="AN11" i="26" s="1"/>
  <c r="AO15" i="26"/>
  <c r="AN15" i="26" s="1"/>
  <c r="AL13" i="26"/>
  <c r="AG13" i="26" s="1"/>
  <c r="AL17" i="26"/>
  <c r="AG17" i="26" s="1"/>
  <c r="AL21" i="26"/>
  <c r="AG21" i="26" s="1"/>
  <c r="AL25" i="26"/>
  <c r="AG25" i="26" s="1"/>
  <c r="AL29" i="26"/>
  <c r="AG29" i="26" s="1"/>
  <c r="AO12" i="26"/>
  <c r="AN12" i="26" s="1"/>
  <c r="AO16" i="26"/>
  <c r="AN16" i="26" s="1"/>
  <c r="AO20" i="26"/>
  <c r="AN20" i="26" s="1"/>
  <c r="AO24" i="26"/>
  <c r="AN24" i="26" s="1"/>
  <c r="AO28" i="26"/>
  <c r="AN28" i="26" s="1"/>
  <c r="AL24" i="26"/>
  <c r="AG24" i="26" s="1"/>
  <c r="AL10" i="26"/>
  <c r="AG10" i="26" s="1"/>
  <c r="AL14" i="26"/>
  <c r="AG14" i="26" s="1"/>
  <c r="AL18" i="26"/>
  <c r="AG18" i="26" s="1"/>
  <c r="AL22" i="26"/>
  <c r="AG22" i="26" s="1"/>
  <c r="AL26" i="26"/>
  <c r="AG26" i="26" s="1"/>
  <c r="AL30" i="26"/>
  <c r="AG30" i="26" s="1"/>
  <c r="AO13" i="26"/>
  <c r="AN13" i="26" s="1"/>
  <c r="AO17" i="26"/>
  <c r="AN17" i="26" s="1"/>
  <c r="AO21" i="26"/>
  <c r="AN21" i="26" s="1"/>
  <c r="AO25" i="26"/>
  <c r="AN25" i="26" s="1"/>
  <c r="AO29" i="26"/>
  <c r="AN29" i="26" s="1"/>
  <c r="AL20" i="26"/>
  <c r="AG20" i="26" s="1"/>
  <c r="AL11" i="26"/>
  <c r="AG11" i="26" s="1"/>
  <c r="AL15" i="26"/>
  <c r="AG15" i="26" s="1"/>
  <c r="AL19" i="26"/>
  <c r="AG19" i="26" s="1"/>
  <c r="AL23" i="26"/>
  <c r="AG23" i="26" s="1"/>
  <c r="AL27" i="26"/>
  <c r="AG27" i="26" s="1"/>
  <c r="AO10" i="26"/>
  <c r="AN10" i="26" s="1"/>
  <c r="AO14" i="26"/>
  <c r="AN14" i="26" s="1"/>
  <c r="AO18" i="26"/>
  <c r="AN18" i="26" s="1"/>
  <c r="AO22" i="26"/>
  <c r="AN22" i="26" s="1"/>
  <c r="AO26" i="26"/>
  <c r="AN26" i="26" s="1"/>
  <c r="AO6" i="26"/>
  <c r="AL6" i="26"/>
  <c r="AK6" i="26"/>
  <c r="AJ6" i="26"/>
  <c r="AI6" i="26"/>
  <c r="AH6" i="26"/>
  <c r="AD1" i="26"/>
  <c r="AC22" i="26" l="1"/>
  <c r="AC16" i="26"/>
  <c r="AC21" i="26"/>
  <c r="AC15" i="26"/>
  <c r="AC20" i="26"/>
  <c r="AC12" i="26"/>
  <c r="AC17" i="26"/>
  <c r="AC10" i="26"/>
  <c r="AC26" i="26"/>
  <c r="AC24" i="26"/>
  <c r="AC25" i="26"/>
  <c r="AC19" i="26"/>
  <c r="AC28" i="26"/>
  <c r="AC18" i="26"/>
  <c r="AC14" i="26"/>
  <c r="AC30" i="26"/>
  <c r="AC13" i="26"/>
  <c r="AC29" i="26"/>
  <c r="AC23" i="26"/>
  <c r="AC6" i="26"/>
  <c r="AE244" i="23"/>
  <c r="AD244" i="23"/>
  <c r="Y244" i="23" s="1"/>
  <c r="Z244" i="23" s="1"/>
  <c r="S244" i="23"/>
  <c r="P244" i="23"/>
  <c r="AJ244" i="23" s="1"/>
  <c r="O244" i="23"/>
  <c r="N244" i="23"/>
  <c r="M244" i="23"/>
  <c r="AE243" i="23"/>
  <c r="AD243" i="23"/>
  <c r="Y243" i="23" s="1"/>
  <c r="Z243" i="23" s="1"/>
  <c r="S243" i="23"/>
  <c r="P243" i="23"/>
  <c r="AJ243" i="23" s="1"/>
  <c r="O243" i="23"/>
  <c r="N243" i="23"/>
  <c r="M243" i="23"/>
  <c r="AE242" i="23"/>
  <c r="AD242" i="23"/>
  <c r="Y242" i="23" s="1"/>
  <c r="Z242" i="23" s="1"/>
  <c r="S242" i="23"/>
  <c r="P242" i="23"/>
  <c r="AJ242" i="23" s="1"/>
  <c r="O242" i="23"/>
  <c r="N242" i="23"/>
  <c r="M242" i="23"/>
  <c r="AE241" i="23"/>
  <c r="AD241" i="23"/>
  <c r="Y241" i="23" s="1"/>
  <c r="Z241" i="23" s="1"/>
  <c r="S241" i="23"/>
  <c r="P241" i="23"/>
  <c r="AJ241" i="23" s="1"/>
  <c r="O241" i="23"/>
  <c r="N241" i="23"/>
  <c r="M241" i="23"/>
  <c r="AE240" i="23"/>
  <c r="AD240" i="23"/>
  <c r="Y240" i="23" s="1"/>
  <c r="Z240" i="23" s="1"/>
  <c r="S240" i="23"/>
  <c r="P240" i="23"/>
  <c r="AJ240" i="23" s="1"/>
  <c r="O240" i="23"/>
  <c r="N240" i="23"/>
  <c r="M240" i="23"/>
  <c r="AB241" i="23" l="1"/>
  <c r="AA241" i="23"/>
  <c r="AC241" i="23"/>
  <c r="X241" i="23"/>
  <c r="AC243" i="23"/>
  <c r="U243" i="23" s="1"/>
  <c r="X243" i="23"/>
  <c r="AA243" i="23"/>
  <c r="AB243" i="23"/>
  <c r="AC244" i="23"/>
  <c r="X244" i="23"/>
  <c r="AB244" i="23"/>
  <c r="AA244" i="23"/>
  <c r="AC240" i="23"/>
  <c r="U240" i="23" s="1"/>
  <c r="X240" i="23"/>
  <c r="AB240" i="23"/>
  <c r="AA240" i="23"/>
  <c r="AA242" i="23"/>
  <c r="AC242" i="23"/>
  <c r="AB242" i="23"/>
  <c r="X242" i="23"/>
  <c r="AH244" i="23"/>
  <c r="AH242" i="23"/>
  <c r="AH240" i="23"/>
  <c r="AH241" i="23"/>
  <c r="AH243" i="23"/>
  <c r="AE239" i="23"/>
  <c r="AD239" i="23"/>
  <c r="Y239" i="23" s="1"/>
  <c r="Z239" i="23" s="1"/>
  <c r="S239" i="23"/>
  <c r="P239" i="23"/>
  <c r="AJ239" i="23" s="1"/>
  <c r="O239" i="23"/>
  <c r="N239" i="23"/>
  <c r="M239" i="23"/>
  <c r="AE238" i="23"/>
  <c r="AD238" i="23"/>
  <c r="Y238" i="23" s="1"/>
  <c r="Z238" i="23" s="1"/>
  <c r="S238" i="23"/>
  <c r="P238" i="23"/>
  <c r="AJ238" i="23" s="1"/>
  <c r="O238" i="23"/>
  <c r="N238" i="23"/>
  <c r="M238" i="23"/>
  <c r="AE237" i="23"/>
  <c r="AD237" i="23"/>
  <c r="Y237" i="23" s="1"/>
  <c r="Z237" i="23" s="1"/>
  <c r="S237" i="23"/>
  <c r="P237" i="23"/>
  <c r="AJ237" i="23" s="1"/>
  <c r="O237" i="23"/>
  <c r="N237" i="23"/>
  <c r="M237" i="23"/>
  <c r="AE236" i="23"/>
  <c r="AD236" i="23"/>
  <c r="Y236" i="23" s="1"/>
  <c r="Z236" i="23" s="1"/>
  <c r="S236" i="23"/>
  <c r="P236" i="23"/>
  <c r="AJ236" i="23" s="1"/>
  <c r="O236" i="23"/>
  <c r="N236" i="23"/>
  <c r="M236" i="23"/>
  <c r="AE235" i="23"/>
  <c r="AD235" i="23"/>
  <c r="Y235" i="23" s="1"/>
  <c r="Z235" i="23" s="1"/>
  <c r="S235" i="23"/>
  <c r="P235" i="23"/>
  <c r="AJ235" i="23" s="1"/>
  <c r="O235" i="23"/>
  <c r="N235" i="23"/>
  <c r="M235" i="23"/>
  <c r="AE234" i="23"/>
  <c r="AD234" i="23"/>
  <c r="Y234" i="23" s="1"/>
  <c r="Z234" i="23" s="1"/>
  <c r="S234" i="23"/>
  <c r="P234" i="23"/>
  <c r="AJ234" i="23" s="1"/>
  <c r="O234" i="23"/>
  <c r="N234" i="23"/>
  <c r="M234" i="23"/>
  <c r="AE233" i="23"/>
  <c r="AD233" i="23"/>
  <c r="Y233" i="23" s="1"/>
  <c r="Z233" i="23" s="1"/>
  <c r="S233" i="23"/>
  <c r="P233" i="23"/>
  <c r="AJ233" i="23" s="1"/>
  <c r="O233" i="23"/>
  <c r="N233" i="23"/>
  <c r="M233" i="23"/>
  <c r="AE232" i="23"/>
  <c r="AD232" i="23"/>
  <c r="Y232" i="23" s="1"/>
  <c r="Z232" i="23" s="1"/>
  <c r="S232" i="23"/>
  <c r="P232" i="23"/>
  <c r="AJ232" i="23" s="1"/>
  <c r="O232" i="23"/>
  <c r="N232" i="23"/>
  <c r="M232" i="23"/>
  <c r="AE231" i="23"/>
  <c r="AD231" i="23"/>
  <c r="Y231" i="23" s="1"/>
  <c r="Z231" i="23" s="1"/>
  <c r="S231" i="23"/>
  <c r="P231" i="23"/>
  <c r="AJ231" i="23" s="1"/>
  <c r="O231" i="23"/>
  <c r="N231" i="23"/>
  <c r="M231" i="23"/>
  <c r="AE230" i="23"/>
  <c r="AD230" i="23"/>
  <c r="Y230" i="23" s="1"/>
  <c r="Z230" i="23" s="1"/>
  <c r="S230" i="23"/>
  <c r="P230" i="23"/>
  <c r="AJ230" i="23" s="1"/>
  <c r="O230" i="23"/>
  <c r="N230" i="23"/>
  <c r="M230" i="23"/>
  <c r="AE229" i="23"/>
  <c r="AD229" i="23"/>
  <c r="Y229" i="23" s="1"/>
  <c r="Z229" i="23" s="1"/>
  <c r="S229" i="23"/>
  <c r="P229" i="23"/>
  <c r="AJ229" i="23" s="1"/>
  <c r="O229" i="23"/>
  <c r="N229" i="23"/>
  <c r="M229" i="23"/>
  <c r="AE228" i="23"/>
  <c r="AD228" i="23"/>
  <c r="Y228" i="23" s="1"/>
  <c r="Z228" i="23" s="1"/>
  <c r="S228" i="23"/>
  <c r="P228" i="23"/>
  <c r="AJ228" i="23" s="1"/>
  <c r="O228" i="23"/>
  <c r="N228" i="23"/>
  <c r="M228" i="23"/>
  <c r="AE227" i="23"/>
  <c r="AD227" i="23"/>
  <c r="Y227" i="23" s="1"/>
  <c r="Z227" i="23" s="1"/>
  <c r="S227" i="23"/>
  <c r="P227" i="23"/>
  <c r="AJ227" i="23" s="1"/>
  <c r="O227" i="23"/>
  <c r="N227" i="23"/>
  <c r="M227" i="23"/>
  <c r="AE226" i="23"/>
  <c r="AD226" i="23"/>
  <c r="Y226" i="23" s="1"/>
  <c r="Z226" i="23" s="1"/>
  <c r="S226" i="23"/>
  <c r="P226" i="23"/>
  <c r="AJ226" i="23" s="1"/>
  <c r="O226" i="23"/>
  <c r="N226" i="23"/>
  <c r="M226" i="23"/>
  <c r="AE225" i="23"/>
  <c r="AD225" i="23"/>
  <c r="Y225" i="23" s="1"/>
  <c r="Z225" i="23" s="1"/>
  <c r="S225" i="23"/>
  <c r="P225" i="23"/>
  <c r="AJ225" i="23" s="1"/>
  <c r="O225" i="23"/>
  <c r="N225" i="23"/>
  <c r="M225" i="23"/>
  <c r="AE224" i="23"/>
  <c r="AD224" i="23"/>
  <c r="Y224" i="23" s="1"/>
  <c r="Z224" i="23" s="1"/>
  <c r="S224" i="23"/>
  <c r="P224" i="23"/>
  <c r="AJ224" i="23" s="1"/>
  <c r="O224" i="23"/>
  <c r="N224" i="23"/>
  <c r="M224" i="23"/>
  <c r="AE223" i="23"/>
  <c r="AD223" i="23"/>
  <c r="Y223" i="23" s="1"/>
  <c r="Z223" i="23" s="1"/>
  <c r="S223" i="23"/>
  <c r="P223" i="23"/>
  <c r="AJ223" i="23" s="1"/>
  <c r="O223" i="23"/>
  <c r="N223" i="23"/>
  <c r="M223" i="23"/>
  <c r="AE222" i="23"/>
  <c r="AD222" i="23"/>
  <c r="Y222" i="23" s="1"/>
  <c r="Z222" i="23" s="1"/>
  <c r="S222" i="23"/>
  <c r="P222" i="23"/>
  <c r="AJ222" i="23" s="1"/>
  <c r="O222" i="23"/>
  <c r="N222" i="23"/>
  <c r="M222" i="23"/>
  <c r="AA226" i="23" l="1"/>
  <c r="AC226" i="23"/>
  <c r="AB226" i="23"/>
  <c r="X226" i="23"/>
  <c r="AC227" i="23"/>
  <c r="X227" i="23"/>
  <c r="AA227" i="23"/>
  <c r="AB227" i="23"/>
  <c r="AC228" i="23"/>
  <c r="X228" i="23"/>
  <c r="AB228" i="23"/>
  <c r="AA228" i="23"/>
  <c r="AA230" i="23"/>
  <c r="AB230" i="23"/>
  <c r="X230" i="23"/>
  <c r="AC230" i="23"/>
  <c r="U230" i="23" s="1"/>
  <c r="AC231" i="23"/>
  <c r="X231" i="23"/>
  <c r="AB231" i="23"/>
  <c r="AA231" i="23"/>
  <c r="AC232" i="23"/>
  <c r="X232" i="23"/>
  <c r="AB232" i="23"/>
  <c r="AA232" i="23"/>
  <c r="AB233" i="23"/>
  <c r="AA233" i="23"/>
  <c r="AC233" i="23"/>
  <c r="X233" i="23"/>
  <c r="AA234" i="23"/>
  <c r="AC234" i="23"/>
  <c r="AB234" i="23"/>
  <c r="X234" i="23"/>
  <c r="AC235" i="23"/>
  <c r="X235" i="23"/>
  <c r="AA235" i="23"/>
  <c r="AB235" i="23"/>
  <c r="AC236" i="23"/>
  <c r="X236" i="23"/>
  <c r="AB236" i="23"/>
  <c r="AA236" i="23"/>
  <c r="AB237" i="23"/>
  <c r="AA237" i="23"/>
  <c r="X237" i="23"/>
  <c r="AC237" i="23"/>
  <c r="AA238" i="23"/>
  <c r="AB238" i="23"/>
  <c r="X238" i="23"/>
  <c r="AC238" i="23"/>
  <c r="AC239" i="23"/>
  <c r="X239" i="23"/>
  <c r="AB239" i="23"/>
  <c r="AA239" i="23"/>
  <c r="AA222" i="23"/>
  <c r="AB222" i="23"/>
  <c r="X222" i="23"/>
  <c r="AC222" i="23"/>
  <c r="U222" i="23" s="1"/>
  <c r="AC223" i="23"/>
  <c r="X223" i="23"/>
  <c r="AB223" i="23"/>
  <c r="AA223" i="23"/>
  <c r="AC224" i="23"/>
  <c r="X224" i="23"/>
  <c r="AB224" i="23"/>
  <c r="AA224" i="23"/>
  <c r="AB225" i="23"/>
  <c r="AA225" i="23"/>
  <c r="AC225" i="23"/>
  <c r="X225" i="23"/>
  <c r="AB229" i="23"/>
  <c r="AA229" i="23"/>
  <c r="X229" i="23"/>
  <c r="AC229" i="23"/>
  <c r="U231" i="23"/>
  <c r="AH238" i="23"/>
  <c r="AH239" i="23"/>
  <c r="AH236" i="23"/>
  <c r="AH235" i="23"/>
  <c r="AH237" i="23"/>
  <c r="AH233" i="23"/>
  <c r="AH234" i="23"/>
  <c r="AH232" i="23"/>
  <c r="AH231" i="23"/>
  <c r="AH230" i="23"/>
  <c r="AH228" i="23"/>
  <c r="AH224" i="23"/>
  <c r="AH226" i="23"/>
  <c r="AH225" i="23"/>
  <c r="AH227" i="23"/>
  <c r="AH229" i="23"/>
  <c r="AH222" i="23"/>
  <c r="AH223" i="23"/>
  <c r="AE221" i="23"/>
  <c r="AD221" i="23"/>
  <c r="Y221" i="23" s="1"/>
  <c r="Z221" i="23" s="1"/>
  <c r="T221" i="23"/>
  <c r="S221" i="23"/>
  <c r="P221" i="23"/>
  <c r="AJ221" i="23" s="1"/>
  <c r="O221" i="23"/>
  <c r="N221" i="23"/>
  <c r="M221" i="23"/>
  <c r="AE220" i="23"/>
  <c r="AD220" i="23"/>
  <c r="Y220" i="23" s="1"/>
  <c r="Z220" i="23" s="1"/>
  <c r="T220" i="23"/>
  <c r="S220" i="23"/>
  <c r="P220" i="23"/>
  <c r="AJ220" i="23" s="1"/>
  <c r="O220" i="23"/>
  <c r="N220" i="23"/>
  <c r="M220" i="23"/>
  <c r="AE219" i="23"/>
  <c r="AD219" i="23"/>
  <c r="Y219" i="23" s="1"/>
  <c r="Z219" i="23" s="1"/>
  <c r="T219" i="23"/>
  <c r="S219" i="23"/>
  <c r="P219" i="23"/>
  <c r="AH219" i="23" s="1"/>
  <c r="O219" i="23"/>
  <c r="N219" i="23"/>
  <c r="M219" i="23"/>
  <c r="AE218" i="23"/>
  <c r="AD218" i="23"/>
  <c r="Y218" i="23" s="1"/>
  <c r="Z218" i="23" s="1"/>
  <c r="T218" i="23"/>
  <c r="S218" i="23"/>
  <c r="P218" i="23"/>
  <c r="AJ218" i="23" s="1"/>
  <c r="O218" i="23"/>
  <c r="N218" i="23"/>
  <c r="M218" i="23"/>
  <c r="R218" i="23" l="1"/>
  <c r="R219" i="23"/>
  <c r="R220" i="23"/>
  <c r="R221" i="23"/>
  <c r="AC219" i="23"/>
  <c r="U219" i="23" s="1"/>
  <c r="X219" i="23"/>
  <c r="AA219" i="23"/>
  <c r="AB219" i="23"/>
  <c r="AC220" i="23"/>
  <c r="U220" i="23" s="1"/>
  <c r="X220" i="23"/>
  <c r="AB220" i="23"/>
  <c r="AA220" i="23"/>
  <c r="AA218" i="23"/>
  <c r="AC218" i="23"/>
  <c r="U218" i="23" s="1"/>
  <c r="AB218" i="23"/>
  <c r="X218" i="23"/>
  <c r="AB221" i="23"/>
  <c r="AA221" i="23"/>
  <c r="X221" i="23"/>
  <c r="AC221" i="23"/>
  <c r="U221" i="23" s="1"/>
  <c r="AJ219" i="23"/>
  <c r="AH218" i="23"/>
  <c r="AH220" i="23"/>
  <c r="AH221" i="23"/>
  <c r="AE217" i="23"/>
  <c r="AD217" i="23"/>
  <c r="Y217" i="23" s="1"/>
  <c r="Z217" i="23" s="1"/>
  <c r="S217" i="23"/>
  <c r="P217" i="23"/>
  <c r="AH217" i="23" s="1"/>
  <c r="O217" i="23"/>
  <c r="N217" i="23"/>
  <c r="M217" i="23"/>
  <c r="P6" i="23"/>
  <c r="R6" i="23"/>
  <c r="Q6" i="23"/>
  <c r="F54" i="3"/>
  <c r="F76" i="3"/>
  <c r="F75" i="3"/>
  <c r="F74" i="3"/>
  <c r="F73" i="3"/>
  <c r="F56" i="3"/>
  <c r="AE216" i="23"/>
  <c r="AD216" i="23"/>
  <c r="Y216" i="23" s="1"/>
  <c r="Z216" i="23" s="1"/>
  <c r="S216" i="23"/>
  <c r="P216" i="23"/>
  <c r="AJ216" i="23" s="1"/>
  <c r="O216" i="23"/>
  <c r="N216" i="23"/>
  <c r="M216" i="23"/>
  <c r="AE215" i="23"/>
  <c r="AD215" i="23"/>
  <c r="Y215" i="23" s="1"/>
  <c r="Z215" i="23" s="1"/>
  <c r="S215" i="23"/>
  <c r="P215" i="23"/>
  <c r="AJ215" i="23" s="1"/>
  <c r="O215" i="23"/>
  <c r="N215" i="23"/>
  <c r="M215" i="23"/>
  <c r="AE214" i="23"/>
  <c r="AD214" i="23"/>
  <c r="Y214" i="23" s="1"/>
  <c r="Z214" i="23" s="1"/>
  <c r="S214" i="23"/>
  <c r="P214" i="23"/>
  <c r="AJ214" i="23" s="1"/>
  <c r="O214" i="23"/>
  <c r="N214" i="23"/>
  <c r="M214" i="23"/>
  <c r="AE213" i="23"/>
  <c r="AD213" i="23"/>
  <c r="Y213" i="23" s="1"/>
  <c r="Z213" i="23" s="1"/>
  <c r="S213" i="23"/>
  <c r="P213" i="23"/>
  <c r="AH213" i="23" s="1"/>
  <c r="O213" i="23"/>
  <c r="N213" i="23"/>
  <c r="M213" i="23"/>
  <c r="C45" i="3"/>
  <c r="C21" i="3"/>
  <c r="C62" i="3"/>
  <c r="C47" i="3"/>
  <c r="C54" i="3"/>
  <c r="C23" i="3"/>
  <c r="C56" i="3"/>
  <c r="C75" i="3"/>
  <c r="C40" i="3"/>
  <c r="C30" i="3"/>
  <c r="C20" i="3"/>
  <c r="C55" i="3"/>
  <c r="G73" i="3"/>
  <c r="C57" i="3"/>
  <c r="C29" i="3"/>
  <c r="C48" i="3"/>
  <c r="G65" i="3"/>
  <c r="C50" i="3"/>
  <c r="C72" i="3"/>
  <c r="C42" i="3"/>
  <c r="C69" i="3"/>
  <c r="C59" i="3"/>
  <c r="G64" i="3"/>
  <c r="C52" i="3"/>
  <c r="C38" i="3"/>
  <c r="C65" i="3"/>
  <c r="C35" i="3"/>
  <c r="G74" i="3"/>
  <c r="C46" i="3"/>
  <c r="C18" i="3"/>
  <c r="C32" i="3"/>
  <c r="C53" i="3"/>
  <c r="C25" i="3"/>
  <c r="C28" i="3"/>
  <c r="G17" i="3"/>
  <c r="C34" i="3"/>
  <c r="G70" i="3"/>
  <c r="C61" i="3"/>
  <c r="C41" i="3"/>
  <c r="C19" i="3"/>
  <c r="C71" i="3"/>
  <c r="C22" i="3"/>
  <c r="C66" i="3"/>
  <c r="C49" i="3"/>
  <c r="C33" i="3"/>
  <c r="C67" i="3"/>
  <c r="C68" i="3"/>
  <c r="C43" i="3"/>
  <c r="G75" i="3"/>
  <c r="C76" i="3"/>
  <c r="C44" i="3"/>
  <c r="C26" i="3"/>
  <c r="G56" i="3"/>
  <c r="C37" i="3"/>
  <c r="C74" i="3"/>
  <c r="G54" i="3"/>
  <c r="C24" i="3"/>
  <c r="C51" i="3"/>
  <c r="C27" i="3"/>
  <c r="C70" i="3"/>
  <c r="G72" i="3"/>
  <c r="C31" i="3"/>
  <c r="C16" i="3"/>
  <c r="C63" i="3"/>
  <c r="C58" i="3"/>
  <c r="C36" i="3"/>
  <c r="C64" i="3"/>
  <c r="C73" i="3"/>
  <c r="C39" i="3"/>
  <c r="G76" i="3"/>
  <c r="AA214" i="23" l="1"/>
  <c r="AB214" i="23"/>
  <c r="X214" i="23"/>
  <c r="AC214" i="23"/>
  <c r="AC215" i="23"/>
  <c r="X215" i="23"/>
  <c r="AB215" i="23"/>
  <c r="AA215" i="23"/>
  <c r="AC216" i="23"/>
  <c r="X216" i="23"/>
  <c r="AB216" i="23"/>
  <c r="AA216" i="23"/>
  <c r="AB217" i="23"/>
  <c r="AA217" i="23"/>
  <c r="AC217" i="23"/>
  <c r="X217" i="23"/>
  <c r="AB213" i="23"/>
  <c r="AA213" i="23"/>
  <c r="X213" i="23"/>
  <c r="AC213" i="23"/>
  <c r="T406" i="23"/>
  <c r="T405" i="23"/>
  <c r="T403" i="23"/>
  <c r="R403" i="23" s="1"/>
  <c r="T404" i="23"/>
  <c r="R404" i="23" s="1"/>
  <c r="T377" i="23"/>
  <c r="T353" i="23"/>
  <c r="T351" i="23"/>
  <c r="T346" i="23"/>
  <c r="T327" i="23"/>
  <c r="R327" i="23" s="1"/>
  <c r="T326" i="23"/>
  <c r="R326" i="23" s="1"/>
  <c r="T317" i="23"/>
  <c r="R317" i="23" s="1"/>
  <c r="T318" i="23"/>
  <c r="R318" i="23" s="1"/>
  <c r="T306" i="23"/>
  <c r="R306" i="23" s="1"/>
  <c r="T297" i="23"/>
  <c r="R297" i="23" s="1"/>
  <c r="T285" i="23"/>
  <c r="R285" i="23" s="1"/>
  <c r="T288" i="23"/>
  <c r="R288" i="23" s="1"/>
  <c r="T284" i="23"/>
  <c r="R284" i="23" s="1"/>
  <c r="T268" i="23"/>
  <c r="R268" i="23" s="1"/>
  <c r="T253" i="23"/>
  <c r="R253" i="23" s="1"/>
  <c r="T249" i="23"/>
  <c r="R249" i="23" s="1"/>
  <c r="T246" i="23"/>
  <c r="R246" i="23" s="1"/>
  <c r="T247" i="23"/>
  <c r="R247" i="23" s="1"/>
  <c r="T245" i="23"/>
  <c r="R245" i="23" s="1"/>
  <c r="T376" i="23"/>
  <c r="T368" i="23"/>
  <c r="T325" i="23"/>
  <c r="T332" i="23"/>
  <c r="R332" i="23" s="1"/>
  <c r="T320" i="23"/>
  <c r="R320" i="23" s="1"/>
  <c r="T273" i="23"/>
  <c r="R273" i="23" s="1"/>
  <c r="T298" i="23"/>
  <c r="T274" i="23"/>
  <c r="R274" i="23" s="1"/>
  <c r="T254" i="23"/>
  <c r="R254" i="23" s="1"/>
  <c r="T252" i="23"/>
  <c r="R252" i="23" s="1"/>
  <c r="T352" i="23"/>
  <c r="R352" i="23" s="1"/>
  <c r="T342" i="23"/>
  <c r="R342" i="23" s="1"/>
  <c r="T338" i="23"/>
  <c r="R338" i="23" s="1"/>
  <c r="T337" i="23"/>
  <c r="R337" i="23" s="1"/>
  <c r="T299" i="23"/>
  <c r="R299" i="23" s="1"/>
  <c r="T300" i="23"/>
  <c r="R300" i="23" s="1"/>
  <c r="T279" i="23"/>
  <c r="R279" i="23" s="1"/>
  <c r="T292" i="23"/>
  <c r="R292" i="23" s="1"/>
  <c r="T282" i="23"/>
  <c r="R282" i="23" s="1"/>
  <c r="T278" i="23"/>
  <c r="R278" i="23" s="1"/>
  <c r="T257" i="23"/>
  <c r="R257" i="23" s="1"/>
  <c r="T366" i="23"/>
  <c r="T364" i="23"/>
  <c r="R364" i="23" s="1"/>
  <c r="T365" i="23"/>
  <c r="R365" i="23" s="1"/>
  <c r="T359" i="23"/>
  <c r="T329" i="23"/>
  <c r="R329" i="23" s="1"/>
  <c r="T330" i="23"/>
  <c r="R330" i="23" s="1"/>
  <c r="T324" i="23"/>
  <c r="R324" i="23" s="1"/>
  <c r="T311" i="23"/>
  <c r="R311" i="23" s="1"/>
  <c r="T309" i="23"/>
  <c r="R309" i="23" s="1"/>
  <c r="T305" i="23"/>
  <c r="R305" i="23" s="1"/>
  <c r="T310" i="23"/>
  <c r="R310" i="23" s="1"/>
  <c r="T291" i="23"/>
  <c r="R291" i="23" s="1"/>
  <c r="T260" i="23"/>
  <c r="R260" i="23" s="1"/>
  <c r="T261" i="23"/>
  <c r="R261" i="23" s="1"/>
  <c r="T259" i="23"/>
  <c r="R259" i="23" s="1"/>
  <c r="T256" i="23"/>
  <c r="R256" i="23" s="1"/>
  <c r="T258" i="23"/>
  <c r="R258" i="23" s="1"/>
  <c r="T319" i="23"/>
  <c r="R319" i="23" s="1"/>
  <c r="T287" i="23"/>
  <c r="R287" i="23" s="1"/>
  <c r="T271" i="23"/>
  <c r="R271" i="23" s="1"/>
  <c r="T272" i="23"/>
  <c r="R272" i="23" s="1"/>
  <c r="T248" i="23"/>
  <c r="R248" i="23" s="1"/>
  <c r="T362" i="23"/>
  <c r="T360" i="23"/>
  <c r="T361" i="23"/>
  <c r="T347" i="23"/>
  <c r="T334" i="23"/>
  <c r="R334" i="23" s="1"/>
  <c r="T328" i="23"/>
  <c r="R328" i="23" s="1"/>
  <c r="T308" i="23"/>
  <c r="R308" i="23" s="1"/>
  <c r="T281" i="23"/>
  <c r="R281" i="23" s="1"/>
  <c r="T277" i="23"/>
  <c r="R277" i="23" s="1"/>
  <c r="T296" i="23"/>
  <c r="R296" i="23" s="1"/>
  <c r="T286" i="23"/>
  <c r="R286" i="23" s="1"/>
  <c r="T280" i="23"/>
  <c r="R280" i="23" s="1"/>
  <c r="T356" i="23"/>
  <c r="T355" i="23"/>
  <c r="T345" i="23"/>
  <c r="T333" i="23"/>
  <c r="R333" i="23" s="1"/>
  <c r="T323" i="23"/>
  <c r="R323" i="23" s="1"/>
  <c r="T307" i="23"/>
  <c r="R307" i="23" s="1"/>
  <c r="T301" i="23"/>
  <c r="R301" i="23" s="1"/>
  <c r="T275" i="23"/>
  <c r="R275" i="23" s="1"/>
  <c r="T276" i="23"/>
  <c r="R276" i="23" s="1"/>
  <c r="T243" i="23"/>
  <c r="R243" i="23" s="1"/>
  <c r="T237" i="23"/>
  <c r="R237" i="23" s="1"/>
  <c r="T223" i="23"/>
  <c r="R223" i="23" s="1"/>
  <c r="T236" i="23"/>
  <c r="R236" i="23" s="1"/>
  <c r="T213" i="23"/>
  <c r="R213" i="23" s="1"/>
  <c r="T244" i="23"/>
  <c r="R244" i="23" s="1"/>
  <c r="T235" i="23"/>
  <c r="R235" i="23" s="1"/>
  <c r="T225" i="23"/>
  <c r="R225" i="23" s="1"/>
  <c r="T222" i="23"/>
  <c r="R222" i="23" s="1"/>
  <c r="T217" i="23"/>
  <c r="R217" i="23" s="1"/>
  <c r="T214" i="23"/>
  <c r="R214" i="23" s="1"/>
  <c r="T215" i="23"/>
  <c r="R215" i="23" s="1"/>
  <c r="T224" i="23"/>
  <c r="R224" i="23" s="1"/>
  <c r="T233" i="23"/>
  <c r="R233" i="23" s="1"/>
  <c r="T230" i="23"/>
  <c r="R230" i="23" s="1"/>
  <c r="T234" i="23"/>
  <c r="R234" i="23" s="1"/>
  <c r="T239" i="23"/>
  <c r="R239" i="23" s="1"/>
  <c r="T231" i="23"/>
  <c r="R231" i="23" s="1"/>
  <c r="T229" i="23"/>
  <c r="R229" i="23" s="1"/>
  <c r="T238" i="23"/>
  <c r="R238" i="23" s="1"/>
  <c r="T228" i="23"/>
  <c r="R228" i="23" s="1"/>
  <c r="T227" i="23"/>
  <c r="R227" i="23" s="1"/>
  <c r="T232" i="23"/>
  <c r="R232" i="23" s="1"/>
  <c r="AJ217" i="23"/>
  <c r="AH216" i="23"/>
  <c r="AJ213" i="23"/>
  <c r="AH214" i="23"/>
  <c r="AH215" i="23"/>
  <c r="AE212" i="23"/>
  <c r="AD212" i="23"/>
  <c r="Y212" i="23" s="1"/>
  <c r="Z212" i="23" s="1"/>
  <c r="S212" i="23"/>
  <c r="P212" i="23"/>
  <c r="AJ212" i="23" s="1"/>
  <c r="O212" i="23"/>
  <c r="N212" i="23"/>
  <c r="M212" i="23"/>
  <c r="AE211" i="23"/>
  <c r="AD211" i="23"/>
  <c r="Y211" i="23" s="1"/>
  <c r="Z211" i="23" s="1"/>
  <c r="T211" i="23"/>
  <c r="S211" i="23"/>
  <c r="P211" i="23"/>
  <c r="AH211" i="23" s="1"/>
  <c r="O211" i="23"/>
  <c r="N211" i="23"/>
  <c r="M211" i="23"/>
  <c r="AE210" i="23"/>
  <c r="AD210" i="23"/>
  <c r="Y210" i="23" s="1"/>
  <c r="Z210" i="23" s="1"/>
  <c r="T210" i="23"/>
  <c r="S210" i="23"/>
  <c r="P210" i="23"/>
  <c r="AJ210" i="23" s="1"/>
  <c r="O210" i="23"/>
  <c r="N210" i="23"/>
  <c r="M210" i="23"/>
  <c r="AC366" i="23"/>
  <c r="AC360" i="23"/>
  <c r="AC355" i="23"/>
  <c r="AC351" i="23"/>
  <c r="AC359" i="23"/>
  <c r="AC405" i="23"/>
  <c r="AC368" i="23"/>
  <c r="AC346" i="23"/>
  <c r="AC376" i="23"/>
  <c r="AC353" i="23"/>
  <c r="AC356" i="23"/>
  <c r="AC345" i="23"/>
  <c r="AC406" i="23"/>
  <c r="AC361" i="23"/>
  <c r="AC362" i="23"/>
  <c r="AC377" i="23"/>
  <c r="AC298" i="23"/>
  <c r="AC347" i="23"/>
  <c r="AC325" i="23"/>
  <c r="R210" i="23" l="1"/>
  <c r="R211" i="23"/>
  <c r="AA210" i="23"/>
  <c r="AC210" i="23"/>
  <c r="U210" i="23" s="1"/>
  <c r="AB210" i="23"/>
  <c r="X210" i="23"/>
  <c r="AC211" i="23"/>
  <c r="X211" i="23"/>
  <c r="AA211" i="23"/>
  <c r="AB211" i="23"/>
  <c r="AC212" i="23"/>
  <c r="X212" i="23"/>
  <c r="AB212" i="23"/>
  <c r="AA212" i="23"/>
  <c r="U212" i="23"/>
  <c r="U405" i="23"/>
  <c r="U406" i="23"/>
  <c r="U284" i="23"/>
  <c r="U328" i="23"/>
  <c r="U271" i="23"/>
  <c r="U256" i="23"/>
  <c r="U291" i="23"/>
  <c r="U311" i="23"/>
  <c r="U257" i="23"/>
  <c r="U338" i="23"/>
  <c r="U288" i="23"/>
  <c r="U308" i="23"/>
  <c r="U276" i="23"/>
  <c r="U277" i="23"/>
  <c r="U310" i="23"/>
  <c r="U278" i="23"/>
  <c r="U300" i="23"/>
  <c r="U245" i="23"/>
  <c r="U285" i="23"/>
  <c r="U317" i="23"/>
  <c r="U246" i="23"/>
  <c r="U306" i="23"/>
  <c r="U307" i="23"/>
  <c r="U248" i="23"/>
  <c r="U319" i="23"/>
  <c r="U305" i="23"/>
  <c r="U330" i="23"/>
  <c r="U282" i="23"/>
  <c r="AH212" i="23"/>
  <c r="AJ211" i="23"/>
  <c r="AH210" i="23"/>
  <c r="AE209" i="23"/>
  <c r="AD209" i="23"/>
  <c r="Y209" i="23" s="1"/>
  <c r="Z209" i="23" s="1"/>
  <c r="T209" i="23"/>
  <c r="S209" i="23"/>
  <c r="P209" i="23"/>
  <c r="AH209" i="23" s="1"/>
  <c r="O209" i="23"/>
  <c r="N209" i="23"/>
  <c r="M209" i="23"/>
  <c r="AE208" i="23"/>
  <c r="AD208" i="23"/>
  <c r="Y208" i="23" s="1"/>
  <c r="Z208" i="23" s="1"/>
  <c r="T208" i="23"/>
  <c r="S208" i="23"/>
  <c r="P208" i="23"/>
  <c r="AJ208" i="23" s="1"/>
  <c r="O208" i="23"/>
  <c r="N208" i="23"/>
  <c r="M208" i="23"/>
  <c r="X406" i="23"/>
  <c r="X405" i="23"/>
  <c r="Y406" i="23"/>
  <c r="Y405" i="23"/>
  <c r="AB405" i="23"/>
  <c r="AB406" i="23"/>
  <c r="AA406" i="23"/>
  <c r="AA405" i="23"/>
  <c r="R208" i="23" l="1"/>
  <c r="R209" i="23"/>
  <c r="Z406" i="23"/>
  <c r="R406" i="23" s="1"/>
  <c r="Z405" i="23"/>
  <c r="R405" i="23" s="1"/>
  <c r="AC208" i="23"/>
  <c r="X208" i="23"/>
  <c r="AB208" i="23"/>
  <c r="AA208" i="23"/>
  <c r="AC209" i="23"/>
  <c r="X209" i="23"/>
  <c r="AB209" i="23"/>
  <c r="AA209" i="23"/>
  <c r="AJ209" i="23"/>
  <c r="AH208" i="23"/>
  <c r="AE207" i="23"/>
  <c r="AD207" i="23"/>
  <c r="Y207" i="23" s="1"/>
  <c r="Z207" i="23" s="1"/>
  <c r="S207" i="23"/>
  <c r="P207" i="23"/>
  <c r="AJ207" i="23" s="1"/>
  <c r="O207" i="23"/>
  <c r="N207" i="23"/>
  <c r="M207" i="23"/>
  <c r="AE206" i="23"/>
  <c r="AD206" i="23"/>
  <c r="Y206" i="23" s="1"/>
  <c r="Z206" i="23" s="1"/>
  <c r="T206" i="23"/>
  <c r="S206" i="23"/>
  <c r="P206" i="23"/>
  <c r="AJ206" i="23" s="1"/>
  <c r="O206" i="23"/>
  <c r="N206" i="23"/>
  <c r="M206" i="23"/>
  <c r="AE205" i="23"/>
  <c r="AD205" i="23"/>
  <c r="Y205" i="23" s="1"/>
  <c r="Z205" i="23" s="1"/>
  <c r="T205" i="23"/>
  <c r="S205" i="23"/>
  <c r="P205" i="23"/>
  <c r="AJ205" i="23" s="1"/>
  <c r="O205" i="23"/>
  <c r="N205" i="23"/>
  <c r="M205" i="23"/>
  <c r="R205" i="23" l="1"/>
  <c r="R206" i="23"/>
  <c r="AC205" i="23"/>
  <c r="X205" i="23"/>
  <c r="AB205" i="23"/>
  <c r="AA205" i="23"/>
  <c r="AA207" i="23"/>
  <c r="AC207" i="23"/>
  <c r="U207" i="23" s="1"/>
  <c r="X207" i="23"/>
  <c r="AB207" i="23"/>
  <c r="AB206" i="23"/>
  <c r="AA206" i="23"/>
  <c r="AC206" i="23"/>
  <c r="X206" i="23"/>
  <c r="U205" i="23"/>
  <c r="AH207" i="23"/>
  <c r="AH206" i="23"/>
  <c r="AH205" i="23"/>
  <c r="AE204" i="23"/>
  <c r="AD204" i="23"/>
  <c r="Y204" i="23" s="1"/>
  <c r="Z204" i="23" s="1"/>
  <c r="S204" i="23"/>
  <c r="P204" i="23"/>
  <c r="AH204" i="23" s="1"/>
  <c r="O204" i="23"/>
  <c r="N204" i="23"/>
  <c r="M204" i="23"/>
  <c r="AC204" i="23" l="1"/>
  <c r="X204" i="23"/>
  <c r="AB204" i="23"/>
  <c r="AA204" i="23"/>
  <c r="U204" i="23"/>
  <c r="AJ204" i="23"/>
  <c r="AE203" i="23"/>
  <c r="AD203" i="23"/>
  <c r="Y203" i="23" s="1"/>
  <c r="Z203" i="23" s="1"/>
  <c r="S203" i="23"/>
  <c r="P203" i="23"/>
  <c r="AJ203" i="23" s="1"/>
  <c r="O203" i="23"/>
  <c r="N203" i="23"/>
  <c r="M203" i="23"/>
  <c r="Q21" i="25"/>
  <c r="O21" i="25"/>
  <c r="Q20" i="25"/>
  <c r="O20" i="25"/>
  <c r="Q19" i="25"/>
  <c r="O19" i="25"/>
  <c r="Q18" i="25"/>
  <c r="O18" i="25"/>
  <c r="Q17" i="25"/>
  <c r="O17" i="25"/>
  <c r="Q16" i="25"/>
  <c r="O16" i="25"/>
  <c r="Q15" i="25"/>
  <c r="O15" i="25"/>
  <c r="Q14" i="25"/>
  <c r="O14" i="25"/>
  <c r="Q13" i="25"/>
  <c r="O13" i="25"/>
  <c r="Q12" i="25"/>
  <c r="O12" i="25"/>
  <c r="Q11" i="25"/>
  <c r="O11" i="25"/>
  <c r="Q9" i="25"/>
  <c r="O9" i="25"/>
  <c r="Q8" i="25"/>
  <c r="O8" i="25"/>
  <c r="Q7" i="25"/>
  <c r="O7" i="25"/>
  <c r="Q6" i="25"/>
  <c r="O6" i="25"/>
  <c r="Q5" i="25"/>
  <c r="O5" i="25"/>
  <c r="Q4" i="25"/>
  <c r="O4" i="25"/>
  <c r="Q3" i="25"/>
  <c r="O3" i="25"/>
  <c r="Q10" i="25"/>
  <c r="O10" i="25"/>
  <c r="H10" i="25"/>
  <c r="N21" i="25"/>
  <c r="P21" i="25" s="1"/>
  <c r="N20" i="25"/>
  <c r="P20" i="25" s="1"/>
  <c r="N19" i="25"/>
  <c r="P19" i="25" s="1"/>
  <c r="N18" i="25"/>
  <c r="P18" i="25" s="1"/>
  <c r="N17" i="25"/>
  <c r="P17" i="25" s="1"/>
  <c r="N16" i="25"/>
  <c r="P16" i="25" s="1"/>
  <c r="N15" i="25"/>
  <c r="P15" i="25" s="1"/>
  <c r="N14" i="25"/>
  <c r="P14" i="25" s="1"/>
  <c r="N13" i="25"/>
  <c r="P13" i="25" s="1"/>
  <c r="N12" i="25"/>
  <c r="P12" i="25" s="1"/>
  <c r="N11" i="25"/>
  <c r="P11" i="25" s="1"/>
  <c r="N10" i="25"/>
  <c r="P10" i="25" s="1"/>
  <c r="N9" i="25"/>
  <c r="P9" i="25" s="1"/>
  <c r="N8" i="25"/>
  <c r="P8" i="25" s="1"/>
  <c r="N7" i="25"/>
  <c r="P7" i="25" s="1"/>
  <c r="N6" i="25"/>
  <c r="P6" i="25" s="1"/>
  <c r="N5" i="25"/>
  <c r="P5" i="25" s="1"/>
  <c r="N4" i="25"/>
  <c r="P4" i="25" s="1"/>
  <c r="H21" i="25"/>
  <c r="H20" i="25"/>
  <c r="H19" i="25"/>
  <c r="H18" i="25"/>
  <c r="H17" i="25"/>
  <c r="H16" i="25"/>
  <c r="H15" i="25"/>
  <c r="H14" i="25"/>
  <c r="H13" i="25"/>
  <c r="H12" i="25"/>
  <c r="H11" i="25"/>
  <c r="H9" i="25"/>
  <c r="H8" i="25"/>
  <c r="H7" i="25"/>
  <c r="H6" i="25"/>
  <c r="H5" i="25"/>
  <c r="H4" i="25"/>
  <c r="H3" i="25"/>
  <c r="AA203" i="23" l="1"/>
  <c r="AC203" i="23"/>
  <c r="X203" i="23"/>
  <c r="AB203" i="23"/>
  <c r="AH203" i="23"/>
  <c r="G4" i="1"/>
  <c r="G3" i="1"/>
  <c r="M8" i="23"/>
  <c r="M10" i="23"/>
  <c r="M11" i="23"/>
  <c r="M12" i="23"/>
  <c r="M13" i="23"/>
  <c r="M14" i="23"/>
  <c r="M15" i="23"/>
  <c r="M16" i="23"/>
  <c r="M17" i="23"/>
  <c r="M18" i="23"/>
  <c r="M19" i="23"/>
  <c r="M20" i="23"/>
  <c r="M21" i="23"/>
  <c r="M22" i="23"/>
  <c r="M23" i="23"/>
  <c r="M24" i="23"/>
  <c r="M25" i="23"/>
  <c r="M26" i="23"/>
  <c r="M27" i="23"/>
  <c r="M28" i="23"/>
  <c r="M29" i="23"/>
  <c r="M30" i="23"/>
  <c r="M31" i="23"/>
  <c r="M32" i="23"/>
  <c r="M33" i="23"/>
  <c r="M34" i="23"/>
  <c r="M35" i="23"/>
  <c r="M36" i="23"/>
  <c r="M37" i="23"/>
  <c r="M38" i="23"/>
  <c r="M39" i="23"/>
  <c r="M40" i="23"/>
  <c r="M41" i="23"/>
  <c r="M42" i="23"/>
  <c r="M43" i="23"/>
  <c r="M44" i="23"/>
  <c r="M45" i="23"/>
  <c r="M46" i="23"/>
  <c r="M47" i="23"/>
  <c r="M48" i="23"/>
  <c r="M49" i="23"/>
  <c r="M50" i="23"/>
  <c r="M51" i="23"/>
  <c r="M52" i="23"/>
  <c r="M53" i="23"/>
  <c r="M54" i="23"/>
  <c r="M55" i="23"/>
  <c r="M56" i="23"/>
  <c r="M57" i="23"/>
  <c r="M58" i="23"/>
  <c r="M59" i="23"/>
  <c r="M60" i="23"/>
  <c r="M61" i="23"/>
  <c r="M62" i="23"/>
  <c r="M63" i="23"/>
  <c r="M64" i="23"/>
  <c r="M65" i="23"/>
  <c r="M66" i="23"/>
  <c r="M67" i="23"/>
  <c r="M68" i="23"/>
  <c r="M69" i="23"/>
  <c r="M70" i="23"/>
  <c r="M71" i="23"/>
  <c r="M72" i="23"/>
  <c r="M73" i="23"/>
  <c r="M74" i="23"/>
  <c r="M75" i="23"/>
  <c r="M76" i="23"/>
  <c r="M77" i="23"/>
  <c r="M78" i="23"/>
  <c r="M79" i="23"/>
  <c r="M80" i="23"/>
  <c r="M81" i="23"/>
  <c r="M82" i="23"/>
  <c r="M83" i="23"/>
  <c r="M84" i="23"/>
  <c r="M85" i="23"/>
  <c r="M86" i="23"/>
  <c r="M87" i="23"/>
  <c r="M88" i="23"/>
  <c r="M89" i="23"/>
  <c r="M90" i="23"/>
  <c r="M91" i="23"/>
  <c r="M92" i="23"/>
  <c r="M93" i="23"/>
  <c r="M94" i="23"/>
  <c r="M95" i="23"/>
  <c r="M96" i="23"/>
  <c r="M97" i="23"/>
  <c r="M98" i="23"/>
  <c r="M99" i="23"/>
  <c r="M100" i="23"/>
  <c r="M101" i="23"/>
  <c r="M102" i="23"/>
  <c r="M103" i="23"/>
  <c r="M104" i="23"/>
  <c r="M105" i="23"/>
  <c r="M106" i="23"/>
  <c r="M107" i="23"/>
  <c r="M108" i="23"/>
  <c r="M109" i="23"/>
  <c r="M110" i="23"/>
  <c r="M111" i="23"/>
  <c r="M112" i="23"/>
  <c r="M113" i="23"/>
  <c r="M114" i="23"/>
  <c r="M115" i="23"/>
  <c r="M116" i="23"/>
  <c r="M117" i="23"/>
  <c r="M118" i="23"/>
  <c r="M119" i="23"/>
  <c r="M120" i="23"/>
  <c r="M121" i="23"/>
  <c r="M122" i="23"/>
  <c r="M123" i="23"/>
  <c r="M124" i="23"/>
  <c r="M125" i="23"/>
  <c r="M126" i="23"/>
  <c r="M127" i="23"/>
  <c r="M128" i="23"/>
  <c r="M129" i="23"/>
  <c r="M130" i="23"/>
  <c r="M131" i="23"/>
  <c r="M132" i="23"/>
  <c r="M133" i="23"/>
  <c r="M134" i="23"/>
  <c r="M135" i="23"/>
  <c r="M136" i="23"/>
  <c r="M137" i="23"/>
  <c r="M138" i="23"/>
  <c r="M139" i="23"/>
  <c r="M140" i="23"/>
  <c r="M141" i="23"/>
  <c r="M142" i="23"/>
  <c r="M143" i="23"/>
  <c r="M144" i="23"/>
  <c r="M145" i="23"/>
  <c r="M146" i="23"/>
  <c r="M147" i="23"/>
  <c r="M148" i="23"/>
  <c r="M149" i="23"/>
  <c r="M150" i="23"/>
  <c r="M151" i="23"/>
  <c r="M152" i="23"/>
  <c r="M153" i="23"/>
  <c r="M154" i="23"/>
  <c r="M155" i="23"/>
  <c r="M156" i="23"/>
  <c r="M157" i="23"/>
  <c r="M158" i="23"/>
  <c r="M159" i="23"/>
  <c r="M160" i="23"/>
  <c r="M161" i="23"/>
  <c r="M162" i="23"/>
  <c r="M163" i="23"/>
  <c r="M164" i="23"/>
  <c r="M165" i="23"/>
  <c r="M166" i="23"/>
  <c r="M167" i="23"/>
  <c r="M168" i="23"/>
  <c r="M169" i="23"/>
  <c r="M170" i="23"/>
  <c r="M171" i="23"/>
  <c r="M172" i="23"/>
  <c r="M173" i="23"/>
  <c r="M174" i="23"/>
  <c r="M175" i="23"/>
  <c r="M176" i="23"/>
  <c r="M177" i="23"/>
  <c r="M178" i="23"/>
  <c r="M179" i="23"/>
  <c r="M180" i="23"/>
  <c r="M181" i="23"/>
  <c r="M182" i="23"/>
  <c r="M183" i="23"/>
  <c r="M184" i="23"/>
  <c r="M185" i="23"/>
  <c r="M186" i="23"/>
  <c r="M187" i="23"/>
  <c r="M188" i="23"/>
  <c r="M189" i="23"/>
  <c r="M190" i="23"/>
  <c r="M191" i="23"/>
  <c r="M192" i="23"/>
  <c r="M193" i="23"/>
  <c r="M194" i="23"/>
  <c r="M195" i="23"/>
  <c r="M196" i="23"/>
  <c r="M197" i="23"/>
  <c r="M198" i="23"/>
  <c r="M199" i="23"/>
  <c r="M200" i="23"/>
  <c r="M201" i="23"/>
  <c r="M202" i="23"/>
  <c r="AE202" i="23"/>
  <c r="AD202" i="23"/>
  <c r="Y202" i="23" s="1"/>
  <c r="Z202" i="23" s="1"/>
  <c r="T202" i="23"/>
  <c r="S202" i="23"/>
  <c r="P202" i="23"/>
  <c r="AJ202" i="23" s="1"/>
  <c r="O202" i="23"/>
  <c r="N202" i="23"/>
  <c r="AE201" i="23"/>
  <c r="AD201" i="23"/>
  <c r="Y201" i="23" s="1"/>
  <c r="Z201" i="23" s="1"/>
  <c r="S201" i="23"/>
  <c r="P201" i="23"/>
  <c r="AJ201" i="23" s="1"/>
  <c r="O201" i="23"/>
  <c r="N201" i="23"/>
  <c r="AE200" i="23"/>
  <c r="AD200" i="23"/>
  <c r="Y200" i="23" s="1"/>
  <c r="Z200" i="23" s="1"/>
  <c r="S200" i="23"/>
  <c r="P200" i="23"/>
  <c r="AJ200" i="23" s="1"/>
  <c r="O200" i="23"/>
  <c r="N200" i="23"/>
  <c r="AE199" i="23"/>
  <c r="AD199" i="23"/>
  <c r="Y199" i="23" s="1"/>
  <c r="Z199" i="23" s="1"/>
  <c r="S199" i="23"/>
  <c r="P199" i="23"/>
  <c r="AJ199" i="23" s="1"/>
  <c r="O199" i="23"/>
  <c r="N199" i="23"/>
  <c r="AE198" i="23"/>
  <c r="AD198" i="23"/>
  <c r="Y198" i="23" s="1"/>
  <c r="Z198" i="23" s="1"/>
  <c r="T198" i="23"/>
  <c r="S198" i="23"/>
  <c r="P198" i="23"/>
  <c r="AJ198" i="23" s="1"/>
  <c r="O198" i="23"/>
  <c r="N198" i="23"/>
  <c r="AE197" i="23"/>
  <c r="AD197" i="23"/>
  <c r="Y197" i="23" s="1"/>
  <c r="Z197" i="23" s="1"/>
  <c r="T197" i="23"/>
  <c r="S197" i="23"/>
  <c r="P197" i="23"/>
  <c r="AJ197" i="23" s="1"/>
  <c r="O197" i="23"/>
  <c r="N197" i="23"/>
  <c r="AE196" i="23"/>
  <c r="AD196" i="23"/>
  <c r="Y196" i="23" s="1"/>
  <c r="Z196" i="23" s="1"/>
  <c r="T196" i="23"/>
  <c r="S196" i="23"/>
  <c r="P196" i="23"/>
  <c r="AJ196" i="23" s="1"/>
  <c r="O196" i="23"/>
  <c r="N196" i="23"/>
  <c r="AE195" i="23"/>
  <c r="AD195" i="23"/>
  <c r="Y195" i="23" s="1"/>
  <c r="Z195" i="23" s="1"/>
  <c r="S195" i="23"/>
  <c r="P195" i="23"/>
  <c r="AJ195" i="23" s="1"/>
  <c r="O195" i="23"/>
  <c r="N195" i="23"/>
  <c r="AE194" i="23"/>
  <c r="AD194" i="23"/>
  <c r="Y194" i="23" s="1"/>
  <c r="Z194" i="23" s="1"/>
  <c r="S194" i="23"/>
  <c r="P194" i="23"/>
  <c r="AJ194" i="23" s="1"/>
  <c r="O194" i="23"/>
  <c r="N194" i="23"/>
  <c r="AE193" i="23"/>
  <c r="AD193" i="23"/>
  <c r="Y193" i="23" s="1"/>
  <c r="Z193" i="23" s="1"/>
  <c r="S193" i="23"/>
  <c r="P193" i="23"/>
  <c r="AJ193" i="23" s="1"/>
  <c r="O193" i="23"/>
  <c r="N193" i="23"/>
  <c r="AE192" i="23"/>
  <c r="AD192" i="23"/>
  <c r="Y192" i="23" s="1"/>
  <c r="Z192" i="23" s="1"/>
  <c r="S192" i="23"/>
  <c r="P192" i="23"/>
  <c r="O192" i="23"/>
  <c r="N192" i="23"/>
  <c r="AE191" i="23"/>
  <c r="AD191" i="23"/>
  <c r="Y191" i="23" s="1"/>
  <c r="Z191" i="23" s="1"/>
  <c r="S191" i="23"/>
  <c r="P191" i="23"/>
  <c r="AH191" i="23" s="1"/>
  <c r="O191" i="23"/>
  <c r="N191" i="23"/>
  <c r="AE190" i="23"/>
  <c r="AD190" i="23"/>
  <c r="Y190" i="23" s="1"/>
  <c r="Z190" i="23" s="1"/>
  <c r="S190" i="23"/>
  <c r="P190" i="23"/>
  <c r="AJ190" i="23" s="1"/>
  <c r="O190" i="23"/>
  <c r="N190" i="23"/>
  <c r="AE189" i="23"/>
  <c r="AD189" i="23"/>
  <c r="Y189" i="23" s="1"/>
  <c r="Z189" i="23" s="1"/>
  <c r="S189" i="23"/>
  <c r="P189" i="23"/>
  <c r="AJ189" i="23" s="1"/>
  <c r="O189" i="23"/>
  <c r="N189" i="23"/>
  <c r="AE188" i="23"/>
  <c r="AD188" i="23"/>
  <c r="Y188" i="23" s="1"/>
  <c r="Z188" i="23" s="1"/>
  <c r="S188" i="23"/>
  <c r="P188" i="23"/>
  <c r="AJ188" i="23" s="1"/>
  <c r="O188" i="23"/>
  <c r="N188" i="23"/>
  <c r="AE187" i="23"/>
  <c r="AD187" i="23"/>
  <c r="Y187" i="23" s="1"/>
  <c r="Z187" i="23" s="1"/>
  <c r="S187" i="23"/>
  <c r="P187" i="23"/>
  <c r="AJ187" i="23" s="1"/>
  <c r="O187" i="23"/>
  <c r="N187" i="23"/>
  <c r="R198" i="23" l="1"/>
  <c r="R197" i="23"/>
  <c r="R202" i="23"/>
  <c r="R196" i="23"/>
  <c r="AB190" i="23"/>
  <c r="AA190" i="23"/>
  <c r="AC190" i="23"/>
  <c r="X190" i="23"/>
  <c r="AB194" i="23"/>
  <c r="AA194" i="23"/>
  <c r="X194" i="23"/>
  <c r="AC194" i="23"/>
  <c r="U194" i="23" s="1"/>
  <c r="AC189" i="23"/>
  <c r="X189" i="23"/>
  <c r="AB189" i="23"/>
  <c r="AA189" i="23"/>
  <c r="AC193" i="23"/>
  <c r="U193" i="23" s="1"/>
  <c r="X193" i="23"/>
  <c r="AB193" i="23"/>
  <c r="AA193" i="23"/>
  <c r="AC200" i="23"/>
  <c r="X200" i="23"/>
  <c r="AB200" i="23"/>
  <c r="AA200" i="23"/>
  <c r="AA199" i="23"/>
  <c r="AC199" i="23"/>
  <c r="X199" i="23"/>
  <c r="AB199" i="23"/>
  <c r="AC201" i="23"/>
  <c r="X201" i="23"/>
  <c r="AB201" i="23"/>
  <c r="AA201" i="23"/>
  <c r="AB202" i="23"/>
  <c r="AA202" i="23"/>
  <c r="AC202" i="23"/>
  <c r="X202" i="23"/>
  <c r="AC188" i="23"/>
  <c r="X188" i="23"/>
  <c r="AB188" i="23"/>
  <c r="AA188" i="23"/>
  <c r="AC192" i="23"/>
  <c r="X192" i="23"/>
  <c r="AB192" i="23"/>
  <c r="AA192" i="23"/>
  <c r="AA187" i="23"/>
  <c r="AC187" i="23"/>
  <c r="U187" i="23" s="1"/>
  <c r="X187" i="23"/>
  <c r="AB187" i="23"/>
  <c r="AA191" i="23"/>
  <c r="AC191" i="23"/>
  <c r="X191" i="23"/>
  <c r="AB191" i="23"/>
  <c r="AA195" i="23"/>
  <c r="AC195" i="23"/>
  <c r="U195" i="23" s="1"/>
  <c r="X195" i="23"/>
  <c r="AB195" i="23"/>
  <c r="AC196" i="23"/>
  <c r="X196" i="23"/>
  <c r="AB196" i="23"/>
  <c r="AA196" i="23"/>
  <c r="AC197" i="23"/>
  <c r="X197" i="23"/>
  <c r="AB197" i="23"/>
  <c r="AA197" i="23"/>
  <c r="AB198" i="23"/>
  <c r="AA198" i="23"/>
  <c r="AC198" i="23"/>
  <c r="X198" i="23"/>
  <c r="AJ192" i="23"/>
  <c r="AH202" i="23"/>
  <c r="AH197" i="23"/>
  <c r="AH200" i="23"/>
  <c r="AH199" i="23"/>
  <c r="AH201" i="23"/>
  <c r="AH198" i="23"/>
  <c r="AH196" i="23"/>
  <c r="AH194" i="23"/>
  <c r="AH193" i="23"/>
  <c r="AH195" i="23"/>
  <c r="AH192" i="23"/>
  <c r="AJ191" i="23"/>
  <c r="AH190" i="23"/>
  <c r="AH189" i="23"/>
  <c r="AH188" i="23"/>
  <c r="AH187" i="23"/>
  <c r="AE186" i="23"/>
  <c r="AD186" i="23"/>
  <c r="Y186" i="23" s="1"/>
  <c r="Z186" i="23" s="1"/>
  <c r="T186" i="23"/>
  <c r="S186" i="23"/>
  <c r="P186" i="23"/>
  <c r="AJ186" i="23" s="1"/>
  <c r="O186" i="23"/>
  <c r="N186" i="23"/>
  <c r="AE185" i="23"/>
  <c r="AD185" i="23"/>
  <c r="Y185" i="23" s="1"/>
  <c r="Z185" i="23" s="1"/>
  <c r="T185" i="23"/>
  <c r="S185" i="23"/>
  <c r="P185" i="23"/>
  <c r="AJ185" i="23" s="1"/>
  <c r="O185" i="23"/>
  <c r="N185" i="23"/>
  <c r="AE184" i="23"/>
  <c r="AD184" i="23"/>
  <c r="Y184" i="23" s="1"/>
  <c r="Z184" i="23" s="1"/>
  <c r="S184" i="23"/>
  <c r="P184" i="23"/>
  <c r="AJ184" i="23" s="1"/>
  <c r="O184" i="23"/>
  <c r="N184" i="23"/>
  <c r="AE183" i="23"/>
  <c r="AD183" i="23"/>
  <c r="Y183" i="23" s="1"/>
  <c r="Z183" i="23" s="1"/>
  <c r="S183" i="23"/>
  <c r="P183" i="23"/>
  <c r="AH183" i="23" s="1"/>
  <c r="O183" i="23"/>
  <c r="N183" i="23"/>
  <c r="AE182" i="23"/>
  <c r="AD182" i="23"/>
  <c r="Y182" i="23" s="1"/>
  <c r="Z182" i="23" s="1"/>
  <c r="T182" i="23"/>
  <c r="S182" i="23"/>
  <c r="P182" i="23"/>
  <c r="AJ182" i="23" s="1"/>
  <c r="O182" i="23"/>
  <c r="N182" i="23"/>
  <c r="AE181" i="23"/>
  <c r="AD181" i="23"/>
  <c r="Y181" i="23" s="1"/>
  <c r="Z181" i="23" s="1"/>
  <c r="S181" i="23"/>
  <c r="P181" i="23"/>
  <c r="AH181" i="23" s="1"/>
  <c r="O181" i="23"/>
  <c r="N181" i="23"/>
  <c r="R182" i="23" l="1"/>
  <c r="R186" i="23"/>
  <c r="R185" i="23"/>
  <c r="AC184" i="23"/>
  <c r="U184" i="23" s="1"/>
  <c r="X184" i="23"/>
  <c r="AB184" i="23"/>
  <c r="AA184" i="23"/>
  <c r="AC185" i="23"/>
  <c r="X185" i="23"/>
  <c r="AB185" i="23"/>
  <c r="AA185" i="23"/>
  <c r="AB186" i="23"/>
  <c r="AA186" i="23"/>
  <c r="AC186" i="23"/>
  <c r="U186" i="23" s="1"/>
  <c r="X186" i="23"/>
  <c r="AA183" i="23"/>
  <c r="AC183" i="23"/>
  <c r="U183" i="23" s="1"/>
  <c r="X183" i="23"/>
  <c r="AB183" i="23"/>
  <c r="AC181" i="23"/>
  <c r="U181" i="23" s="1"/>
  <c r="X181" i="23"/>
  <c r="AB181" i="23"/>
  <c r="AA181" i="23"/>
  <c r="AB182" i="23"/>
  <c r="AA182" i="23"/>
  <c r="AC182" i="23"/>
  <c r="U182" i="23" s="1"/>
  <c r="X182" i="23"/>
  <c r="U185" i="23"/>
  <c r="AH186" i="23"/>
  <c r="AJ181" i="23"/>
  <c r="AJ183" i="23"/>
  <c r="AH182" i="23"/>
  <c r="AH184" i="23"/>
  <c r="AH185" i="23"/>
  <c r="AE180" i="23"/>
  <c r="AD180" i="23"/>
  <c r="Y180" i="23" s="1"/>
  <c r="Z180" i="23" s="1"/>
  <c r="S180" i="23"/>
  <c r="P180" i="23"/>
  <c r="O180" i="23"/>
  <c r="N180" i="23"/>
  <c r="AE179" i="23"/>
  <c r="AD179" i="23"/>
  <c r="Y179" i="23" s="1"/>
  <c r="Z179" i="23" s="1"/>
  <c r="S179" i="23"/>
  <c r="P179" i="23"/>
  <c r="AJ179" i="23" s="1"/>
  <c r="O179" i="23"/>
  <c r="N179" i="23"/>
  <c r="AA179" i="23" l="1"/>
  <c r="AC179" i="23"/>
  <c r="X179" i="23"/>
  <c r="AB179" i="23"/>
  <c r="AC180" i="23"/>
  <c r="X180" i="23"/>
  <c r="AB180" i="23"/>
  <c r="AA180" i="23"/>
  <c r="AJ180" i="23"/>
  <c r="AH179" i="23"/>
  <c r="AH180" i="23"/>
  <c r="F72" i="3"/>
  <c r="AE178" i="23"/>
  <c r="AD178" i="23"/>
  <c r="Y178" i="23" s="1"/>
  <c r="Z178" i="23" s="1"/>
  <c r="S178" i="23"/>
  <c r="P178" i="23"/>
  <c r="AJ178" i="23" s="1"/>
  <c r="O178" i="23"/>
  <c r="N178" i="23"/>
  <c r="AE177" i="23"/>
  <c r="AD177" i="23"/>
  <c r="Y177" i="23" s="1"/>
  <c r="Z177" i="23" s="1"/>
  <c r="S177" i="23"/>
  <c r="P177" i="23"/>
  <c r="AJ177" i="23" s="1"/>
  <c r="O177" i="23"/>
  <c r="N177" i="23"/>
  <c r="AC177" i="23" l="1"/>
  <c r="X177" i="23"/>
  <c r="AB177" i="23"/>
  <c r="AA177" i="23"/>
  <c r="AB178" i="23"/>
  <c r="AA178" i="23"/>
  <c r="X178" i="23"/>
  <c r="AC178" i="23"/>
  <c r="U178" i="23" s="1"/>
  <c r="AH177" i="23"/>
  <c r="AH178" i="23"/>
  <c r="F71" i="3"/>
  <c r="F70" i="3"/>
  <c r="F69" i="3"/>
  <c r="F68" i="3"/>
  <c r="F67" i="3"/>
  <c r="F66" i="3"/>
  <c r="AE176" i="23"/>
  <c r="AD176" i="23"/>
  <c r="Y176" i="23" s="1"/>
  <c r="Z176" i="23" s="1"/>
  <c r="S176" i="23"/>
  <c r="P176" i="23"/>
  <c r="AJ176" i="23" s="1"/>
  <c r="O176" i="23"/>
  <c r="N176" i="23"/>
  <c r="AE175" i="23"/>
  <c r="AD175" i="23"/>
  <c r="Y175" i="23" s="1"/>
  <c r="Z175" i="23" s="1"/>
  <c r="S175" i="23"/>
  <c r="P175" i="23"/>
  <c r="AJ175" i="23" s="1"/>
  <c r="O175" i="23"/>
  <c r="N175" i="23"/>
  <c r="AE174" i="23"/>
  <c r="AD174" i="23"/>
  <c r="Y174" i="23" s="1"/>
  <c r="Z174" i="23" s="1"/>
  <c r="S174" i="23"/>
  <c r="P174" i="23"/>
  <c r="AJ174" i="23" s="1"/>
  <c r="O174" i="23"/>
  <c r="N174" i="23"/>
  <c r="G66" i="3"/>
  <c r="G71" i="3"/>
  <c r="G69" i="3"/>
  <c r="G68" i="3"/>
  <c r="G67" i="3"/>
  <c r="AA175" i="23" l="1"/>
  <c r="AC175" i="23"/>
  <c r="X175" i="23"/>
  <c r="AB175" i="23"/>
  <c r="AB174" i="23"/>
  <c r="AA174" i="23"/>
  <c r="AC174" i="23"/>
  <c r="X174" i="23"/>
  <c r="AC176" i="23"/>
  <c r="X176" i="23"/>
  <c r="AB176" i="23"/>
  <c r="AA176" i="23"/>
  <c r="AH175" i="23"/>
  <c r="AH176" i="23"/>
  <c r="AH174" i="23"/>
  <c r="AE173" i="23"/>
  <c r="AD173" i="23"/>
  <c r="Y173" i="23" s="1"/>
  <c r="Z173" i="23" s="1"/>
  <c r="S173" i="23"/>
  <c r="P173" i="23"/>
  <c r="AJ173" i="23" s="1"/>
  <c r="O173" i="23"/>
  <c r="N173" i="23"/>
  <c r="P169" i="23"/>
  <c r="AJ169" i="23" s="1"/>
  <c r="N3" i="25"/>
  <c r="P3" i="25" s="1"/>
  <c r="AE172" i="23"/>
  <c r="AD172" i="23"/>
  <c r="Y172" i="23" s="1"/>
  <c r="Z172" i="23" s="1"/>
  <c r="S172" i="23"/>
  <c r="P172" i="23"/>
  <c r="AJ172" i="23" s="1"/>
  <c r="O172" i="23"/>
  <c r="N172" i="23"/>
  <c r="AE171" i="23"/>
  <c r="AD171" i="23"/>
  <c r="Y171" i="23" s="1"/>
  <c r="Z171" i="23" s="1"/>
  <c r="S171" i="23"/>
  <c r="P171" i="23"/>
  <c r="AJ171" i="23" s="1"/>
  <c r="O171" i="23"/>
  <c r="N171" i="23"/>
  <c r="AE170" i="23"/>
  <c r="AD170" i="23"/>
  <c r="Y170" i="23" s="1"/>
  <c r="Z170" i="23" s="1"/>
  <c r="T170" i="23"/>
  <c r="S170" i="23"/>
  <c r="P170" i="23"/>
  <c r="AJ170" i="23" s="1"/>
  <c r="O170" i="23"/>
  <c r="N170" i="23"/>
  <c r="AE169" i="23"/>
  <c r="AD169" i="23"/>
  <c r="Y169" i="23" s="1"/>
  <c r="Z169" i="23" s="1"/>
  <c r="S169" i="23"/>
  <c r="O169" i="23"/>
  <c r="N169" i="23"/>
  <c r="AE168" i="23"/>
  <c r="AD168" i="23"/>
  <c r="Y168" i="23" s="1"/>
  <c r="Z168" i="23" s="1"/>
  <c r="S168" i="23"/>
  <c r="P168" i="23"/>
  <c r="O168" i="23"/>
  <c r="N168" i="23"/>
  <c r="R170" i="23" l="1"/>
  <c r="AA171" i="23"/>
  <c r="AC171" i="23"/>
  <c r="X171" i="23"/>
  <c r="AB171" i="23"/>
  <c r="AC173" i="23"/>
  <c r="X173" i="23"/>
  <c r="AB173" i="23"/>
  <c r="AA173" i="23"/>
  <c r="AC169" i="23"/>
  <c r="X169" i="23"/>
  <c r="AB169" i="23"/>
  <c r="AA169" i="23"/>
  <c r="AB170" i="23"/>
  <c r="AA170" i="23"/>
  <c r="AC170" i="23"/>
  <c r="U170" i="23" s="1"/>
  <c r="X170" i="23"/>
  <c r="AC168" i="23"/>
  <c r="X168" i="23"/>
  <c r="AB168" i="23"/>
  <c r="AA168" i="23"/>
  <c r="AC172" i="23"/>
  <c r="X172" i="23"/>
  <c r="AB172" i="23"/>
  <c r="AA172" i="23"/>
  <c r="AJ168" i="23"/>
  <c r="AH173" i="23"/>
  <c r="AH172" i="23"/>
  <c r="AH170" i="23"/>
  <c r="AH171" i="23"/>
  <c r="AH169" i="23"/>
  <c r="AH168" i="23"/>
  <c r="AE167" i="23"/>
  <c r="AD167" i="23"/>
  <c r="Y167" i="23" s="1"/>
  <c r="Z167" i="23" s="1"/>
  <c r="S167" i="23"/>
  <c r="P167" i="23"/>
  <c r="AJ167" i="23" s="1"/>
  <c r="O167" i="23"/>
  <c r="N167" i="23"/>
  <c r="AE166" i="23"/>
  <c r="AD166" i="23"/>
  <c r="Y166" i="23" s="1"/>
  <c r="Z166" i="23" s="1"/>
  <c r="S166" i="23"/>
  <c r="P166" i="23"/>
  <c r="AJ166" i="23" s="1"/>
  <c r="O166" i="23"/>
  <c r="N166" i="23"/>
  <c r="AA167" i="23" l="1"/>
  <c r="AC167" i="23"/>
  <c r="U167" i="23" s="1"/>
  <c r="X167" i="23"/>
  <c r="AB167" i="23"/>
  <c r="AB166" i="23"/>
  <c r="AA166" i="23"/>
  <c r="AC166" i="23"/>
  <c r="X166" i="23"/>
  <c r="AH167" i="23"/>
  <c r="AH166" i="23"/>
  <c r="M8" i="3"/>
  <c r="O8" i="3" s="1"/>
  <c r="M7" i="3"/>
  <c r="O7" i="3" s="1"/>
  <c r="M6" i="3"/>
  <c r="O6" i="3" s="1"/>
  <c r="M5" i="3"/>
  <c r="O5" i="3" s="1"/>
  <c r="K3" i="3"/>
  <c r="M3" i="3" s="1"/>
  <c r="O3" i="3" s="1"/>
  <c r="O4" i="3" l="1"/>
  <c r="O2" i="3" s="1"/>
  <c r="AE165" i="23"/>
  <c r="AD165" i="23"/>
  <c r="Y165" i="23" s="1"/>
  <c r="Z165" i="23" s="1"/>
  <c r="S165" i="23"/>
  <c r="P165" i="23"/>
  <c r="AJ165" i="23" s="1"/>
  <c r="O165" i="23"/>
  <c r="N165" i="23"/>
  <c r="AC165" i="23" l="1"/>
  <c r="X165" i="23"/>
  <c r="AB165" i="23"/>
  <c r="AA165" i="23"/>
  <c r="AH165" i="23"/>
  <c r="AE164" i="23"/>
  <c r="AD164" i="23"/>
  <c r="Y164" i="23" s="1"/>
  <c r="Z164" i="23" s="1"/>
  <c r="S164" i="23"/>
  <c r="P164" i="23"/>
  <c r="AJ164" i="23" s="1"/>
  <c r="O164" i="23"/>
  <c r="N164" i="23"/>
  <c r="AE163" i="23"/>
  <c r="AD163" i="23"/>
  <c r="Y163" i="23" s="1"/>
  <c r="Z163" i="23" s="1"/>
  <c r="S163" i="23"/>
  <c r="P163" i="23"/>
  <c r="AJ163" i="23" s="1"/>
  <c r="O163" i="23"/>
  <c r="N163" i="23"/>
  <c r="AE162" i="23"/>
  <c r="AD162" i="23"/>
  <c r="Y162" i="23" s="1"/>
  <c r="Z162" i="23" s="1"/>
  <c r="S162" i="23"/>
  <c r="P162" i="23"/>
  <c r="AJ162" i="23" s="1"/>
  <c r="O162" i="23"/>
  <c r="N162" i="23"/>
  <c r="G40" i="3"/>
  <c r="G59" i="3"/>
  <c r="G47" i="3"/>
  <c r="G51" i="3"/>
  <c r="G22" i="3"/>
  <c r="G63" i="3"/>
  <c r="G55" i="3"/>
  <c r="G37" i="3"/>
  <c r="G58" i="3"/>
  <c r="G45" i="3"/>
  <c r="G62" i="3"/>
  <c r="G21" i="3"/>
  <c r="G26" i="3"/>
  <c r="G39" i="3"/>
  <c r="G34" i="3"/>
  <c r="G24" i="3"/>
  <c r="G35" i="3"/>
  <c r="G44" i="3"/>
  <c r="G38" i="3"/>
  <c r="G60" i="3"/>
  <c r="G33" i="3"/>
  <c r="G32" i="3"/>
  <c r="G53" i="3"/>
  <c r="G43" i="3"/>
  <c r="G25" i="3"/>
  <c r="G36" i="3"/>
  <c r="G46" i="3"/>
  <c r="G41" i="3"/>
  <c r="G31" i="3"/>
  <c r="G57" i="3"/>
  <c r="G61" i="3"/>
  <c r="G23" i="3"/>
  <c r="G52" i="3"/>
  <c r="G42" i="3"/>
  <c r="G18" i="3"/>
  <c r="AA163" i="23" l="1"/>
  <c r="AC163" i="23"/>
  <c r="U163" i="23" s="1"/>
  <c r="X163" i="23"/>
  <c r="AB163" i="23"/>
  <c r="AB162" i="23"/>
  <c r="AA162" i="23"/>
  <c r="X162" i="23"/>
  <c r="AC162" i="23"/>
  <c r="U162" i="23" s="1"/>
  <c r="AC164" i="23"/>
  <c r="X164" i="23"/>
  <c r="AB164" i="23"/>
  <c r="AA164" i="23"/>
  <c r="AH162" i="23"/>
  <c r="AH164" i="23"/>
  <c r="AH163" i="23"/>
  <c r="F65" i="3"/>
  <c r="AE161" i="23"/>
  <c r="AD161" i="23"/>
  <c r="Y161" i="23" s="1"/>
  <c r="Z161" i="23" s="1"/>
  <c r="S161" i="23"/>
  <c r="P161" i="23"/>
  <c r="AH161" i="23" s="1"/>
  <c r="O161" i="23"/>
  <c r="N161" i="23"/>
  <c r="AE160" i="23"/>
  <c r="AD160" i="23"/>
  <c r="Y160" i="23" s="1"/>
  <c r="Z160" i="23" s="1"/>
  <c r="S160" i="23"/>
  <c r="P160" i="23"/>
  <c r="AJ160" i="23" s="1"/>
  <c r="O160" i="23"/>
  <c r="N160" i="23"/>
  <c r="AE159" i="23"/>
  <c r="AD159" i="23"/>
  <c r="Y159" i="23" s="1"/>
  <c r="Z159" i="23" s="1"/>
  <c r="S159" i="23"/>
  <c r="P159" i="23"/>
  <c r="AJ159" i="23" s="1"/>
  <c r="O159" i="23"/>
  <c r="N159" i="23"/>
  <c r="I65" i="3"/>
  <c r="AC160" i="23" l="1"/>
  <c r="X160" i="23"/>
  <c r="AB160" i="23"/>
  <c r="AA160" i="23"/>
  <c r="AA159" i="23"/>
  <c r="AC159" i="23"/>
  <c r="X159" i="23"/>
  <c r="AB159" i="23"/>
  <c r="AC161" i="23"/>
  <c r="X161" i="23"/>
  <c r="AB161" i="23"/>
  <c r="AA161" i="23"/>
  <c r="AJ161" i="23"/>
  <c r="AH159" i="23"/>
  <c r="AH160" i="23"/>
  <c r="F64" i="3"/>
  <c r="F63" i="3"/>
  <c r="F62" i="3"/>
  <c r="AE158" i="23"/>
  <c r="AD158" i="23"/>
  <c r="Y158" i="23" s="1"/>
  <c r="Z158" i="23" s="1"/>
  <c r="S158" i="23"/>
  <c r="P158" i="23"/>
  <c r="AJ158" i="23" s="1"/>
  <c r="O158" i="23"/>
  <c r="N158" i="23"/>
  <c r="I62" i="3"/>
  <c r="I64" i="3"/>
  <c r="I63" i="3"/>
  <c r="AB158" i="23" l="1"/>
  <c r="AA158" i="23"/>
  <c r="AC158" i="23"/>
  <c r="X158" i="23"/>
  <c r="AH158" i="23"/>
  <c r="AE157" i="23"/>
  <c r="AD157" i="23"/>
  <c r="Y157" i="23" s="1"/>
  <c r="Z157" i="23" s="1"/>
  <c r="T157" i="23"/>
  <c r="S157" i="23"/>
  <c r="P157" i="23"/>
  <c r="AJ157" i="23" s="1"/>
  <c r="O157" i="23"/>
  <c r="N157" i="23"/>
  <c r="AE156" i="23"/>
  <c r="AD156" i="23"/>
  <c r="Y156" i="23" s="1"/>
  <c r="Z156" i="23" s="1"/>
  <c r="S156" i="23"/>
  <c r="P156" i="23"/>
  <c r="AH156" i="23" s="1"/>
  <c r="O156" i="23"/>
  <c r="N156" i="23"/>
  <c r="AE155" i="23"/>
  <c r="AD155" i="23"/>
  <c r="Y155" i="23" s="1"/>
  <c r="Z155" i="23" s="1"/>
  <c r="S155" i="23"/>
  <c r="P155" i="23"/>
  <c r="AH155" i="23" s="1"/>
  <c r="O155" i="23"/>
  <c r="N155" i="23"/>
  <c r="AE154" i="23"/>
  <c r="AD154" i="23"/>
  <c r="Y154" i="23" s="1"/>
  <c r="Z154" i="23" s="1"/>
  <c r="S154" i="23"/>
  <c r="P154" i="23"/>
  <c r="AJ154" i="23" s="1"/>
  <c r="O154" i="23"/>
  <c r="N154" i="23"/>
  <c r="R157" i="23" l="1"/>
  <c r="AC156" i="23"/>
  <c r="X156" i="23"/>
  <c r="AB156" i="23"/>
  <c r="AA156" i="23"/>
  <c r="AC157" i="23"/>
  <c r="U157" i="23" s="1"/>
  <c r="X157" i="23"/>
  <c r="AB157" i="23"/>
  <c r="AA157" i="23"/>
  <c r="AA155" i="23"/>
  <c r="AC155" i="23"/>
  <c r="X155" i="23"/>
  <c r="AB155" i="23"/>
  <c r="AB154" i="23"/>
  <c r="AC154" i="23"/>
  <c r="AA154" i="23"/>
  <c r="X154" i="23"/>
  <c r="AH157" i="23"/>
  <c r="AJ156" i="23"/>
  <c r="AJ155" i="23"/>
  <c r="AH154" i="23"/>
  <c r="AE153" i="23"/>
  <c r="AD153" i="23"/>
  <c r="Y153" i="23" s="1"/>
  <c r="Z153" i="23" s="1"/>
  <c r="S153" i="23"/>
  <c r="P153" i="23"/>
  <c r="AJ153" i="23" s="1"/>
  <c r="O153" i="23"/>
  <c r="N153" i="23"/>
  <c r="AE152" i="23"/>
  <c r="AD152" i="23"/>
  <c r="Y152" i="23" s="1"/>
  <c r="Z152" i="23" s="1"/>
  <c r="S152" i="23"/>
  <c r="P152" i="23"/>
  <c r="AJ152" i="23" s="1"/>
  <c r="O152" i="23"/>
  <c r="N152" i="23"/>
  <c r="AE151" i="23"/>
  <c r="AD151" i="23"/>
  <c r="Y151" i="23" s="1"/>
  <c r="Z151" i="23" s="1"/>
  <c r="S151" i="23"/>
  <c r="P151" i="23"/>
  <c r="AJ151" i="23" s="1"/>
  <c r="O151" i="23"/>
  <c r="N151" i="23"/>
  <c r="AE150" i="23"/>
  <c r="AD150" i="23"/>
  <c r="Y150" i="23" s="1"/>
  <c r="Z150" i="23" s="1"/>
  <c r="S150" i="23"/>
  <c r="P150" i="23"/>
  <c r="AH150" i="23" s="1"/>
  <c r="O150" i="23"/>
  <c r="N150" i="23"/>
  <c r="AE149" i="23"/>
  <c r="AD149" i="23"/>
  <c r="Y149" i="23" s="1"/>
  <c r="Z149" i="23" s="1"/>
  <c r="S149" i="23"/>
  <c r="P149" i="23"/>
  <c r="AJ149" i="23" s="1"/>
  <c r="O149" i="23"/>
  <c r="N149" i="23"/>
  <c r="AE148" i="23"/>
  <c r="AD148" i="23"/>
  <c r="Y148" i="23" s="1"/>
  <c r="Z148" i="23" s="1"/>
  <c r="S148" i="23"/>
  <c r="P148" i="23"/>
  <c r="AJ148" i="23" s="1"/>
  <c r="O148" i="23"/>
  <c r="N148" i="23"/>
  <c r="AE147" i="23"/>
  <c r="AD147" i="23"/>
  <c r="Y147" i="23" s="1"/>
  <c r="Z147" i="23" s="1"/>
  <c r="S147" i="23"/>
  <c r="P147" i="23"/>
  <c r="AJ147" i="23" s="1"/>
  <c r="O147" i="23"/>
  <c r="N147" i="23"/>
  <c r="AE146" i="23"/>
  <c r="AD146" i="23"/>
  <c r="Y146" i="23" s="1"/>
  <c r="Z146" i="23" s="1"/>
  <c r="S146" i="23"/>
  <c r="P146" i="23"/>
  <c r="AH146" i="23" s="1"/>
  <c r="O146" i="23"/>
  <c r="N146" i="23"/>
  <c r="AE145" i="23"/>
  <c r="AD145" i="23"/>
  <c r="Y145" i="23" s="1"/>
  <c r="Z145" i="23" s="1"/>
  <c r="S145" i="23"/>
  <c r="P145" i="23"/>
  <c r="AJ145" i="23" s="1"/>
  <c r="O145" i="23"/>
  <c r="N145" i="23"/>
  <c r="AE144" i="23"/>
  <c r="AD144" i="23"/>
  <c r="Y144" i="23" s="1"/>
  <c r="Z144" i="23" s="1"/>
  <c r="S144" i="23"/>
  <c r="P144" i="23"/>
  <c r="AJ144" i="23" s="1"/>
  <c r="O144" i="23"/>
  <c r="N144" i="23"/>
  <c r="AB146" i="23" l="1"/>
  <c r="AC146" i="23"/>
  <c r="U146" i="23" s="1"/>
  <c r="AA146" i="23"/>
  <c r="X146" i="23"/>
  <c r="AB150" i="23"/>
  <c r="AA150" i="23"/>
  <c r="X150" i="23"/>
  <c r="AC150" i="23"/>
  <c r="U150" i="23" s="1"/>
  <c r="AC145" i="23"/>
  <c r="X145" i="23"/>
  <c r="AA145" i="23"/>
  <c r="AB145" i="23"/>
  <c r="AC149" i="23"/>
  <c r="U149" i="23" s="1"/>
  <c r="X149" i="23"/>
  <c r="AA149" i="23"/>
  <c r="AB149" i="23"/>
  <c r="AC153" i="23"/>
  <c r="X153" i="23"/>
  <c r="AA153" i="23"/>
  <c r="AB153" i="23"/>
  <c r="AB144" i="23"/>
  <c r="X144" i="23"/>
  <c r="AC144" i="23"/>
  <c r="U144" i="23" s="1"/>
  <c r="AA144" i="23"/>
  <c r="AB148" i="23"/>
  <c r="AC148" i="23"/>
  <c r="AA148" i="23"/>
  <c r="X148" i="23"/>
  <c r="AB152" i="23"/>
  <c r="X152" i="23"/>
  <c r="AC152" i="23"/>
  <c r="AA152" i="23"/>
  <c r="AA147" i="23"/>
  <c r="AC147" i="23"/>
  <c r="U147" i="23" s="1"/>
  <c r="X147" i="23"/>
  <c r="AB147" i="23"/>
  <c r="AA151" i="23"/>
  <c r="AC151" i="23"/>
  <c r="U151" i="23" s="1"/>
  <c r="X151" i="23"/>
  <c r="AB151" i="23"/>
  <c r="U145" i="23"/>
  <c r="U148" i="23"/>
  <c r="U152" i="23"/>
  <c r="AH144" i="23"/>
  <c r="AH148" i="23"/>
  <c r="AH152" i="23"/>
  <c r="AH147" i="23"/>
  <c r="AH151" i="23"/>
  <c r="AJ146" i="23"/>
  <c r="AJ150" i="23"/>
  <c r="AH145" i="23"/>
  <c r="AH149" i="23"/>
  <c r="AH153" i="23"/>
  <c r="F59" i="3"/>
  <c r="AE143" i="23"/>
  <c r="AD143" i="23"/>
  <c r="Y143" i="23" s="1"/>
  <c r="Z143" i="23" s="1"/>
  <c r="S143" i="23"/>
  <c r="P143" i="23"/>
  <c r="AJ143" i="23" s="1"/>
  <c r="O143" i="23"/>
  <c r="N143" i="23"/>
  <c r="AE142" i="23"/>
  <c r="AD142" i="23"/>
  <c r="Y142" i="23" s="1"/>
  <c r="Z142" i="23" s="1"/>
  <c r="S142" i="23"/>
  <c r="P142" i="23"/>
  <c r="AJ142" i="23" s="1"/>
  <c r="O142" i="23"/>
  <c r="N142" i="23"/>
  <c r="AE141" i="23"/>
  <c r="AD141" i="23"/>
  <c r="Y141" i="23" s="1"/>
  <c r="Z141" i="23" s="1"/>
  <c r="S141" i="23"/>
  <c r="P141" i="23"/>
  <c r="AJ141" i="23" s="1"/>
  <c r="O141" i="23"/>
  <c r="N141" i="23"/>
  <c r="AA143" i="23" l="1"/>
  <c r="AC143" i="23"/>
  <c r="X143" i="23"/>
  <c r="AB143" i="23"/>
  <c r="AB142" i="23"/>
  <c r="AA142" i="23"/>
  <c r="X142" i="23"/>
  <c r="AC142" i="23"/>
  <c r="AA141" i="23"/>
  <c r="AC141" i="23"/>
  <c r="U141" i="23" s="1"/>
  <c r="X141" i="23"/>
  <c r="AB141" i="23"/>
  <c r="AH142" i="23"/>
  <c r="AH141" i="23"/>
  <c r="AH143" i="23"/>
  <c r="AE140" i="23"/>
  <c r="AD140" i="23"/>
  <c r="Y140" i="23" s="1"/>
  <c r="Z140" i="23" s="1"/>
  <c r="S140" i="23"/>
  <c r="P140" i="23"/>
  <c r="AJ140" i="23" s="1"/>
  <c r="O140" i="23"/>
  <c r="N140" i="23"/>
  <c r="AE139" i="23"/>
  <c r="AD139" i="23"/>
  <c r="Y139" i="23" s="1"/>
  <c r="Z139" i="23" s="1"/>
  <c r="S139" i="23"/>
  <c r="P139" i="23"/>
  <c r="AH139" i="23" s="1"/>
  <c r="O139" i="23"/>
  <c r="N139" i="23"/>
  <c r="AE138" i="23"/>
  <c r="AD138" i="23"/>
  <c r="Y138" i="23" s="1"/>
  <c r="Z138" i="23" s="1"/>
  <c r="S138" i="23"/>
  <c r="P138" i="23"/>
  <c r="AJ138" i="23" s="1"/>
  <c r="O138" i="23"/>
  <c r="N138" i="23"/>
  <c r="AC139" i="23" l="1"/>
  <c r="X139" i="23"/>
  <c r="AB139" i="23"/>
  <c r="AA139" i="23"/>
  <c r="AC138" i="23"/>
  <c r="X138" i="23"/>
  <c r="AB138" i="23"/>
  <c r="AA138" i="23"/>
  <c r="AB140" i="23"/>
  <c r="AA140" i="23"/>
  <c r="X140" i="23"/>
  <c r="AC140" i="23"/>
  <c r="U139" i="23"/>
  <c r="AH140" i="23"/>
  <c r="AJ139" i="23"/>
  <c r="AH138" i="23"/>
  <c r="AE137" i="23"/>
  <c r="AD137" i="23"/>
  <c r="Y137" i="23" s="1"/>
  <c r="Z137" i="23" s="1"/>
  <c r="S137" i="23"/>
  <c r="P137" i="23"/>
  <c r="AJ137" i="23" s="1"/>
  <c r="O137" i="23"/>
  <c r="N137" i="23"/>
  <c r="AE136" i="23"/>
  <c r="AD136" i="23"/>
  <c r="Y136" i="23" s="1"/>
  <c r="Z136" i="23" s="1"/>
  <c r="S136" i="23"/>
  <c r="P136" i="23"/>
  <c r="AJ136" i="23" s="1"/>
  <c r="O136" i="23"/>
  <c r="N136" i="23"/>
  <c r="AE135" i="23"/>
  <c r="AD135" i="23"/>
  <c r="Y135" i="23" s="1"/>
  <c r="Z135" i="23" s="1"/>
  <c r="S135" i="23"/>
  <c r="P135" i="23"/>
  <c r="AJ135" i="23" s="1"/>
  <c r="O135" i="23"/>
  <c r="N135" i="23"/>
  <c r="AE134" i="23"/>
  <c r="AD134" i="23"/>
  <c r="Y134" i="23" s="1"/>
  <c r="Z134" i="23" s="1"/>
  <c r="S134" i="23"/>
  <c r="P134" i="23"/>
  <c r="AJ134" i="23" s="1"/>
  <c r="O134" i="23"/>
  <c r="N134" i="23"/>
  <c r="AE133" i="23"/>
  <c r="AD133" i="23"/>
  <c r="Y133" i="23" s="1"/>
  <c r="Z133" i="23" s="1"/>
  <c r="S133" i="23"/>
  <c r="P133" i="23"/>
  <c r="AJ133" i="23" s="1"/>
  <c r="O133" i="23"/>
  <c r="N133" i="23"/>
  <c r="AE132" i="23"/>
  <c r="AD132" i="23"/>
  <c r="Y132" i="23" s="1"/>
  <c r="Z132" i="23" s="1"/>
  <c r="S132" i="23"/>
  <c r="P132" i="23"/>
  <c r="AJ132" i="23" s="1"/>
  <c r="O132" i="23"/>
  <c r="N132" i="23"/>
  <c r="AE131" i="23"/>
  <c r="AD131" i="23"/>
  <c r="Y131" i="23" s="1"/>
  <c r="Z131" i="23" s="1"/>
  <c r="S131" i="23"/>
  <c r="P131" i="23"/>
  <c r="AJ131" i="23" s="1"/>
  <c r="O131" i="23"/>
  <c r="N131" i="23"/>
  <c r="AE130" i="23"/>
  <c r="AD130" i="23"/>
  <c r="Y130" i="23" s="1"/>
  <c r="Z130" i="23" s="1"/>
  <c r="S130" i="23"/>
  <c r="P130" i="23"/>
  <c r="AH130" i="23" s="1"/>
  <c r="O130" i="23"/>
  <c r="N130" i="23"/>
  <c r="AE129" i="23"/>
  <c r="AD129" i="23"/>
  <c r="Y129" i="23" s="1"/>
  <c r="Z129" i="23" s="1"/>
  <c r="S129" i="23"/>
  <c r="P129" i="23"/>
  <c r="AJ129" i="23" s="1"/>
  <c r="O129" i="23"/>
  <c r="N129" i="23"/>
  <c r="AE128" i="23"/>
  <c r="AD128" i="23"/>
  <c r="Y128" i="23" s="1"/>
  <c r="Z128" i="23" s="1"/>
  <c r="S128" i="23"/>
  <c r="P128" i="23"/>
  <c r="AJ128" i="23" s="1"/>
  <c r="O128" i="23"/>
  <c r="N128" i="23"/>
  <c r="AE127" i="23"/>
  <c r="AD127" i="23"/>
  <c r="Y127" i="23" s="1"/>
  <c r="Z127" i="23" s="1"/>
  <c r="R127" i="23" s="1"/>
  <c r="T127" i="23"/>
  <c r="S127" i="23"/>
  <c r="P127" i="23"/>
  <c r="AJ127" i="23" s="1"/>
  <c r="O127" i="23"/>
  <c r="N127" i="23"/>
  <c r="AE126" i="23"/>
  <c r="AD126" i="23"/>
  <c r="Y126" i="23" s="1"/>
  <c r="Z126" i="23" s="1"/>
  <c r="S126" i="23"/>
  <c r="P126" i="23"/>
  <c r="AJ126" i="23" s="1"/>
  <c r="O126" i="23"/>
  <c r="N126" i="23"/>
  <c r="AE125" i="23"/>
  <c r="AD125" i="23"/>
  <c r="Y125" i="23" s="1"/>
  <c r="Z125" i="23" s="1"/>
  <c r="S125" i="23"/>
  <c r="P125" i="23"/>
  <c r="AH125" i="23" s="1"/>
  <c r="O125" i="23"/>
  <c r="N125" i="23"/>
  <c r="AE124" i="23"/>
  <c r="AD124" i="23"/>
  <c r="Y124" i="23" s="1"/>
  <c r="Z124" i="23" s="1"/>
  <c r="S124" i="23"/>
  <c r="P124" i="23"/>
  <c r="AJ124" i="23" s="1"/>
  <c r="O124" i="23"/>
  <c r="N124" i="23"/>
  <c r="AE123" i="23"/>
  <c r="AD123" i="23"/>
  <c r="Y123" i="23" s="1"/>
  <c r="Z123" i="23" s="1"/>
  <c r="S123" i="23"/>
  <c r="P123" i="23"/>
  <c r="O123" i="23"/>
  <c r="N123" i="23"/>
  <c r="AE122" i="23"/>
  <c r="AD122" i="23"/>
  <c r="Y122" i="23" s="1"/>
  <c r="Z122" i="23" s="1"/>
  <c r="S122" i="23"/>
  <c r="P122" i="23"/>
  <c r="AJ122" i="23" s="1"/>
  <c r="O122" i="23"/>
  <c r="N122" i="23"/>
  <c r="AE121" i="23"/>
  <c r="AD121" i="23"/>
  <c r="Y121" i="23" s="1"/>
  <c r="Z121" i="23" s="1"/>
  <c r="S121" i="23"/>
  <c r="P121" i="23"/>
  <c r="AJ121" i="23" s="1"/>
  <c r="O121" i="23"/>
  <c r="N121" i="23"/>
  <c r="AC122" i="23" l="1"/>
  <c r="X122" i="23"/>
  <c r="AB122" i="23"/>
  <c r="AA122" i="23"/>
  <c r="AC135" i="23"/>
  <c r="X135" i="23"/>
  <c r="AB135" i="23"/>
  <c r="AA135" i="23"/>
  <c r="AA125" i="23"/>
  <c r="AC125" i="23"/>
  <c r="X125" i="23"/>
  <c r="AB125" i="23"/>
  <c r="AC130" i="23"/>
  <c r="X130" i="23"/>
  <c r="AB130" i="23"/>
  <c r="AA130" i="23"/>
  <c r="AC123" i="23"/>
  <c r="X123" i="23"/>
  <c r="AB123" i="23"/>
  <c r="AA123" i="23"/>
  <c r="AB128" i="23"/>
  <c r="AA128" i="23"/>
  <c r="X128" i="23"/>
  <c r="AC128" i="23"/>
  <c r="AB132" i="23"/>
  <c r="AA132" i="23"/>
  <c r="AC132" i="23"/>
  <c r="X132" i="23"/>
  <c r="AB136" i="23"/>
  <c r="AA136" i="23"/>
  <c r="AC136" i="23"/>
  <c r="U136" i="23" s="1"/>
  <c r="X136" i="23"/>
  <c r="AC126" i="23"/>
  <c r="X126" i="23"/>
  <c r="AB126" i="23"/>
  <c r="AA126" i="23"/>
  <c r="AC127" i="23"/>
  <c r="U127" i="23" s="1"/>
  <c r="X127" i="23"/>
  <c r="AB127" i="23"/>
  <c r="AA127" i="23"/>
  <c r="AC131" i="23"/>
  <c r="X131" i="23"/>
  <c r="AB131" i="23"/>
  <c r="AA131" i="23"/>
  <c r="AA121" i="23"/>
  <c r="AC121" i="23"/>
  <c r="X121" i="23"/>
  <c r="AB121" i="23"/>
  <c r="AC134" i="23"/>
  <c r="X134" i="23"/>
  <c r="AB134" i="23"/>
  <c r="AA134" i="23"/>
  <c r="AB124" i="23"/>
  <c r="AA124" i="23"/>
  <c r="X124" i="23"/>
  <c r="AC124" i="23"/>
  <c r="AA129" i="23"/>
  <c r="AC129" i="23"/>
  <c r="X129" i="23"/>
  <c r="AB129" i="23"/>
  <c r="AA133" i="23"/>
  <c r="AC133" i="23"/>
  <c r="X133" i="23"/>
  <c r="AB133" i="23"/>
  <c r="AA137" i="23"/>
  <c r="AC137" i="23"/>
  <c r="U137" i="23" s="1"/>
  <c r="X137" i="23"/>
  <c r="AB137" i="23"/>
  <c r="AJ123" i="23"/>
  <c r="AH135" i="23"/>
  <c r="AH136" i="23"/>
  <c r="AH137" i="23"/>
  <c r="AH131" i="23"/>
  <c r="AH134" i="23"/>
  <c r="AH132" i="23"/>
  <c r="AH133" i="23"/>
  <c r="AJ130" i="23"/>
  <c r="AH123" i="23"/>
  <c r="AH122" i="23"/>
  <c r="AH126" i="23"/>
  <c r="AH129" i="23"/>
  <c r="AH127" i="23"/>
  <c r="AJ125" i="23"/>
  <c r="AH124" i="23"/>
  <c r="AH128" i="23"/>
  <c r="AH121" i="23"/>
  <c r="AE120" i="23"/>
  <c r="AD120" i="23"/>
  <c r="Y120" i="23" s="1"/>
  <c r="Z120" i="23" s="1"/>
  <c r="S120" i="23"/>
  <c r="P120" i="23"/>
  <c r="AJ120" i="23" s="1"/>
  <c r="O120" i="23"/>
  <c r="N120" i="23"/>
  <c r="AE119" i="23"/>
  <c r="AD119" i="23"/>
  <c r="Y119" i="23" s="1"/>
  <c r="Z119" i="23" s="1"/>
  <c r="S119" i="23"/>
  <c r="P119" i="23"/>
  <c r="AJ119" i="23" s="1"/>
  <c r="O119" i="23"/>
  <c r="N119" i="23"/>
  <c r="AE118" i="23"/>
  <c r="AD118" i="23"/>
  <c r="Y118" i="23" s="1"/>
  <c r="Z118" i="23" s="1"/>
  <c r="S118" i="23"/>
  <c r="P118" i="23"/>
  <c r="AJ118" i="23" s="1"/>
  <c r="O118" i="23"/>
  <c r="N118" i="23"/>
  <c r="AE117" i="23"/>
  <c r="AD117" i="23"/>
  <c r="Y117" i="23" s="1"/>
  <c r="Z117" i="23" s="1"/>
  <c r="S117" i="23"/>
  <c r="P117" i="23"/>
  <c r="AH117" i="23" s="1"/>
  <c r="O117" i="23"/>
  <c r="N117" i="23"/>
  <c r="AE116" i="23"/>
  <c r="AD116" i="23"/>
  <c r="Y116" i="23" s="1"/>
  <c r="Z116" i="23" s="1"/>
  <c r="S116" i="23"/>
  <c r="P116" i="23"/>
  <c r="AJ116" i="23" s="1"/>
  <c r="O116" i="23"/>
  <c r="N116" i="23"/>
  <c r="AB116" i="23" l="1"/>
  <c r="AA116" i="23"/>
  <c r="AC116" i="23"/>
  <c r="U116" i="23" s="1"/>
  <c r="X116" i="23"/>
  <c r="AC119" i="23"/>
  <c r="X119" i="23"/>
  <c r="AB119" i="23"/>
  <c r="AA119" i="23"/>
  <c r="AC118" i="23"/>
  <c r="U118" i="23" s="1"/>
  <c r="X118" i="23"/>
  <c r="AB118" i="23"/>
  <c r="AA118" i="23"/>
  <c r="AB120" i="23"/>
  <c r="AA120" i="23"/>
  <c r="AC120" i="23"/>
  <c r="X120" i="23"/>
  <c r="AA117" i="23"/>
  <c r="AC117" i="23"/>
  <c r="U117" i="23" s="1"/>
  <c r="X117" i="23"/>
  <c r="AB117" i="23"/>
  <c r="U119" i="23"/>
  <c r="AH118" i="23"/>
  <c r="AH119" i="23"/>
  <c r="AJ117" i="23"/>
  <c r="AH120" i="23"/>
  <c r="AH116" i="23"/>
  <c r="AE115" i="23"/>
  <c r="AD115" i="23"/>
  <c r="Y115" i="23" s="1"/>
  <c r="Z115" i="23" s="1"/>
  <c r="S115" i="23"/>
  <c r="P115" i="23"/>
  <c r="AH115" i="23" s="1"/>
  <c r="O115" i="23"/>
  <c r="N115" i="23"/>
  <c r="AE114" i="23"/>
  <c r="AD114" i="23"/>
  <c r="Y114" i="23" s="1"/>
  <c r="Z114" i="23" s="1"/>
  <c r="S114" i="23"/>
  <c r="P114" i="23"/>
  <c r="AJ114" i="23" s="1"/>
  <c r="O114" i="23"/>
  <c r="N114" i="23"/>
  <c r="AE113" i="23"/>
  <c r="AD113" i="23"/>
  <c r="Y113" i="23" s="1"/>
  <c r="Z113" i="23" s="1"/>
  <c r="S113" i="23"/>
  <c r="P113" i="23"/>
  <c r="AJ113" i="23" s="1"/>
  <c r="O113" i="23"/>
  <c r="N113" i="23"/>
  <c r="AE112" i="23"/>
  <c r="AD112" i="23"/>
  <c r="Y112" i="23" s="1"/>
  <c r="Z112" i="23" s="1"/>
  <c r="T112" i="23"/>
  <c r="S112" i="23"/>
  <c r="P112" i="23"/>
  <c r="AJ112" i="23" s="1"/>
  <c r="O112" i="23"/>
  <c r="N112" i="23"/>
  <c r="AE111" i="23"/>
  <c r="AD111" i="23"/>
  <c r="Y111" i="23" s="1"/>
  <c r="Z111" i="23" s="1"/>
  <c r="S111" i="23"/>
  <c r="P111" i="23"/>
  <c r="AJ111" i="23" s="1"/>
  <c r="O111" i="23"/>
  <c r="N111" i="23"/>
  <c r="AE110" i="23"/>
  <c r="AD110" i="23"/>
  <c r="Y110" i="23" s="1"/>
  <c r="Z110" i="23" s="1"/>
  <c r="S110" i="23"/>
  <c r="P110" i="23"/>
  <c r="AJ110" i="23" s="1"/>
  <c r="O110" i="23"/>
  <c r="N110" i="23"/>
  <c r="R112" i="23" l="1"/>
  <c r="AC110" i="23"/>
  <c r="X110" i="23"/>
  <c r="AB110" i="23"/>
  <c r="AA110" i="23"/>
  <c r="AC114" i="23"/>
  <c r="U114" i="23" s="1"/>
  <c r="X114" i="23"/>
  <c r="AB114" i="23"/>
  <c r="AA114" i="23"/>
  <c r="AA113" i="23"/>
  <c r="AC113" i="23"/>
  <c r="X113" i="23"/>
  <c r="AB113" i="23"/>
  <c r="AC115" i="23"/>
  <c r="X115" i="23"/>
  <c r="AB115" i="23"/>
  <c r="AA115" i="23"/>
  <c r="AC111" i="23"/>
  <c r="U111" i="23" s="1"/>
  <c r="X111" i="23"/>
  <c r="AB111" i="23"/>
  <c r="AA111" i="23"/>
  <c r="AB112" i="23"/>
  <c r="AA112" i="23"/>
  <c r="X112" i="23"/>
  <c r="AC112" i="23"/>
  <c r="U112" i="23" s="1"/>
  <c r="U110" i="23"/>
  <c r="U113" i="23"/>
  <c r="AJ115" i="23"/>
  <c r="AH113" i="23"/>
  <c r="AH114" i="23"/>
  <c r="AH112" i="23"/>
  <c r="AH111" i="23"/>
  <c r="AH110" i="23"/>
  <c r="F61" i="3"/>
  <c r="F60" i="3"/>
  <c r="F58" i="3"/>
  <c r="AE109" i="23"/>
  <c r="AD109" i="23"/>
  <c r="Y109" i="23" s="1"/>
  <c r="Z109" i="23" s="1"/>
  <c r="S109" i="23"/>
  <c r="P109" i="23"/>
  <c r="AH109" i="23" s="1"/>
  <c r="O109" i="23"/>
  <c r="N109" i="23"/>
  <c r="AE108" i="23"/>
  <c r="AD108" i="23"/>
  <c r="Y108" i="23" s="1"/>
  <c r="Z108" i="23" s="1"/>
  <c r="T108" i="23"/>
  <c r="S108" i="23"/>
  <c r="P108" i="23"/>
  <c r="AJ108" i="23" s="1"/>
  <c r="O108" i="23"/>
  <c r="N108" i="23"/>
  <c r="AE107" i="23"/>
  <c r="AD107" i="23"/>
  <c r="Y107" i="23" s="1"/>
  <c r="Z107" i="23" s="1"/>
  <c r="T107" i="23"/>
  <c r="S107" i="23"/>
  <c r="P107" i="23"/>
  <c r="AJ107" i="23" s="1"/>
  <c r="O107" i="23"/>
  <c r="N107" i="23"/>
  <c r="AE106" i="23"/>
  <c r="AD106" i="23"/>
  <c r="Y106" i="23" s="1"/>
  <c r="Z106" i="23" s="1"/>
  <c r="S106" i="23"/>
  <c r="P106" i="23"/>
  <c r="AH106" i="23" s="1"/>
  <c r="O106" i="23"/>
  <c r="N106" i="23"/>
  <c r="I58" i="3"/>
  <c r="I61" i="3"/>
  <c r="I60" i="3"/>
  <c r="I59" i="3"/>
  <c r="R107" i="23" l="1"/>
  <c r="R108" i="23"/>
  <c r="AA109" i="23"/>
  <c r="AC109" i="23"/>
  <c r="U109" i="23" s="1"/>
  <c r="X109" i="23"/>
  <c r="AB109" i="23"/>
  <c r="AC106" i="23"/>
  <c r="X106" i="23"/>
  <c r="AB106" i="23"/>
  <c r="AA106" i="23"/>
  <c r="AC107" i="23"/>
  <c r="U107" i="23" s="1"/>
  <c r="X107" i="23"/>
  <c r="AB107" i="23"/>
  <c r="AA107" i="23"/>
  <c r="AB108" i="23"/>
  <c r="AA108" i="23"/>
  <c r="X108" i="23"/>
  <c r="AC108" i="23"/>
  <c r="U108" i="23" s="1"/>
  <c r="AJ109" i="23"/>
  <c r="AH107" i="23"/>
  <c r="AH108" i="23"/>
  <c r="AJ106" i="23"/>
  <c r="AE105" i="23"/>
  <c r="AD105" i="23"/>
  <c r="Y105" i="23" s="1"/>
  <c r="Z105" i="23" s="1"/>
  <c r="S105" i="23"/>
  <c r="P105" i="23"/>
  <c r="AJ105" i="23" s="1"/>
  <c r="O105" i="23"/>
  <c r="N105" i="23"/>
  <c r="AE104" i="23"/>
  <c r="AD104" i="23"/>
  <c r="Y104" i="23" s="1"/>
  <c r="Z104" i="23" s="1"/>
  <c r="S104" i="23"/>
  <c r="P104" i="23"/>
  <c r="AJ104" i="23" s="1"/>
  <c r="O104" i="23"/>
  <c r="N104" i="23"/>
  <c r="AE103" i="23"/>
  <c r="AD103" i="23"/>
  <c r="Y103" i="23" s="1"/>
  <c r="Z103" i="23" s="1"/>
  <c r="S103" i="23"/>
  <c r="P103" i="23"/>
  <c r="AJ103" i="23" s="1"/>
  <c r="O103" i="23"/>
  <c r="N103" i="23"/>
  <c r="AE102" i="23"/>
  <c r="AD102" i="23"/>
  <c r="Y102" i="23" s="1"/>
  <c r="Z102" i="23" s="1"/>
  <c r="S102" i="23"/>
  <c r="P102" i="23"/>
  <c r="AJ102" i="23" s="1"/>
  <c r="O102" i="23"/>
  <c r="N102" i="23"/>
  <c r="AE101" i="23"/>
  <c r="AD101" i="23"/>
  <c r="Y101" i="23" s="1"/>
  <c r="Z101" i="23" s="1"/>
  <c r="S101" i="23"/>
  <c r="P101" i="23"/>
  <c r="AJ101" i="23" s="1"/>
  <c r="O101" i="23"/>
  <c r="N101" i="23"/>
  <c r="AE100" i="23"/>
  <c r="AD100" i="23"/>
  <c r="Y100" i="23" s="1"/>
  <c r="Z100" i="23" s="1"/>
  <c r="S100" i="23"/>
  <c r="P100" i="23"/>
  <c r="AH100" i="23" s="1"/>
  <c r="O100" i="23"/>
  <c r="N100" i="23"/>
  <c r="AE99" i="23"/>
  <c r="AD99" i="23"/>
  <c r="Y99" i="23" s="1"/>
  <c r="Z99" i="23" s="1"/>
  <c r="S99" i="23"/>
  <c r="P99" i="23"/>
  <c r="AJ99" i="23" s="1"/>
  <c r="O99" i="23"/>
  <c r="N99" i="23"/>
  <c r="AB100" i="23" l="1"/>
  <c r="AA100" i="23"/>
  <c r="AC100" i="23"/>
  <c r="X100" i="23"/>
  <c r="AC99" i="23"/>
  <c r="X99" i="23"/>
  <c r="AB99" i="23"/>
  <c r="AA99" i="23"/>
  <c r="AC103" i="23"/>
  <c r="U103" i="23" s="1"/>
  <c r="X103" i="23"/>
  <c r="AB103" i="23"/>
  <c r="AA103" i="23"/>
  <c r="AC102" i="23"/>
  <c r="X102" i="23"/>
  <c r="AB102" i="23"/>
  <c r="AA102" i="23"/>
  <c r="AB104" i="23"/>
  <c r="AA104" i="23"/>
  <c r="AC104" i="23"/>
  <c r="U104" i="23" s="1"/>
  <c r="X104" i="23"/>
  <c r="AA101" i="23"/>
  <c r="AC101" i="23"/>
  <c r="X101" i="23"/>
  <c r="AB101" i="23"/>
  <c r="AA105" i="23"/>
  <c r="AC105" i="23"/>
  <c r="X105" i="23"/>
  <c r="AB105" i="23"/>
  <c r="U102" i="23"/>
  <c r="U105" i="23"/>
  <c r="AH104" i="23"/>
  <c r="AH105" i="23"/>
  <c r="AH101" i="23"/>
  <c r="AJ100" i="23"/>
  <c r="AH102" i="23"/>
  <c r="AH99" i="23"/>
  <c r="AH103" i="23"/>
  <c r="AE98" i="23"/>
  <c r="AD98" i="23"/>
  <c r="Y98" i="23" s="1"/>
  <c r="Z98" i="23" s="1"/>
  <c r="S98" i="23"/>
  <c r="P98" i="23"/>
  <c r="AJ98" i="23" s="1"/>
  <c r="O98" i="23"/>
  <c r="N98" i="23"/>
  <c r="G15" i="3"/>
  <c r="G19" i="3"/>
  <c r="G28" i="3"/>
  <c r="G30" i="3"/>
  <c r="G50" i="3"/>
  <c r="G27" i="3"/>
  <c r="G29" i="3"/>
  <c r="G48" i="3"/>
  <c r="G20" i="3"/>
  <c r="G49" i="3"/>
  <c r="G16" i="3"/>
  <c r="AC98" i="23" l="1"/>
  <c r="X98" i="23"/>
  <c r="AB98" i="23"/>
  <c r="AA98" i="23"/>
  <c r="AH98" i="23"/>
  <c r="AE97" i="23"/>
  <c r="AD97" i="23"/>
  <c r="Y97" i="23" s="1"/>
  <c r="Z97" i="23" s="1"/>
  <c r="S97" i="23"/>
  <c r="P97" i="23"/>
  <c r="AJ97" i="23" s="1"/>
  <c r="O97" i="23"/>
  <c r="N97" i="23"/>
  <c r="AE96" i="23"/>
  <c r="AD96" i="23"/>
  <c r="Y96" i="23" s="1"/>
  <c r="Z96" i="23" s="1"/>
  <c r="S96" i="23"/>
  <c r="P96" i="23"/>
  <c r="AJ96" i="23" s="1"/>
  <c r="O96" i="23"/>
  <c r="N96" i="23"/>
  <c r="AB96" i="23" l="1"/>
  <c r="AA96" i="23"/>
  <c r="AC96" i="23"/>
  <c r="X96" i="23"/>
  <c r="AA97" i="23"/>
  <c r="AC97" i="23"/>
  <c r="X97" i="23"/>
  <c r="AB97" i="23"/>
  <c r="AH96" i="23"/>
  <c r="AH97" i="23"/>
  <c r="AE95" i="23"/>
  <c r="AD95" i="23"/>
  <c r="Y95" i="23" s="1"/>
  <c r="Z95" i="23" s="1"/>
  <c r="S95" i="23"/>
  <c r="P95" i="23"/>
  <c r="AJ95" i="23" s="1"/>
  <c r="O95" i="23"/>
  <c r="N95" i="23"/>
  <c r="AC95" i="23" l="1"/>
  <c r="X95" i="23"/>
  <c r="AB95" i="23"/>
  <c r="AA95" i="23"/>
  <c r="U95" i="23"/>
  <c r="AH95" i="23"/>
  <c r="AE94" i="23"/>
  <c r="AD94" i="23"/>
  <c r="Y94" i="23" s="1"/>
  <c r="Z94" i="23" s="1"/>
  <c r="S94" i="23"/>
  <c r="P94" i="23"/>
  <c r="AH94" i="23" s="1"/>
  <c r="O94" i="23"/>
  <c r="N94" i="23"/>
  <c r="AE93" i="23"/>
  <c r="AD93" i="23"/>
  <c r="Y93" i="23" s="1"/>
  <c r="Z93" i="23" s="1"/>
  <c r="S93" i="23"/>
  <c r="P93" i="23"/>
  <c r="AJ93" i="23" s="1"/>
  <c r="O93" i="23"/>
  <c r="N93" i="23"/>
  <c r="AE92" i="23"/>
  <c r="AD92" i="23"/>
  <c r="Y92" i="23" s="1"/>
  <c r="Z92" i="23" s="1"/>
  <c r="S92" i="23"/>
  <c r="P92" i="23"/>
  <c r="AJ92" i="23" s="1"/>
  <c r="O92" i="23"/>
  <c r="N92" i="23"/>
  <c r="AA93" i="23" l="1"/>
  <c r="AC93" i="23"/>
  <c r="U93" i="23" s="1"/>
  <c r="X93" i="23"/>
  <c r="AB93" i="23"/>
  <c r="AB92" i="23"/>
  <c r="AA92" i="23"/>
  <c r="X92" i="23"/>
  <c r="AC92" i="23"/>
  <c r="U92" i="23" s="1"/>
  <c r="AC94" i="23"/>
  <c r="U94" i="23" s="1"/>
  <c r="X94" i="23"/>
  <c r="AB94" i="23"/>
  <c r="AA94" i="23"/>
  <c r="AJ94" i="23"/>
  <c r="AH92" i="23"/>
  <c r="AH93" i="23"/>
  <c r="AE91" i="23"/>
  <c r="AD91" i="23"/>
  <c r="Y91" i="23" s="1"/>
  <c r="Z91" i="23" s="1"/>
  <c r="S91" i="23"/>
  <c r="P91" i="23"/>
  <c r="AJ91" i="23" s="1"/>
  <c r="O91" i="23"/>
  <c r="N91" i="23"/>
  <c r="AE90" i="23"/>
  <c r="AD90" i="23"/>
  <c r="Y90" i="23" s="1"/>
  <c r="Z90" i="23" s="1"/>
  <c r="S90" i="23"/>
  <c r="P90" i="23"/>
  <c r="AJ90" i="23" s="1"/>
  <c r="O90" i="23"/>
  <c r="N90" i="23"/>
  <c r="AE89" i="23"/>
  <c r="AD89" i="23"/>
  <c r="Y89" i="23" s="1"/>
  <c r="Z89" i="23" s="1"/>
  <c r="S89" i="23"/>
  <c r="P89" i="23"/>
  <c r="AJ89" i="23" s="1"/>
  <c r="O89" i="23"/>
  <c r="N89" i="23"/>
  <c r="AC91" i="23" l="1"/>
  <c r="U91" i="23" s="1"/>
  <c r="X91" i="23"/>
  <c r="AB91" i="23"/>
  <c r="AA91" i="23"/>
  <c r="AC90" i="23"/>
  <c r="U90" i="23" s="1"/>
  <c r="X90" i="23"/>
  <c r="AB90" i="23"/>
  <c r="AA90" i="23"/>
  <c r="AA89" i="23"/>
  <c r="AC89" i="23"/>
  <c r="U89" i="23" s="1"/>
  <c r="X89" i="23"/>
  <c r="AB89" i="23"/>
  <c r="AH90" i="23"/>
  <c r="AH91" i="23"/>
  <c r="AH89" i="23"/>
  <c r="AE88" i="23"/>
  <c r="AD88" i="23"/>
  <c r="Y88" i="23" s="1"/>
  <c r="Z88" i="23" s="1"/>
  <c r="S88" i="23"/>
  <c r="P88" i="23"/>
  <c r="AJ88" i="23" s="1"/>
  <c r="O88" i="23"/>
  <c r="N88" i="23"/>
  <c r="AB88" i="23" l="1"/>
  <c r="AA88" i="23"/>
  <c r="AC88" i="23"/>
  <c r="U88" i="23" s="1"/>
  <c r="X88" i="23"/>
  <c r="AH88" i="23"/>
  <c r="S3" i="23"/>
  <c r="S2" i="23"/>
  <c r="F57" i="3" l="1"/>
  <c r="F55" i="3"/>
  <c r="AE87" i="23"/>
  <c r="AD87" i="23"/>
  <c r="Y87" i="23" s="1"/>
  <c r="Z87" i="23" s="1"/>
  <c r="S87" i="23"/>
  <c r="P87" i="23"/>
  <c r="AJ87" i="23" s="1"/>
  <c r="O87" i="23"/>
  <c r="N87" i="23"/>
  <c r="AE86" i="23"/>
  <c r="AD86" i="23"/>
  <c r="Y86" i="23" s="1"/>
  <c r="Z86" i="23" s="1"/>
  <c r="S86" i="23"/>
  <c r="P86" i="23"/>
  <c r="AJ86" i="23" s="1"/>
  <c r="O86" i="23"/>
  <c r="N86" i="23"/>
  <c r="AE85" i="23"/>
  <c r="AD85" i="23"/>
  <c r="Y85" i="23" s="1"/>
  <c r="Z85" i="23" s="1"/>
  <c r="T85" i="23"/>
  <c r="S85" i="23"/>
  <c r="P85" i="23"/>
  <c r="AJ85" i="23" s="1"/>
  <c r="O85" i="23"/>
  <c r="N85" i="23"/>
  <c r="AE84" i="23"/>
  <c r="AD84" i="23"/>
  <c r="Y84" i="23" s="1"/>
  <c r="Z84" i="23" s="1"/>
  <c r="T84" i="23"/>
  <c r="S84" i="23"/>
  <c r="P84" i="23"/>
  <c r="AJ84" i="23" s="1"/>
  <c r="O84" i="23"/>
  <c r="N84" i="23"/>
  <c r="I57" i="3"/>
  <c r="I56" i="3"/>
  <c r="I55" i="3"/>
  <c r="R85" i="23" l="1"/>
  <c r="R84" i="23"/>
  <c r="AA85" i="23"/>
  <c r="AC85" i="23"/>
  <c r="U85" i="23" s="1"/>
  <c r="X85" i="23"/>
  <c r="AB85" i="23"/>
  <c r="AB84" i="23"/>
  <c r="AA84" i="23"/>
  <c r="AC84" i="23"/>
  <c r="U84" i="23" s="1"/>
  <c r="X84" i="23"/>
  <c r="AC86" i="23"/>
  <c r="X86" i="23"/>
  <c r="AB86" i="23"/>
  <c r="AA86" i="23"/>
  <c r="AC87" i="23"/>
  <c r="U87" i="23" s="1"/>
  <c r="X87" i="23"/>
  <c r="AB87" i="23"/>
  <c r="AA87" i="23"/>
  <c r="AH85" i="23"/>
  <c r="AH87" i="23"/>
  <c r="AH84" i="23"/>
  <c r="AH86" i="23"/>
  <c r="F53" i="3"/>
  <c r="F52" i="3"/>
  <c r="AE83" i="23"/>
  <c r="AD83" i="23"/>
  <c r="Y83" i="23" s="1"/>
  <c r="Z83" i="23" s="1"/>
  <c r="S83" i="23"/>
  <c r="P83" i="23"/>
  <c r="AJ83" i="23" s="1"/>
  <c r="O83" i="23"/>
  <c r="N83" i="23"/>
  <c r="AE82" i="23"/>
  <c r="AD82" i="23"/>
  <c r="Y82" i="23" s="1"/>
  <c r="Z82" i="23" s="1"/>
  <c r="S82" i="23"/>
  <c r="P82" i="23"/>
  <c r="AJ82" i="23" s="1"/>
  <c r="O82" i="23"/>
  <c r="N82" i="23"/>
  <c r="I53" i="3"/>
  <c r="I54" i="3"/>
  <c r="I52" i="3"/>
  <c r="AC83" i="23" l="1"/>
  <c r="X83" i="23"/>
  <c r="AB83" i="23"/>
  <c r="AA83" i="23"/>
  <c r="AC82" i="23"/>
  <c r="X82" i="23"/>
  <c r="AB82" i="23"/>
  <c r="AA82" i="23"/>
  <c r="AH82" i="23"/>
  <c r="AH83" i="23"/>
  <c r="F51" i="3"/>
  <c r="F50" i="3"/>
  <c r="F49" i="3"/>
  <c r="F48" i="3"/>
  <c r="F47" i="3"/>
  <c r="F46" i="3"/>
  <c r="F45" i="3"/>
  <c r="F44" i="3"/>
  <c r="F43" i="3"/>
  <c r="F42" i="3"/>
  <c r="F41" i="3"/>
  <c r="AE81" i="23"/>
  <c r="AD81" i="23"/>
  <c r="Y81" i="23" s="1"/>
  <c r="Z81" i="23" s="1"/>
  <c r="S81" i="23"/>
  <c r="P81" i="23"/>
  <c r="AJ81" i="23" s="1"/>
  <c r="O81" i="23"/>
  <c r="N81" i="23"/>
  <c r="AE80" i="23"/>
  <c r="AD80" i="23"/>
  <c r="Y80" i="23" s="1"/>
  <c r="Z80" i="23" s="1"/>
  <c r="S80" i="23"/>
  <c r="P80" i="23"/>
  <c r="AJ80" i="23" s="1"/>
  <c r="O80" i="23"/>
  <c r="N80" i="23"/>
  <c r="AE79" i="23"/>
  <c r="AD79" i="23"/>
  <c r="Y79" i="23" s="1"/>
  <c r="Z79" i="23" s="1"/>
  <c r="S79" i="23"/>
  <c r="P79" i="23"/>
  <c r="AJ79" i="23" s="1"/>
  <c r="O79" i="23"/>
  <c r="N79" i="23"/>
  <c r="AE78" i="23"/>
  <c r="AD78" i="23"/>
  <c r="Y78" i="23" s="1"/>
  <c r="Z78" i="23" s="1"/>
  <c r="S78" i="23"/>
  <c r="P78" i="23"/>
  <c r="AJ78" i="23" s="1"/>
  <c r="O78" i="23"/>
  <c r="N78" i="23"/>
  <c r="AE77" i="23"/>
  <c r="AD77" i="23"/>
  <c r="Y77" i="23" s="1"/>
  <c r="Z77" i="23" s="1"/>
  <c r="S77" i="23"/>
  <c r="P77" i="23"/>
  <c r="AH77" i="23" s="1"/>
  <c r="O77" i="23"/>
  <c r="N77" i="23"/>
  <c r="I42" i="3"/>
  <c r="I46" i="3"/>
  <c r="I41" i="3"/>
  <c r="I44" i="3"/>
  <c r="I51" i="3"/>
  <c r="I45" i="3"/>
  <c r="I43" i="3"/>
  <c r="I50" i="3"/>
  <c r="I48" i="3"/>
  <c r="I47" i="3"/>
  <c r="I49" i="3"/>
  <c r="AB80" i="23" l="1"/>
  <c r="AA80" i="23"/>
  <c r="X80" i="23"/>
  <c r="AC80" i="23"/>
  <c r="AC78" i="23"/>
  <c r="X78" i="23"/>
  <c r="AB78" i="23"/>
  <c r="AA78" i="23"/>
  <c r="AA77" i="23"/>
  <c r="AC77" i="23"/>
  <c r="U77" i="23" s="1"/>
  <c r="X77" i="23"/>
  <c r="AB77" i="23"/>
  <c r="AC79" i="23"/>
  <c r="X79" i="23"/>
  <c r="AB79" i="23"/>
  <c r="AA79" i="23"/>
  <c r="AA81" i="23"/>
  <c r="AC81" i="23"/>
  <c r="U81" i="23" s="1"/>
  <c r="X81" i="23"/>
  <c r="AB81" i="23"/>
  <c r="AH80" i="23"/>
  <c r="AH81" i="23"/>
  <c r="AJ77" i="23"/>
  <c r="AH79" i="23"/>
  <c r="AH78" i="23"/>
  <c r="AE76" i="23"/>
  <c r="AD76" i="23"/>
  <c r="Y76" i="23" s="1"/>
  <c r="Z76" i="23" s="1"/>
  <c r="S76" i="23"/>
  <c r="P76" i="23"/>
  <c r="AJ76" i="23" s="1"/>
  <c r="O76" i="23"/>
  <c r="N76" i="23"/>
  <c r="AE75" i="23"/>
  <c r="AD75" i="23"/>
  <c r="Y75" i="23" s="1"/>
  <c r="Z75" i="23" s="1"/>
  <c r="S75" i="23"/>
  <c r="P75" i="23"/>
  <c r="AJ75" i="23" s="1"/>
  <c r="O75" i="23"/>
  <c r="N75" i="23"/>
  <c r="AE74" i="23"/>
  <c r="AD74" i="23"/>
  <c r="Y74" i="23" s="1"/>
  <c r="Z74" i="23" s="1"/>
  <c r="S74" i="23"/>
  <c r="P74" i="23"/>
  <c r="AJ74" i="23" s="1"/>
  <c r="O74" i="23"/>
  <c r="N74" i="23"/>
  <c r="AE73" i="23"/>
  <c r="AD73" i="23"/>
  <c r="Y73" i="23" s="1"/>
  <c r="Z73" i="23" s="1"/>
  <c r="S73" i="23"/>
  <c r="P73" i="23"/>
  <c r="AJ73" i="23" s="1"/>
  <c r="O73" i="23"/>
  <c r="N73" i="23"/>
  <c r="AE72" i="23"/>
  <c r="AD72" i="23"/>
  <c r="Y72" i="23" s="1"/>
  <c r="Z72" i="23" s="1"/>
  <c r="S72" i="23"/>
  <c r="P72" i="23"/>
  <c r="AJ72" i="23" s="1"/>
  <c r="O72" i="23"/>
  <c r="N72" i="23"/>
  <c r="AE71" i="23"/>
  <c r="AD71" i="23"/>
  <c r="Y71" i="23" s="1"/>
  <c r="Z71" i="23" s="1"/>
  <c r="S71" i="23"/>
  <c r="P71" i="23"/>
  <c r="AJ71" i="23" s="1"/>
  <c r="O71" i="23"/>
  <c r="N71" i="23"/>
  <c r="AE70" i="23"/>
  <c r="AD70" i="23"/>
  <c r="Y70" i="23" s="1"/>
  <c r="Z70" i="23" s="1"/>
  <c r="S70" i="23"/>
  <c r="P70" i="23"/>
  <c r="AJ70" i="23" s="1"/>
  <c r="O70" i="23"/>
  <c r="N70" i="23"/>
  <c r="AE69" i="23"/>
  <c r="AD69" i="23"/>
  <c r="Y69" i="23" s="1"/>
  <c r="Z69" i="23" s="1"/>
  <c r="S69" i="23"/>
  <c r="P69" i="23"/>
  <c r="AJ69" i="23" s="1"/>
  <c r="O69" i="23"/>
  <c r="N69" i="23"/>
  <c r="AE68" i="23"/>
  <c r="AD68" i="23"/>
  <c r="Y68" i="23" s="1"/>
  <c r="Z68" i="23" s="1"/>
  <c r="S68" i="23"/>
  <c r="P68" i="23"/>
  <c r="AJ68" i="23" s="1"/>
  <c r="O68" i="23"/>
  <c r="N68" i="23"/>
  <c r="AE67" i="23"/>
  <c r="AD67" i="23"/>
  <c r="Y67" i="23" s="1"/>
  <c r="Z67" i="23" s="1"/>
  <c r="S67" i="23"/>
  <c r="P67" i="23"/>
  <c r="AJ67" i="23" s="1"/>
  <c r="O67" i="23"/>
  <c r="N67" i="23"/>
  <c r="AC71" i="23" l="1"/>
  <c r="X71" i="23"/>
  <c r="AB71" i="23"/>
  <c r="AA71" i="23"/>
  <c r="AA73" i="23"/>
  <c r="AC73" i="23"/>
  <c r="X73" i="23"/>
  <c r="AB73" i="23"/>
  <c r="AC75" i="23"/>
  <c r="X75" i="23"/>
  <c r="AB75" i="23"/>
  <c r="AA75" i="23"/>
  <c r="AB68" i="23"/>
  <c r="AA68" i="23"/>
  <c r="AC68" i="23"/>
  <c r="U68" i="23" s="1"/>
  <c r="X68" i="23"/>
  <c r="AB72" i="23"/>
  <c r="AA72" i="23"/>
  <c r="AC72" i="23"/>
  <c r="X72" i="23"/>
  <c r="AC74" i="23"/>
  <c r="X74" i="23"/>
  <c r="AB74" i="23"/>
  <c r="AA74" i="23"/>
  <c r="AB76" i="23"/>
  <c r="AA76" i="23"/>
  <c r="X76" i="23"/>
  <c r="AC76" i="23"/>
  <c r="AC67" i="23"/>
  <c r="X67" i="23"/>
  <c r="AB67" i="23"/>
  <c r="AA67" i="23"/>
  <c r="AA69" i="23"/>
  <c r="AC69" i="23"/>
  <c r="U69" i="23" s="1"/>
  <c r="X69" i="23"/>
  <c r="AB69" i="23"/>
  <c r="AC70" i="23"/>
  <c r="X70" i="23"/>
  <c r="AB70" i="23"/>
  <c r="AA70" i="23"/>
  <c r="AH73" i="23"/>
  <c r="AH74" i="23"/>
  <c r="AH75" i="23"/>
  <c r="AH76" i="23"/>
  <c r="AH70" i="23"/>
  <c r="AH71" i="23"/>
  <c r="AH72" i="23"/>
  <c r="AH69" i="23"/>
  <c r="AH68" i="23"/>
  <c r="AH67" i="23"/>
  <c r="F40" i="3"/>
  <c r="F39" i="3"/>
  <c r="F38" i="3"/>
  <c r="F37" i="3"/>
  <c r="AE66" i="23"/>
  <c r="AD66" i="23"/>
  <c r="Y66" i="23" s="1"/>
  <c r="Z66" i="23" s="1"/>
  <c r="S66" i="23"/>
  <c r="P66" i="23"/>
  <c r="AJ66" i="23" s="1"/>
  <c r="O66" i="23"/>
  <c r="N66" i="23"/>
  <c r="AE65" i="23"/>
  <c r="AD65" i="23"/>
  <c r="Y65" i="23" s="1"/>
  <c r="Z65" i="23" s="1"/>
  <c r="S65" i="23"/>
  <c r="P65" i="23"/>
  <c r="AH65" i="23" s="1"/>
  <c r="O65" i="23"/>
  <c r="N65" i="23"/>
  <c r="AE64" i="23"/>
  <c r="AD64" i="23"/>
  <c r="Y64" i="23" s="1"/>
  <c r="Z64" i="23" s="1"/>
  <c r="S64" i="23"/>
  <c r="P64" i="23"/>
  <c r="AJ64" i="23" s="1"/>
  <c r="O64" i="23"/>
  <c r="N64" i="23"/>
  <c r="AE63" i="23"/>
  <c r="AD63" i="23"/>
  <c r="Y63" i="23" s="1"/>
  <c r="Z63" i="23" s="1"/>
  <c r="S63" i="23"/>
  <c r="P63" i="23"/>
  <c r="AH63" i="23" s="1"/>
  <c r="O63" i="23"/>
  <c r="N63" i="23"/>
  <c r="I38" i="3"/>
  <c r="I39" i="3"/>
  <c r="I40" i="3"/>
  <c r="I37" i="3"/>
  <c r="AC63" i="23" l="1"/>
  <c r="X63" i="23"/>
  <c r="AB63" i="23"/>
  <c r="AA63" i="23"/>
  <c r="AB64" i="23"/>
  <c r="AA64" i="23"/>
  <c r="AC64" i="23"/>
  <c r="U64" i="23" s="1"/>
  <c r="X64" i="23"/>
  <c r="AC66" i="23"/>
  <c r="X66" i="23"/>
  <c r="AB66" i="23"/>
  <c r="AA66" i="23"/>
  <c r="AA65" i="23"/>
  <c r="AC65" i="23"/>
  <c r="U65" i="23" s="1"/>
  <c r="X65" i="23"/>
  <c r="AB65" i="23"/>
  <c r="U63" i="23"/>
  <c r="AJ65" i="23"/>
  <c r="AJ63" i="23"/>
  <c r="AH66" i="23"/>
  <c r="AH64" i="23"/>
  <c r="AE62" i="23"/>
  <c r="AD62" i="23"/>
  <c r="Y62" i="23" s="1"/>
  <c r="Z62" i="23" s="1"/>
  <c r="S62" i="23"/>
  <c r="P62" i="23"/>
  <c r="AJ62" i="23" s="1"/>
  <c r="O62" i="23"/>
  <c r="N62" i="23"/>
  <c r="AE61" i="23"/>
  <c r="AD61" i="23"/>
  <c r="Y61" i="23" s="1"/>
  <c r="Z61" i="23" s="1"/>
  <c r="S61" i="23"/>
  <c r="P61" i="23"/>
  <c r="AJ61" i="23" s="1"/>
  <c r="O61" i="23"/>
  <c r="N61" i="23"/>
  <c r="AE60" i="23"/>
  <c r="AD60" i="23"/>
  <c r="Y60" i="23" s="1"/>
  <c r="Z60" i="23" s="1"/>
  <c r="S60" i="23"/>
  <c r="P60" i="23"/>
  <c r="AJ60" i="23" s="1"/>
  <c r="O60" i="23"/>
  <c r="N60" i="23"/>
  <c r="AE59" i="23"/>
  <c r="AD59" i="23"/>
  <c r="Y59" i="23" s="1"/>
  <c r="Z59" i="23" s="1"/>
  <c r="S59" i="23"/>
  <c r="P59" i="23"/>
  <c r="AH59" i="23" s="1"/>
  <c r="O59" i="23"/>
  <c r="N59" i="23"/>
  <c r="AE58" i="23"/>
  <c r="AD58" i="23"/>
  <c r="Y58" i="23" s="1"/>
  <c r="Z58" i="23" s="1"/>
  <c r="S58" i="23"/>
  <c r="P58" i="23"/>
  <c r="AH58" i="23" s="1"/>
  <c r="O58" i="23"/>
  <c r="N58" i="23"/>
  <c r="AE57" i="23"/>
  <c r="AD57" i="23"/>
  <c r="Y57" i="23" s="1"/>
  <c r="Z57" i="23" s="1"/>
  <c r="S57" i="23"/>
  <c r="P57" i="23"/>
  <c r="AJ57" i="23" s="1"/>
  <c r="O57" i="23"/>
  <c r="N57" i="23"/>
  <c r="AE56" i="23"/>
  <c r="AD56" i="23"/>
  <c r="Y56" i="23" s="1"/>
  <c r="Z56" i="23" s="1"/>
  <c r="S56" i="23"/>
  <c r="P56" i="23"/>
  <c r="AJ56" i="23" s="1"/>
  <c r="O56" i="23"/>
  <c r="N56" i="23"/>
  <c r="AC59" i="23" l="1"/>
  <c r="X59" i="23"/>
  <c r="AB59" i="23"/>
  <c r="AA59" i="23"/>
  <c r="AA61" i="23"/>
  <c r="AC61" i="23"/>
  <c r="X61" i="23"/>
  <c r="AB61" i="23"/>
  <c r="AA57" i="23"/>
  <c r="AC57" i="23"/>
  <c r="X57" i="23"/>
  <c r="AB57" i="23"/>
  <c r="AB56" i="23"/>
  <c r="AA56" i="23"/>
  <c r="AC56" i="23"/>
  <c r="U56" i="23" s="1"/>
  <c r="X56" i="23"/>
  <c r="AC58" i="23"/>
  <c r="X58" i="23"/>
  <c r="AB58" i="23"/>
  <c r="AA58" i="23"/>
  <c r="AB60" i="23"/>
  <c r="AA60" i="23"/>
  <c r="X60" i="23"/>
  <c r="AC60" i="23"/>
  <c r="U60" i="23" s="1"/>
  <c r="AC62" i="23"/>
  <c r="U62" i="23" s="1"/>
  <c r="X62" i="23"/>
  <c r="AB62" i="23"/>
  <c r="AA62" i="23"/>
  <c r="U58" i="23"/>
  <c r="AH62" i="23"/>
  <c r="AJ58" i="23"/>
  <c r="AH60" i="23"/>
  <c r="AH61" i="23"/>
  <c r="AJ59" i="23"/>
  <c r="AH57" i="23"/>
  <c r="AH56" i="23"/>
  <c r="AE55" i="23"/>
  <c r="AD55" i="23"/>
  <c r="Y55" i="23" s="1"/>
  <c r="Z55" i="23" s="1"/>
  <c r="S55" i="23"/>
  <c r="P55" i="23"/>
  <c r="AJ55" i="23" s="1"/>
  <c r="O55" i="23"/>
  <c r="N55" i="23"/>
  <c r="AE54" i="23"/>
  <c r="AD54" i="23"/>
  <c r="Y54" i="23" s="1"/>
  <c r="Z54" i="23" s="1"/>
  <c r="S54" i="23"/>
  <c r="P54" i="23"/>
  <c r="AJ54" i="23" s="1"/>
  <c r="O54" i="23"/>
  <c r="N54" i="23"/>
  <c r="AE53" i="23"/>
  <c r="AD53" i="23"/>
  <c r="Y53" i="23" s="1"/>
  <c r="Z53" i="23" s="1"/>
  <c r="S53" i="23"/>
  <c r="P53" i="23"/>
  <c r="AJ53" i="23" s="1"/>
  <c r="O53" i="23"/>
  <c r="N53" i="23"/>
  <c r="AE52" i="23"/>
  <c r="AD52" i="23"/>
  <c r="Y52" i="23" s="1"/>
  <c r="Z52" i="23" s="1"/>
  <c r="S52" i="23"/>
  <c r="P52" i="23"/>
  <c r="AH52" i="23" s="1"/>
  <c r="O52" i="23"/>
  <c r="N52" i="23"/>
  <c r="AE51" i="23"/>
  <c r="AD51" i="23"/>
  <c r="Y51" i="23" s="1"/>
  <c r="Z51" i="23" s="1"/>
  <c r="S51" i="23"/>
  <c r="P51" i="23"/>
  <c r="AJ51" i="23" s="1"/>
  <c r="O51" i="23"/>
  <c r="N51" i="23"/>
  <c r="AE50" i="23"/>
  <c r="AD50" i="23"/>
  <c r="Y50" i="23" s="1"/>
  <c r="Z50" i="23" s="1"/>
  <c r="S50" i="23"/>
  <c r="P50" i="23"/>
  <c r="AJ50" i="23" s="1"/>
  <c r="O50" i="23"/>
  <c r="N50" i="23"/>
  <c r="AC51" i="23" l="1"/>
  <c r="X51" i="23"/>
  <c r="AB51" i="23"/>
  <c r="AA51" i="23"/>
  <c r="AA53" i="23"/>
  <c r="AC53" i="23"/>
  <c r="X53" i="23"/>
  <c r="AB53" i="23"/>
  <c r="AC55" i="23"/>
  <c r="X55" i="23"/>
  <c r="AB55" i="23"/>
  <c r="AA55" i="23"/>
  <c r="AC50" i="23"/>
  <c r="X50" i="23"/>
  <c r="AB50" i="23"/>
  <c r="AA50" i="23"/>
  <c r="AB52" i="23"/>
  <c r="AA52" i="23"/>
  <c r="AC52" i="23"/>
  <c r="X52" i="23"/>
  <c r="AC54" i="23"/>
  <c r="U54" i="23" s="1"/>
  <c r="X54" i="23"/>
  <c r="AB54" i="23"/>
  <c r="AA54" i="23"/>
  <c r="U51" i="23"/>
  <c r="AJ52" i="23"/>
  <c r="AH55" i="23"/>
  <c r="AH54" i="23"/>
  <c r="AH53" i="23"/>
  <c r="AH51" i="23"/>
  <c r="AH50" i="23"/>
  <c r="AE49" i="23"/>
  <c r="AD49" i="23"/>
  <c r="Y49" i="23" s="1"/>
  <c r="Z49" i="23" s="1"/>
  <c r="S49" i="23"/>
  <c r="P49" i="23"/>
  <c r="AJ49" i="23" s="1"/>
  <c r="O49" i="23"/>
  <c r="N49" i="23"/>
  <c r="AE48" i="23"/>
  <c r="AD48" i="23"/>
  <c r="Y48" i="23" s="1"/>
  <c r="Z48" i="23" s="1"/>
  <c r="S48" i="23"/>
  <c r="P48" i="23"/>
  <c r="AH48" i="23" s="1"/>
  <c r="O48" i="23"/>
  <c r="N48" i="23"/>
  <c r="AE47" i="23"/>
  <c r="AD47" i="23"/>
  <c r="Y47" i="23" s="1"/>
  <c r="Z47" i="23" s="1"/>
  <c r="S47" i="23"/>
  <c r="P47" i="23"/>
  <c r="AJ47" i="23" s="1"/>
  <c r="O47" i="23"/>
  <c r="N47" i="23"/>
  <c r="AE46" i="23"/>
  <c r="AD46" i="23"/>
  <c r="Y46" i="23" s="1"/>
  <c r="Z46" i="23" s="1"/>
  <c r="S46" i="23"/>
  <c r="P46" i="23"/>
  <c r="AJ46" i="23" s="1"/>
  <c r="O46" i="23"/>
  <c r="N46" i="23"/>
  <c r="AE45" i="23"/>
  <c r="AD45" i="23"/>
  <c r="Y45" i="23" s="1"/>
  <c r="Z45" i="23" s="1"/>
  <c r="S45" i="23"/>
  <c r="P45" i="23"/>
  <c r="AJ45" i="23" s="1"/>
  <c r="O45" i="23"/>
  <c r="N45" i="23"/>
  <c r="AE44" i="23"/>
  <c r="AD44" i="23"/>
  <c r="Y44" i="23" s="1"/>
  <c r="Z44" i="23" s="1"/>
  <c r="S44" i="23"/>
  <c r="P44" i="23"/>
  <c r="AJ44" i="23" s="1"/>
  <c r="O44" i="23"/>
  <c r="N44" i="23"/>
  <c r="AA45" i="23" l="1"/>
  <c r="AC45" i="23"/>
  <c r="AB45" i="23"/>
  <c r="X45" i="23"/>
  <c r="AC47" i="23"/>
  <c r="X47" i="23"/>
  <c r="AB47" i="23"/>
  <c r="AA47" i="23"/>
  <c r="AA49" i="23"/>
  <c r="AC49" i="23"/>
  <c r="U49" i="23" s="1"/>
  <c r="X49" i="23"/>
  <c r="AB49" i="23"/>
  <c r="AB44" i="23"/>
  <c r="AA44" i="23"/>
  <c r="AC44" i="23"/>
  <c r="U44" i="23" s="1"/>
  <c r="X44" i="23"/>
  <c r="AC46" i="23"/>
  <c r="X46" i="23"/>
  <c r="AB46" i="23"/>
  <c r="AA46" i="23"/>
  <c r="AB48" i="23"/>
  <c r="AA48" i="23"/>
  <c r="X48" i="23"/>
  <c r="AC48" i="23"/>
  <c r="AJ48" i="23"/>
  <c r="AH49" i="23"/>
  <c r="AH47" i="23"/>
  <c r="AH45" i="23"/>
  <c r="AH46" i="23"/>
  <c r="AH44" i="23"/>
  <c r="B2" i="23"/>
  <c r="AE43" i="23"/>
  <c r="AD43" i="23"/>
  <c r="Y43" i="23" s="1"/>
  <c r="Z43" i="23" s="1"/>
  <c r="S43" i="23"/>
  <c r="O43" i="23"/>
  <c r="N43" i="23"/>
  <c r="P43" i="23"/>
  <c r="AE42" i="23"/>
  <c r="AD42" i="23"/>
  <c r="Y42" i="23" s="1"/>
  <c r="Z42" i="23" s="1"/>
  <c r="S42" i="23"/>
  <c r="O42" i="23"/>
  <c r="N42" i="23"/>
  <c r="AE41" i="23"/>
  <c r="AD41" i="23"/>
  <c r="Y41" i="23" s="1"/>
  <c r="Z41" i="23" s="1"/>
  <c r="S41" i="23"/>
  <c r="O41" i="23"/>
  <c r="N41" i="23"/>
  <c r="AE40" i="23"/>
  <c r="AD40" i="23"/>
  <c r="Y40" i="23" s="1"/>
  <c r="Z40" i="23" s="1"/>
  <c r="S40" i="23"/>
  <c r="O40" i="23"/>
  <c r="N40" i="23"/>
  <c r="AE39" i="23"/>
  <c r="AD39" i="23"/>
  <c r="Y39" i="23" s="1"/>
  <c r="Z39" i="23" s="1"/>
  <c r="S39" i="23"/>
  <c r="O39" i="23"/>
  <c r="N39" i="23"/>
  <c r="AE38" i="23"/>
  <c r="AD38" i="23"/>
  <c r="Y38" i="23" s="1"/>
  <c r="Z38" i="23" s="1"/>
  <c r="S38" i="23"/>
  <c r="O38" i="23"/>
  <c r="N38" i="23"/>
  <c r="L433" i="23" l="1"/>
  <c r="L434" i="23"/>
  <c r="L432" i="23"/>
  <c r="L430" i="23"/>
  <c r="L431" i="23"/>
  <c r="L428" i="23"/>
  <c r="L429" i="23"/>
  <c r="L426" i="23"/>
  <c r="L427" i="23"/>
  <c r="L425" i="23"/>
  <c r="L424" i="23"/>
  <c r="L423" i="23"/>
  <c r="L422" i="23"/>
  <c r="AA41" i="23"/>
  <c r="AC41" i="23"/>
  <c r="X41" i="23"/>
  <c r="AB41" i="23"/>
  <c r="AC39" i="23"/>
  <c r="X39" i="23"/>
  <c r="AB39" i="23"/>
  <c r="AA39" i="23"/>
  <c r="AA38" i="23"/>
  <c r="AC38" i="23"/>
  <c r="X38" i="23"/>
  <c r="AB38" i="23"/>
  <c r="AC42" i="23"/>
  <c r="X42" i="23"/>
  <c r="AA42" i="23"/>
  <c r="AB42" i="23"/>
  <c r="AB40" i="23"/>
  <c r="AC40" i="23"/>
  <c r="AA40" i="23"/>
  <c r="X40" i="23"/>
  <c r="AC43" i="23"/>
  <c r="X43" i="23"/>
  <c r="AB43" i="23"/>
  <c r="AA43" i="23"/>
  <c r="L420" i="23"/>
  <c r="L418" i="23"/>
  <c r="L416" i="23"/>
  <c r="L414" i="23"/>
  <c r="L412" i="23"/>
  <c r="L410" i="23"/>
  <c r="L408" i="23"/>
  <c r="L406" i="23"/>
  <c r="L404" i="23"/>
  <c r="L421" i="23"/>
  <c r="L419" i="23"/>
  <c r="L417" i="23"/>
  <c r="L415" i="23"/>
  <c r="L413" i="23"/>
  <c r="L411" i="23"/>
  <c r="L409" i="23"/>
  <c r="L407" i="23"/>
  <c r="L405" i="23"/>
  <c r="L403" i="23"/>
  <c r="L396" i="23"/>
  <c r="L401" i="23"/>
  <c r="L399" i="23"/>
  <c r="L397" i="23"/>
  <c r="L402" i="23"/>
  <c r="L400" i="23"/>
  <c r="L398" i="23"/>
  <c r="L394" i="23"/>
  <c r="L392" i="23"/>
  <c r="L395" i="23"/>
  <c r="L393" i="23"/>
  <c r="L391" i="23"/>
  <c r="L389" i="23"/>
  <c r="L385" i="23"/>
  <c r="L383" i="23"/>
  <c r="L381" i="23"/>
  <c r="L386" i="23"/>
  <c r="L384" i="23"/>
  <c r="L390" i="23"/>
  <c r="L388" i="23"/>
  <c r="L382" i="23"/>
  <c r="L314" i="23"/>
  <c r="L380" i="23"/>
  <c r="L378" i="23"/>
  <c r="L376" i="23"/>
  <c r="L374" i="23"/>
  <c r="L372" i="23"/>
  <c r="L370" i="23"/>
  <c r="L368" i="23"/>
  <c r="L366" i="23"/>
  <c r="L364" i="23"/>
  <c r="L362" i="23"/>
  <c r="L360" i="23"/>
  <c r="L358" i="23"/>
  <c r="L356" i="23"/>
  <c r="L354" i="23"/>
  <c r="L379" i="23"/>
  <c r="L377" i="23"/>
  <c r="L375" i="23"/>
  <c r="L373" i="23"/>
  <c r="L371" i="23"/>
  <c r="L369" i="23"/>
  <c r="L367" i="23"/>
  <c r="L365" i="23"/>
  <c r="L363" i="23"/>
  <c r="L361" i="23"/>
  <c r="L359" i="23"/>
  <c r="L357" i="23"/>
  <c r="L355" i="23"/>
  <c r="L353" i="23"/>
  <c r="L344" i="23"/>
  <c r="L352" i="23"/>
  <c r="L350" i="23"/>
  <c r="L348" i="23"/>
  <c r="L346" i="23"/>
  <c r="L351" i="23"/>
  <c r="L349" i="23"/>
  <c r="L347" i="23"/>
  <c r="L345" i="23"/>
  <c r="L343" i="23"/>
  <c r="L342" i="23"/>
  <c r="L341" i="23"/>
  <c r="L339" i="23"/>
  <c r="L340" i="23"/>
  <c r="L337" i="23"/>
  <c r="L338" i="23"/>
  <c r="L334" i="23"/>
  <c r="L335" i="23"/>
  <c r="L336" i="23"/>
  <c r="L333" i="23"/>
  <c r="L322" i="23"/>
  <c r="L332" i="23"/>
  <c r="L331" i="23"/>
  <c r="L330" i="23"/>
  <c r="L329" i="23"/>
  <c r="L327" i="23"/>
  <c r="L328" i="23"/>
  <c r="L326" i="23"/>
  <c r="L324" i="23"/>
  <c r="L323" i="23"/>
  <c r="L325" i="23"/>
  <c r="L321" i="23"/>
  <c r="L319" i="23"/>
  <c r="L320" i="23"/>
  <c r="L318" i="23"/>
  <c r="L317" i="23"/>
  <c r="L315" i="23"/>
  <c r="L313" i="23"/>
  <c r="L312" i="23"/>
  <c r="L316" i="23"/>
  <c r="L311" i="23"/>
  <c r="L309" i="23"/>
  <c r="L307" i="23"/>
  <c r="L305" i="23"/>
  <c r="L301" i="23"/>
  <c r="L299" i="23"/>
  <c r="L310" i="23"/>
  <c r="L308" i="23"/>
  <c r="L306" i="23"/>
  <c r="L304" i="23"/>
  <c r="L302" i="23"/>
  <c r="L300" i="23"/>
  <c r="L303" i="23"/>
  <c r="L292" i="23"/>
  <c r="L297" i="23"/>
  <c r="L295" i="23"/>
  <c r="L293" i="23"/>
  <c r="L298" i="23"/>
  <c r="L296" i="23"/>
  <c r="L294" i="23"/>
  <c r="L288" i="23"/>
  <c r="L291" i="23"/>
  <c r="L289" i="23"/>
  <c r="L290" i="23"/>
  <c r="L286" i="23"/>
  <c r="L287" i="23"/>
  <c r="L285" i="23"/>
  <c r="L284" i="23"/>
  <c r="L282" i="23"/>
  <c r="L283" i="23"/>
  <c r="L281" i="23"/>
  <c r="L280" i="23"/>
  <c r="L278" i="23"/>
  <c r="L279" i="23"/>
  <c r="L277" i="23"/>
  <c r="L275" i="23"/>
  <c r="L276" i="23"/>
  <c r="L274" i="23"/>
  <c r="L273" i="23"/>
  <c r="L272" i="23"/>
  <c r="L271" i="23"/>
  <c r="L268" i="23"/>
  <c r="L270" i="23"/>
  <c r="L269" i="23"/>
  <c r="L267" i="23"/>
  <c r="L265" i="23"/>
  <c r="L263" i="23"/>
  <c r="L264" i="23"/>
  <c r="L266" i="23"/>
  <c r="L262" i="23"/>
  <c r="L261" i="23"/>
  <c r="L259" i="23"/>
  <c r="L257" i="23"/>
  <c r="L255" i="23"/>
  <c r="L253" i="23"/>
  <c r="L251" i="23"/>
  <c r="L260" i="23"/>
  <c r="L258" i="23"/>
  <c r="L256" i="23"/>
  <c r="L254" i="23"/>
  <c r="L252" i="23"/>
  <c r="L250" i="23"/>
  <c r="L231" i="23"/>
  <c r="L185" i="23"/>
  <c r="L248" i="23"/>
  <c r="L249" i="23"/>
  <c r="L244" i="23"/>
  <c r="L246" i="23"/>
  <c r="L247" i="23"/>
  <c r="L245" i="23"/>
  <c r="L243" i="23"/>
  <c r="L241" i="23"/>
  <c r="L242" i="23"/>
  <c r="L240" i="23"/>
  <c r="L239" i="23"/>
  <c r="L238" i="23"/>
  <c r="L237" i="23"/>
  <c r="L235" i="23"/>
  <c r="L236" i="23"/>
  <c r="L234" i="23"/>
  <c r="L233" i="23"/>
  <c r="L230" i="23"/>
  <c r="L232" i="23"/>
  <c r="L229" i="23"/>
  <c r="L227" i="23"/>
  <c r="L225" i="23"/>
  <c r="L226" i="23"/>
  <c r="L228" i="23"/>
  <c r="L224" i="23"/>
  <c r="L223" i="23"/>
  <c r="L222" i="23"/>
  <c r="L221" i="23"/>
  <c r="L218" i="23"/>
  <c r="L220" i="23"/>
  <c r="L219" i="23"/>
  <c r="L216" i="23"/>
  <c r="L217" i="23"/>
  <c r="L212" i="23"/>
  <c r="L215" i="23"/>
  <c r="L213" i="23"/>
  <c r="L214" i="23"/>
  <c r="L209" i="23"/>
  <c r="L210" i="23"/>
  <c r="L211" i="23"/>
  <c r="L206" i="23"/>
  <c r="L208" i="23"/>
  <c r="L207" i="23"/>
  <c r="L204" i="23"/>
  <c r="L205" i="23"/>
  <c r="L202" i="23"/>
  <c r="L203" i="23"/>
  <c r="L201" i="23"/>
  <c r="L199" i="23"/>
  <c r="L200" i="23"/>
  <c r="L196" i="23"/>
  <c r="L198" i="23"/>
  <c r="L197" i="23"/>
  <c r="L192" i="23"/>
  <c r="L195" i="23"/>
  <c r="L193" i="23"/>
  <c r="L194" i="23"/>
  <c r="L190" i="23"/>
  <c r="L191" i="23"/>
  <c r="L188" i="23"/>
  <c r="L189" i="23"/>
  <c r="L186" i="23"/>
  <c r="L187" i="23"/>
  <c r="L183" i="23"/>
  <c r="L181" i="23"/>
  <c r="L184" i="23"/>
  <c r="L182" i="23"/>
  <c r="L180" i="23"/>
  <c r="L179" i="23"/>
  <c r="L178" i="23"/>
  <c r="L177" i="23"/>
  <c r="L174" i="23"/>
  <c r="L176" i="23"/>
  <c r="L175" i="23"/>
  <c r="L172" i="23"/>
  <c r="L173" i="23"/>
  <c r="L171" i="23"/>
  <c r="L170" i="23"/>
  <c r="L168" i="23"/>
  <c r="L169" i="23"/>
  <c r="L166" i="23"/>
  <c r="L167" i="23"/>
  <c r="L164" i="23"/>
  <c r="L165" i="23"/>
  <c r="L161" i="23"/>
  <c r="L163" i="23"/>
  <c r="L162" i="23"/>
  <c r="L159" i="23"/>
  <c r="L160" i="23"/>
  <c r="L157" i="23"/>
  <c r="L158" i="23"/>
  <c r="L155" i="23"/>
  <c r="L156" i="23"/>
  <c r="L8" i="23"/>
  <c r="L154" i="23"/>
  <c r="D6" i="23"/>
  <c r="L153" i="23"/>
  <c r="L149" i="23"/>
  <c r="L145" i="23"/>
  <c r="L141" i="23"/>
  <c r="L137" i="23"/>
  <c r="L133" i="23"/>
  <c r="L129" i="23"/>
  <c r="L125" i="23"/>
  <c r="L121" i="23"/>
  <c r="L117" i="23"/>
  <c r="L113" i="23"/>
  <c r="L109" i="23"/>
  <c r="L105" i="23"/>
  <c r="L101" i="23"/>
  <c r="L97" i="23"/>
  <c r="L93" i="23"/>
  <c r="L89" i="23"/>
  <c r="L85" i="23"/>
  <c r="L81" i="23"/>
  <c r="L77" i="23"/>
  <c r="L73" i="23"/>
  <c r="L69" i="23"/>
  <c r="L65" i="23"/>
  <c r="L61" i="23"/>
  <c r="L57" i="23"/>
  <c r="L53" i="23"/>
  <c r="L49" i="23"/>
  <c r="L45" i="23"/>
  <c r="L41" i="23"/>
  <c r="L37" i="23"/>
  <c r="L33" i="23"/>
  <c r="L29" i="23"/>
  <c r="L25" i="23"/>
  <c r="L21" i="23"/>
  <c r="L17" i="23"/>
  <c r="L13" i="23"/>
  <c r="L152" i="23"/>
  <c r="L148" i="23"/>
  <c r="L144" i="23"/>
  <c r="L140" i="23"/>
  <c r="L136" i="23"/>
  <c r="L132" i="23"/>
  <c r="L128" i="23"/>
  <c r="L124" i="23"/>
  <c r="L120" i="23"/>
  <c r="L116" i="23"/>
  <c r="L112" i="23"/>
  <c r="L108" i="23"/>
  <c r="L104" i="23"/>
  <c r="L100" i="23"/>
  <c r="L96" i="23"/>
  <c r="L92" i="23"/>
  <c r="L88" i="23"/>
  <c r="L84" i="23"/>
  <c r="L80" i="23"/>
  <c r="L76" i="23"/>
  <c r="L72" i="23"/>
  <c r="L68" i="23"/>
  <c r="L64" i="23"/>
  <c r="L60" i="23"/>
  <c r="L56" i="23"/>
  <c r="L52" i="23"/>
  <c r="L48" i="23"/>
  <c r="L44" i="23"/>
  <c r="L40" i="23"/>
  <c r="L36" i="23"/>
  <c r="L32" i="23"/>
  <c r="L28" i="23"/>
  <c r="L24" i="23"/>
  <c r="L20" i="23"/>
  <c r="L16" i="23"/>
  <c r="L12" i="23"/>
  <c r="L151" i="23"/>
  <c r="L147" i="23"/>
  <c r="L143" i="23"/>
  <c r="L135" i="23"/>
  <c r="L131" i="23"/>
  <c r="L150" i="23"/>
  <c r="L146" i="23"/>
  <c r="L142" i="23"/>
  <c r="L138" i="23"/>
  <c r="L134" i="23"/>
  <c r="L130" i="23"/>
  <c r="L126" i="23"/>
  <c r="L122" i="23"/>
  <c r="L118" i="23"/>
  <c r="L114" i="23"/>
  <c r="L110" i="23"/>
  <c r="L106" i="23"/>
  <c r="L102" i="23"/>
  <c r="L98" i="23"/>
  <c r="L94" i="23"/>
  <c r="L90" i="23"/>
  <c r="L86" i="23"/>
  <c r="L82" i="23"/>
  <c r="L78" i="23"/>
  <c r="L74" i="23"/>
  <c r="L70" i="23"/>
  <c r="L66" i="23"/>
  <c r="L62" i="23"/>
  <c r="L58" i="23"/>
  <c r="L54" i="23"/>
  <c r="L50" i="23"/>
  <c r="L46" i="23"/>
  <c r="L42" i="23"/>
  <c r="L38" i="23"/>
  <c r="L34" i="23"/>
  <c r="L30" i="23"/>
  <c r="L26" i="23"/>
  <c r="L22" i="23"/>
  <c r="L18" i="23"/>
  <c r="L14" i="23"/>
  <c r="L10" i="23"/>
  <c r="L139" i="23"/>
  <c r="L115" i="23"/>
  <c r="L99" i="23"/>
  <c r="L83" i="23"/>
  <c r="L67" i="23"/>
  <c r="L51" i="23"/>
  <c r="L35" i="23"/>
  <c r="L19" i="23"/>
  <c r="L127" i="23"/>
  <c r="L111" i="23"/>
  <c r="L95" i="23"/>
  <c r="L79" i="23"/>
  <c r="L63" i="23"/>
  <c r="L47" i="23"/>
  <c r="L31" i="23"/>
  <c r="L15" i="23"/>
  <c r="L71" i="23"/>
  <c r="L123" i="23"/>
  <c r="L107" i="23"/>
  <c r="L91" i="23"/>
  <c r="L75" i="23"/>
  <c r="L59" i="23"/>
  <c r="L43" i="23"/>
  <c r="L27" i="23"/>
  <c r="L11" i="23"/>
  <c r="L119" i="23"/>
  <c r="L103" i="23"/>
  <c r="L87" i="23"/>
  <c r="L55" i="23"/>
  <c r="L39" i="23"/>
  <c r="L23" i="23"/>
  <c r="AJ43" i="23"/>
  <c r="AH43" i="23"/>
  <c r="AE37" i="23"/>
  <c r="AD37" i="23"/>
  <c r="Y37" i="23" s="1"/>
  <c r="Z37" i="23" s="1"/>
  <c r="S37" i="23"/>
  <c r="O37" i="23"/>
  <c r="N37" i="23"/>
  <c r="AE36" i="23"/>
  <c r="AD36" i="23"/>
  <c r="Y36" i="23" s="1"/>
  <c r="Z36" i="23" s="1"/>
  <c r="S36" i="23"/>
  <c r="O36" i="23"/>
  <c r="N36" i="23"/>
  <c r="AE35" i="23"/>
  <c r="AD35" i="23"/>
  <c r="Y35" i="23" s="1"/>
  <c r="Z35" i="23" s="1"/>
  <c r="S35" i="23"/>
  <c r="O35" i="23"/>
  <c r="N35" i="23"/>
  <c r="AC35" i="23" l="1"/>
  <c r="X35" i="23"/>
  <c r="AB35" i="23"/>
  <c r="AA35" i="23"/>
  <c r="AA37" i="23"/>
  <c r="AB37" i="23"/>
  <c r="AC37" i="23"/>
  <c r="X37" i="23"/>
  <c r="AB36" i="23"/>
  <c r="X36" i="23"/>
  <c r="AA36" i="23"/>
  <c r="AC36" i="23"/>
  <c r="AE34" i="23"/>
  <c r="AD34" i="23"/>
  <c r="Y34" i="23" s="1"/>
  <c r="Z34" i="23" s="1"/>
  <c r="S34" i="23"/>
  <c r="O34" i="23"/>
  <c r="N34" i="23"/>
  <c r="AE33" i="23"/>
  <c r="AD33" i="23"/>
  <c r="Y33" i="23" s="1"/>
  <c r="Z33" i="23" s="1"/>
  <c r="S33" i="23"/>
  <c r="O33" i="23"/>
  <c r="N33" i="23"/>
  <c r="I17" i="3"/>
  <c r="I20" i="3"/>
  <c r="I15" i="3"/>
  <c r="I23" i="3"/>
  <c r="I27" i="3"/>
  <c r="I22" i="3"/>
  <c r="I36" i="3"/>
  <c r="I16" i="3"/>
  <c r="I35" i="3"/>
  <c r="I26" i="3"/>
  <c r="I21" i="3"/>
  <c r="I28" i="3"/>
  <c r="I31" i="3"/>
  <c r="I34" i="3"/>
  <c r="I30" i="3"/>
  <c r="I32" i="3"/>
  <c r="I25" i="3"/>
  <c r="I29" i="3"/>
  <c r="I24" i="3"/>
  <c r="I18" i="3"/>
  <c r="I33" i="3"/>
  <c r="I19" i="3"/>
  <c r="AA33" i="23" l="1"/>
  <c r="AC33" i="23"/>
  <c r="U33" i="23" s="1"/>
  <c r="X33" i="23"/>
  <c r="AB33" i="23"/>
  <c r="AA34" i="23"/>
  <c r="AC34" i="23"/>
  <c r="U34" i="23" s="1"/>
  <c r="X34" i="23"/>
  <c r="AB34" i="23"/>
  <c r="F29" i="3"/>
  <c r="F28" i="3"/>
  <c r="F27" i="3"/>
  <c r="AE32" i="23"/>
  <c r="AD32" i="23"/>
  <c r="Y32" i="23" s="1"/>
  <c r="Z32" i="23" s="1"/>
  <c r="S32" i="23"/>
  <c r="O32" i="23"/>
  <c r="N32" i="23"/>
  <c r="AE31" i="23"/>
  <c r="AD31" i="23"/>
  <c r="Y31" i="23" s="1"/>
  <c r="Z31" i="23" s="1"/>
  <c r="S31" i="23"/>
  <c r="O31" i="23"/>
  <c r="N31" i="23"/>
  <c r="AE30" i="23"/>
  <c r="AD30" i="23"/>
  <c r="Y30" i="23" s="1"/>
  <c r="Z30" i="23" s="1"/>
  <c r="S30" i="23"/>
  <c r="O30" i="23"/>
  <c r="N30" i="23"/>
  <c r="AE29" i="23"/>
  <c r="AD29" i="23"/>
  <c r="Y29" i="23" s="1"/>
  <c r="Z29" i="23" s="1"/>
  <c r="S29" i="23"/>
  <c r="O29" i="23"/>
  <c r="N29" i="23"/>
  <c r="AE28" i="23"/>
  <c r="AD28" i="23"/>
  <c r="Y28" i="23" s="1"/>
  <c r="Z28" i="23" s="1"/>
  <c r="S28" i="23"/>
  <c r="O28" i="23"/>
  <c r="N28" i="23"/>
  <c r="AE27" i="23"/>
  <c r="AD27" i="23"/>
  <c r="Y27" i="23" s="1"/>
  <c r="Z27" i="23" s="1"/>
  <c r="S27" i="23"/>
  <c r="O27" i="23"/>
  <c r="N27" i="23"/>
  <c r="AA29" i="23" l="1"/>
  <c r="AB29" i="23"/>
  <c r="AC29" i="23"/>
  <c r="X29" i="23"/>
  <c r="AC30" i="23"/>
  <c r="X30" i="23"/>
  <c r="AB30" i="23"/>
  <c r="AA30" i="23"/>
  <c r="AC27" i="23"/>
  <c r="X27" i="23"/>
  <c r="AB27" i="23"/>
  <c r="AA27" i="23"/>
  <c r="AC31" i="23"/>
  <c r="U31" i="23" s="1"/>
  <c r="X31" i="23"/>
  <c r="AB31" i="23"/>
  <c r="AA31" i="23"/>
  <c r="AB28" i="23"/>
  <c r="X28" i="23"/>
  <c r="AA28" i="23"/>
  <c r="AC28" i="23"/>
  <c r="AB32" i="23"/>
  <c r="AC32" i="23"/>
  <c r="AA32" i="23"/>
  <c r="X32" i="23"/>
  <c r="U30" i="23"/>
  <c r="AE26" i="23"/>
  <c r="AD26" i="23"/>
  <c r="Y26" i="23" s="1"/>
  <c r="Z26" i="23" s="1"/>
  <c r="S26" i="23"/>
  <c r="O26" i="23"/>
  <c r="N26" i="23"/>
  <c r="AA26" i="23" l="1"/>
  <c r="AC26" i="23"/>
  <c r="U26" i="23" s="1"/>
  <c r="X26" i="23"/>
  <c r="AB26" i="23"/>
  <c r="T177" i="11"/>
  <c r="S177" i="11"/>
  <c r="T176" i="11"/>
  <c r="S176" i="11"/>
  <c r="T175" i="11"/>
  <c r="S175" i="11"/>
  <c r="T174" i="11"/>
  <c r="S174" i="11"/>
  <c r="T173" i="11"/>
  <c r="S173" i="11"/>
  <c r="T172" i="11"/>
  <c r="S172" i="11"/>
  <c r="T171" i="11"/>
  <c r="S171" i="11"/>
  <c r="T170" i="11"/>
  <c r="S170" i="11"/>
  <c r="T169" i="11"/>
  <c r="S169" i="11"/>
  <c r="T168" i="11"/>
  <c r="S168" i="11"/>
  <c r="T167" i="11"/>
  <c r="S167" i="11"/>
  <c r="T166" i="11"/>
  <c r="S166" i="11"/>
  <c r="T165" i="11"/>
  <c r="S165" i="11"/>
  <c r="T164" i="11"/>
  <c r="S164" i="11"/>
  <c r="T163" i="11"/>
  <c r="S163" i="11"/>
  <c r="T162" i="11"/>
  <c r="S162" i="11"/>
  <c r="T161" i="11"/>
  <c r="S161" i="11"/>
  <c r="T160" i="11"/>
  <c r="S160" i="11"/>
  <c r="T159" i="11"/>
  <c r="S159" i="11"/>
  <c r="T158" i="11"/>
  <c r="S158" i="11"/>
  <c r="T157" i="11"/>
  <c r="S157" i="11"/>
  <c r="T156" i="11"/>
  <c r="S156" i="11"/>
  <c r="T155" i="11"/>
  <c r="S155" i="11"/>
  <c r="T154" i="11"/>
  <c r="S154" i="11"/>
  <c r="T153" i="11"/>
  <c r="S153" i="11"/>
  <c r="T152" i="11"/>
  <c r="S152" i="11"/>
  <c r="T151" i="11"/>
  <c r="S151" i="11"/>
  <c r="T150" i="11"/>
  <c r="S150" i="11"/>
  <c r="T149" i="11"/>
  <c r="S149" i="11"/>
  <c r="T148" i="11"/>
  <c r="S148" i="11"/>
  <c r="T147" i="11"/>
  <c r="S147" i="11"/>
  <c r="T146" i="11"/>
  <c r="S146" i="11"/>
  <c r="T145" i="11"/>
  <c r="S145" i="11"/>
  <c r="T144" i="11"/>
  <c r="S144" i="11"/>
  <c r="T143" i="11"/>
  <c r="S143" i="11"/>
  <c r="T142" i="11"/>
  <c r="S142" i="11"/>
  <c r="T141" i="11"/>
  <c r="S141" i="11"/>
  <c r="T140" i="11"/>
  <c r="S140" i="11"/>
  <c r="T139" i="11"/>
  <c r="S139" i="11"/>
  <c r="T138" i="11"/>
  <c r="S138" i="11"/>
  <c r="T137" i="11"/>
  <c r="S137" i="11"/>
  <c r="T136" i="11"/>
  <c r="S136" i="11"/>
  <c r="T135" i="11"/>
  <c r="S135" i="11"/>
  <c r="T134" i="11"/>
  <c r="S134" i="11"/>
  <c r="T133" i="11"/>
  <c r="S133" i="11"/>
  <c r="T132" i="11"/>
  <c r="S132" i="11"/>
  <c r="T131" i="11"/>
  <c r="S131" i="11"/>
  <c r="T130" i="11"/>
  <c r="S130" i="11"/>
  <c r="T129" i="11"/>
  <c r="S129" i="11"/>
  <c r="T128" i="11"/>
  <c r="S128" i="11"/>
  <c r="T127" i="11"/>
  <c r="S127" i="11"/>
  <c r="T126" i="11"/>
  <c r="S126" i="11"/>
  <c r="T125" i="11"/>
  <c r="S125" i="11"/>
  <c r="T124" i="11"/>
  <c r="S124" i="11"/>
  <c r="T123" i="11"/>
  <c r="S123" i="11"/>
  <c r="T122" i="11"/>
  <c r="S122" i="11"/>
  <c r="T121" i="11"/>
  <c r="S121" i="11"/>
  <c r="T120" i="11"/>
  <c r="S120" i="11"/>
  <c r="T119" i="11"/>
  <c r="S119" i="11"/>
  <c r="T118" i="11"/>
  <c r="S118" i="11"/>
  <c r="T117" i="11"/>
  <c r="S117" i="11"/>
  <c r="T116" i="11"/>
  <c r="S116" i="11"/>
  <c r="T115" i="11"/>
  <c r="S115" i="11"/>
  <c r="T114" i="11"/>
  <c r="S114" i="11"/>
  <c r="T113" i="11"/>
  <c r="S113" i="11"/>
  <c r="T112" i="11"/>
  <c r="S112" i="11"/>
  <c r="T111" i="11"/>
  <c r="S111" i="11"/>
  <c r="T110" i="11"/>
  <c r="S110" i="11"/>
  <c r="T109" i="11"/>
  <c r="S109" i="11"/>
  <c r="T108" i="11"/>
  <c r="S108" i="11"/>
  <c r="T107" i="11"/>
  <c r="S107" i="11"/>
  <c r="T106" i="11"/>
  <c r="S106" i="11"/>
  <c r="T105" i="11"/>
  <c r="S105" i="11"/>
  <c r="T104" i="11"/>
  <c r="S104" i="11"/>
  <c r="T103" i="11"/>
  <c r="S103" i="11"/>
  <c r="T102" i="11"/>
  <c r="S102" i="11"/>
  <c r="T101" i="11"/>
  <c r="S101" i="11"/>
  <c r="T100" i="11"/>
  <c r="S100" i="11"/>
  <c r="T99" i="11"/>
  <c r="S99" i="11"/>
  <c r="T98" i="11"/>
  <c r="S98" i="11"/>
  <c r="T97" i="11"/>
  <c r="S97" i="11"/>
  <c r="T96" i="11"/>
  <c r="S96" i="11"/>
  <c r="T95" i="11"/>
  <c r="S95" i="11"/>
  <c r="T94" i="11"/>
  <c r="S94" i="11"/>
  <c r="T93" i="11"/>
  <c r="S93" i="11"/>
  <c r="T92" i="11"/>
  <c r="S92" i="11"/>
  <c r="T91" i="11"/>
  <c r="S91" i="11"/>
  <c r="T90" i="11"/>
  <c r="S90" i="11"/>
  <c r="T89" i="11"/>
  <c r="S89" i="11"/>
  <c r="T88" i="11"/>
  <c r="S88" i="11"/>
  <c r="T87" i="11"/>
  <c r="S87" i="11"/>
  <c r="T86" i="11"/>
  <c r="S86" i="11"/>
  <c r="T85" i="11"/>
  <c r="S85" i="11"/>
  <c r="T84" i="11"/>
  <c r="S84" i="11"/>
  <c r="T83" i="11"/>
  <c r="S83" i="11"/>
  <c r="T82" i="11"/>
  <c r="S82" i="11"/>
  <c r="T81" i="11"/>
  <c r="S81" i="11"/>
  <c r="T80" i="11"/>
  <c r="S80" i="11"/>
  <c r="T79" i="11"/>
  <c r="S79" i="11"/>
  <c r="T78" i="11"/>
  <c r="S78" i="11"/>
  <c r="T77" i="11"/>
  <c r="S77" i="11"/>
  <c r="T76" i="11"/>
  <c r="S76" i="11"/>
  <c r="T75" i="11"/>
  <c r="S75" i="11"/>
  <c r="T74" i="11"/>
  <c r="S74" i="11"/>
  <c r="T73" i="11"/>
  <c r="S73" i="11"/>
  <c r="T72" i="11"/>
  <c r="S72" i="11"/>
  <c r="T71" i="11"/>
  <c r="S71" i="11"/>
  <c r="T70" i="11"/>
  <c r="S70" i="11"/>
  <c r="T69" i="11"/>
  <c r="S69" i="11"/>
  <c r="T68" i="11"/>
  <c r="S68" i="11"/>
  <c r="T67" i="11"/>
  <c r="S67" i="11"/>
  <c r="T66" i="11"/>
  <c r="S66" i="11"/>
  <c r="T65" i="11"/>
  <c r="S65" i="11"/>
  <c r="T64" i="11"/>
  <c r="S64" i="11"/>
  <c r="T63" i="11"/>
  <c r="S63" i="11"/>
  <c r="T62" i="11"/>
  <c r="S62" i="11"/>
  <c r="T61" i="11"/>
  <c r="S61" i="11"/>
  <c r="T60" i="11"/>
  <c r="S60" i="11"/>
  <c r="T59" i="11"/>
  <c r="S59" i="11"/>
  <c r="T58" i="11"/>
  <c r="S58" i="11"/>
  <c r="T57" i="11"/>
  <c r="S57" i="11"/>
  <c r="T56" i="11"/>
  <c r="S56" i="11"/>
  <c r="T55" i="11"/>
  <c r="S55" i="11"/>
  <c r="T54" i="11"/>
  <c r="S54" i="11"/>
  <c r="T53" i="11"/>
  <c r="S53" i="11"/>
  <c r="T52" i="11"/>
  <c r="S52" i="11"/>
  <c r="T51" i="11"/>
  <c r="S51" i="11"/>
  <c r="T50" i="11"/>
  <c r="S50" i="11"/>
  <c r="T49" i="11"/>
  <c r="S49" i="11"/>
  <c r="T48" i="11"/>
  <c r="S48" i="11"/>
  <c r="T47" i="11"/>
  <c r="S47" i="11"/>
  <c r="T46" i="11"/>
  <c r="S46" i="11"/>
  <c r="T45" i="11"/>
  <c r="S45" i="11"/>
  <c r="T44" i="11"/>
  <c r="S44" i="11"/>
  <c r="T43" i="11"/>
  <c r="S43" i="11"/>
  <c r="T42" i="11"/>
  <c r="S42" i="11"/>
  <c r="T41" i="11"/>
  <c r="S41" i="11"/>
  <c r="T40" i="11"/>
  <c r="S40" i="11"/>
  <c r="T39" i="11"/>
  <c r="S39" i="11"/>
  <c r="T38" i="11"/>
  <c r="S38" i="11"/>
  <c r="T37" i="11"/>
  <c r="S37" i="11"/>
  <c r="T36" i="11"/>
  <c r="S36" i="11"/>
  <c r="T35" i="11"/>
  <c r="S35" i="11"/>
  <c r="T34" i="11"/>
  <c r="S34" i="11"/>
  <c r="T33" i="11"/>
  <c r="S33" i="11"/>
  <c r="T32" i="11"/>
  <c r="S32" i="11"/>
  <c r="T31" i="11"/>
  <c r="S31" i="11"/>
  <c r="T30" i="11"/>
  <c r="S30" i="11"/>
  <c r="T29" i="11"/>
  <c r="S29" i="11"/>
  <c r="T28" i="11"/>
  <c r="S28" i="11"/>
  <c r="T27" i="11"/>
  <c r="S27" i="11"/>
  <c r="T26" i="11"/>
  <c r="S26" i="11"/>
  <c r="T25" i="11"/>
  <c r="S25" i="11"/>
  <c r="T24" i="11"/>
  <c r="S24" i="11"/>
  <c r="T23" i="11"/>
  <c r="S23" i="11"/>
  <c r="T22" i="11"/>
  <c r="S22" i="11"/>
  <c r="T21" i="11"/>
  <c r="S21" i="11"/>
  <c r="T20" i="11"/>
  <c r="S20" i="11"/>
  <c r="T19" i="11"/>
  <c r="S19" i="11"/>
  <c r="T18" i="11"/>
  <c r="S18" i="11"/>
  <c r="T17" i="11"/>
  <c r="S17" i="11"/>
  <c r="T16" i="11"/>
  <c r="S16" i="11"/>
  <c r="T15" i="11"/>
  <c r="S15" i="11"/>
  <c r="T14" i="11"/>
  <c r="S14" i="11"/>
  <c r="T13" i="11"/>
  <c r="S13" i="11"/>
  <c r="T12" i="11"/>
  <c r="S12" i="11"/>
  <c r="T11" i="11"/>
  <c r="S11" i="11"/>
  <c r="T10" i="11"/>
  <c r="S10" i="11"/>
  <c r="T9" i="11"/>
  <c r="S9" i="11"/>
  <c r="T8" i="11"/>
  <c r="S8" i="11"/>
  <c r="T7" i="11"/>
  <c r="S7" i="11"/>
  <c r="T6" i="11"/>
  <c r="S6" i="11"/>
  <c r="T5" i="11"/>
  <c r="S5" i="11"/>
  <c r="T4" i="11"/>
  <c r="S4" i="11"/>
  <c r="T3" i="11"/>
  <c r="S3" i="11"/>
  <c r="T2" i="11"/>
  <c r="S2" i="11"/>
  <c r="D10" i="3"/>
  <c r="D4" i="3"/>
  <c r="T378" i="23" l="1"/>
  <c r="T370" i="23"/>
  <c r="T354" i="23"/>
  <c r="T379" i="23"/>
  <c r="T371" i="23"/>
  <c r="T367" i="23"/>
  <c r="T348" i="23"/>
  <c r="T344" i="23"/>
  <c r="R344" i="23" s="1"/>
  <c r="T341" i="23"/>
  <c r="R341" i="23" s="1"/>
  <c r="T339" i="23"/>
  <c r="R339" i="23" s="1"/>
  <c r="T340" i="23"/>
  <c r="R340" i="23" s="1"/>
  <c r="T331" i="23"/>
  <c r="R331" i="23" s="1"/>
  <c r="T322" i="23"/>
  <c r="R322" i="23" s="1"/>
  <c r="T315" i="23"/>
  <c r="R315" i="23" s="1"/>
  <c r="T313" i="23"/>
  <c r="R313" i="23" s="1"/>
  <c r="T316" i="23"/>
  <c r="R316" i="23" s="1"/>
  <c r="T314" i="23"/>
  <c r="R314" i="23" s="1"/>
  <c r="T312" i="23"/>
  <c r="R312" i="23" s="1"/>
  <c r="T295" i="23"/>
  <c r="R295" i="23" s="1"/>
  <c r="T283" i="23"/>
  <c r="R283" i="23" s="1"/>
  <c r="T294" i="23"/>
  <c r="R294" i="23" s="1"/>
  <c r="T267" i="23"/>
  <c r="R267" i="23" s="1"/>
  <c r="T265" i="23"/>
  <c r="R265" i="23" s="1"/>
  <c r="T264" i="23"/>
  <c r="R264" i="23" s="1"/>
  <c r="T266" i="23"/>
  <c r="R266" i="23" s="1"/>
  <c r="T380" i="23"/>
  <c r="T358" i="23"/>
  <c r="T369" i="23"/>
  <c r="T363" i="23"/>
  <c r="T357" i="23"/>
  <c r="T343" i="23"/>
  <c r="R343" i="23" s="1"/>
  <c r="T321" i="23"/>
  <c r="R321" i="23" s="1"/>
  <c r="T303" i="23"/>
  <c r="R303" i="23" s="1"/>
  <c r="T304" i="23"/>
  <c r="R304" i="23" s="1"/>
  <c r="T302" i="23"/>
  <c r="T293" i="23"/>
  <c r="R293" i="23" s="1"/>
  <c r="T289" i="23"/>
  <c r="R289" i="23" s="1"/>
  <c r="T290" i="23"/>
  <c r="R290" i="23" s="1"/>
  <c r="T263" i="23"/>
  <c r="R263" i="23" s="1"/>
  <c r="T255" i="23"/>
  <c r="R255" i="23" s="1"/>
  <c r="T262" i="23"/>
  <c r="R262" i="23" s="1"/>
  <c r="T204" i="23"/>
  <c r="R204" i="23" s="1"/>
  <c r="T201" i="23"/>
  <c r="R201" i="23" s="1"/>
  <c r="T200" i="23"/>
  <c r="R200" i="23" s="1"/>
  <c r="T199" i="23"/>
  <c r="R199" i="23" s="1"/>
  <c r="T240" i="23"/>
  <c r="R240" i="23" s="1"/>
  <c r="T241" i="23"/>
  <c r="R241" i="23" s="1"/>
  <c r="T242" i="23"/>
  <c r="R242" i="23" s="1"/>
  <c r="T226" i="23"/>
  <c r="R226" i="23" s="1"/>
  <c r="T216" i="23"/>
  <c r="R216" i="23" s="1"/>
  <c r="T212" i="23"/>
  <c r="R212" i="23" s="1"/>
  <c r="T207" i="23"/>
  <c r="R207" i="23" s="1"/>
  <c r="T203" i="23"/>
  <c r="R203" i="23" s="1"/>
  <c r="T172" i="23"/>
  <c r="R172" i="23" s="1"/>
  <c r="T167" i="23"/>
  <c r="R167" i="23" s="1"/>
  <c r="T140" i="23"/>
  <c r="R140" i="23" s="1"/>
  <c r="T139" i="23"/>
  <c r="R139" i="23" s="1"/>
  <c r="T138" i="23"/>
  <c r="R138" i="23" s="1"/>
  <c r="T135" i="23"/>
  <c r="R135" i="23" s="1"/>
  <c r="T131" i="23"/>
  <c r="R131" i="23" s="1"/>
  <c r="T136" i="23"/>
  <c r="R136" i="23" s="1"/>
  <c r="T132" i="23"/>
  <c r="R132" i="23" s="1"/>
  <c r="T130" i="23"/>
  <c r="R130" i="23" s="1"/>
  <c r="T133" i="23"/>
  <c r="R133" i="23" s="1"/>
  <c r="T117" i="23"/>
  <c r="R117" i="23" s="1"/>
  <c r="T114" i="23"/>
  <c r="R114" i="23" s="1"/>
  <c r="T113" i="23"/>
  <c r="R113" i="23" s="1"/>
  <c r="T163" i="23"/>
  <c r="R163" i="23" s="1"/>
  <c r="T129" i="23"/>
  <c r="R129" i="23" s="1"/>
  <c r="T128" i="23"/>
  <c r="R128" i="23" s="1"/>
  <c r="T119" i="23"/>
  <c r="R119" i="23" s="1"/>
  <c r="T118" i="23"/>
  <c r="R118" i="23" s="1"/>
  <c r="T116" i="23"/>
  <c r="R116" i="23" s="1"/>
  <c r="T101" i="23"/>
  <c r="R101" i="23" s="1"/>
  <c r="T103" i="23"/>
  <c r="R103" i="23" s="1"/>
  <c r="T99" i="23"/>
  <c r="R99" i="23" s="1"/>
  <c r="T100" i="23"/>
  <c r="R100" i="23" s="1"/>
  <c r="T98" i="23"/>
  <c r="R98" i="23" s="1"/>
  <c r="T97" i="23"/>
  <c r="R97" i="23" s="1"/>
  <c r="T96" i="23"/>
  <c r="R96" i="23" s="1"/>
  <c r="T95" i="23"/>
  <c r="R95" i="23" s="1"/>
  <c r="T165" i="23"/>
  <c r="R165" i="23" s="1"/>
  <c r="T160" i="23"/>
  <c r="R160" i="23" s="1"/>
  <c r="T159" i="23"/>
  <c r="R159" i="23" s="1"/>
  <c r="T161" i="23"/>
  <c r="R161" i="23" s="1"/>
  <c r="T158" i="23"/>
  <c r="R158" i="23" s="1"/>
  <c r="T155" i="23"/>
  <c r="R155" i="23" s="1"/>
  <c r="T156" i="23"/>
  <c r="R156" i="23" s="1"/>
  <c r="T154" i="23"/>
  <c r="R154" i="23" s="1"/>
  <c r="T153" i="23"/>
  <c r="R153" i="23" s="1"/>
  <c r="T145" i="23"/>
  <c r="R145" i="23" s="1"/>
  <c r="T152" i="23"/>
  <c r="R152" i="23" s="1"/>
  <c r="T144" i="23"/>
  <c r="R144" i="23" s="1"/>
  <c r="T151" i="23"/>
  <c r="R151" i="23" s="1"/>
  <c r="T147" i="23"/>
  <c r="R147" i="23" s="1"/>
  <c r="T146" i="23"/>
  <c r="R146" i="23" s="1"/>
  <c r="T141" i="23"/>
  <c r="R141" i="23" s="1"/>
  <c r="T142" i="23"/>
  <c r="R142" i="23" s="1"/>
  <c r="T143" i="23"/>
  <c r="R143" i="23" s="1"/>
  <c r="T123" i="23"/>
  <c r="R123" i="23" s="1"/>
  <c r="T121" i="23"/>
  <c r="R121" i="23" s="1"/>
  <c r="T134" i="23"/>
  <c r="R134" i="23" s="1"/>
  <c r="T137" i="23"/>
  <c r="R137" i="23" s="1"/>
  <c r="T120" i="23"/>
  <c r="R120" i="23" s="1"/>
  <c r="T115" i="23"/>
  <c r="R115" i="23" s="1"/>
  <c r="T106" i="23"/>
  <c r="R106" i="23" s="1"/>
  <c r="T109" i="23"/>
  <c r="R109" i="23" s="1"/>
  <c r="T105" i="23"/>
  <c r="R105" i="23" s="1"/>
  <c r="T104" i="23"/>
  <c r="R104" i="23" s="1"/>
  <c r="T176" i="23"/>
  <c r="R176" i="23" s="1"/>
  <c r="T175" i="23"/>
  <c r="R175" i="23" s="1"/>
  <c r="T168" i="23"/>
  <c r="R168" i="23" s="1"/>
  <c r="T173" i="23"/>
  <c r="R173" i="23" s="1"/>
  <c r="T169" i="23"/>
  <c r="R169" i="23" s="1"/>
  <c r="T166" i="23"/>
  <c r="R166" i="23" s="1"/>
  <c r="T149" i="23"/>
  <c r="R149" i="23" s="1"/>
  <c r="T148" i="23"/>
  <c r="R148" i="23" s="1"/>
  <c r="T125" i="23"/>
  <c r="R125" i="23" s="1"/>
  <c r="T122" i="23"/>
  <c r="R122" i="23" s="1"/>
  <c r="T111" i="23"/>
  <c r="R111" i="23" s="1"/>
  <c r="T102" i="23"/>
  <c r="R102" i="23" s="1"/>
  <c r="T174" i="23"/>
  <c r="R174" i="23" s="1"/>
  <c r="T171" i="23"/>
  <c r="R171" i="23" s="1"/>
  <c r="T164" i="23"/>
  <c r="R164" i="23" s="1"/>
  <c r="T162" i="23"/>
  <c r="R162" i="23" s="1"/>
  <c r="T150" i="23"/>
  <c r="R150" i="23" s="1"/>
  <c r="T126" i="23"/>
  <c r="R126" i="23" s="1"/>
  <c r="T124" i="23"/>
  <c r="R124" i="23" s="1"/>
  <c r="T110" i="23"/>
  <c r="R110" i="23" s="1"/>
  <c r="T195" i="23"/>
  <c r="R195" i="23" s="1"/>
  <c r="T192" i="23"/>
  <c r="R192" i="23" s="1"/>
  <c r="T194" i="23"/>
  <c r="R194" i="23" s="1"/>
  <c r="T191" i="23"/>
  <c r="R191" i="23" s="1"/>
  <c r="T190" i="23"/>
  <c r="R190" i="23" s="1"/>
  <c r="T189" i="23"/>
  <c r="R189" i="23" s="1"/>
  <c r="T184" i="23"/>
  <c r="R184" i="23" s="1"/>
  <c r="T188" i="23"/>
  <c r="R188" i="23" s="1"/>
  <c r="T187" i="23"/>
  <c r="R187" i="23" s="1"/>
  <c r="T183" i="23"/>
  <c r="R183" i="23" s="1"/>
  <c r="T193" i="23"/>
  <c r="R193" i="23" s="1"/>
  <c r="T180" i="23"/>
  <c r="R180" i="23" s="1"/>
  <c r="T181" i="23"/>
  <c r="R181" i="23" s="1"/>
  <c r="T179" i="23"/>
  <c r="R179" i="23" s="1"/>
  <c r="T178" i="23"/>
  <c r="R178" i="23" s="1"/>
  <c r="T177" i="23"/>
  <c r="R177" i="23" s="1"/>
  <c r="T91" i="23"/>
  <c r="R91" i="23" s="1"/>
  <c r="T77" i="23"/>
  <c r="R77" i="23" s="1"/>
  <c r="T78" i="23"/>
  <c r="R78" i="23" s="1"/>
  <c r="T76" i="23"/>
  <c r="R76" i="23" s="1"/>
  <c r="T75" i="23"/>
  <c r="R75" i="23" s="1"/>
  <c r="T74" i="23"/>
  <c r="R74" i="23" s="1"/>
  <c r="T66" i="23"/>
  <c r="R66" i="23" s="1"/>
  <c r="T45" i="23"/>
  <c r="R45" i="23" s="1"/>
  <c r="T44" i="23"/>
  <c r="R44" i="23" s="1"/>
  <c r="T47" i="23"/>
  <c r="R47" i="23" s="1"/>
  <c r="T46" i="23"/>
  <c r="R46" i="23" s="1"/>
  <c r="T41" i="23"/>
  <c r="R41" i="23" s="1"/>
  <c r="T42" i="23"/>
  <c r="R42" i="23" s="1"/>
  <c r="T34" i="23"/>
  <c r="R34" i="23" s="1"/>
  <c r="T89" i="23"/>
  <c r="R89" i="23" s="1"/>
  <c r="T68" i="23"/>
  <c r="R68" i="23" s="1"/>
  <c r="T70" i="23"/>
  <c r="R70" i="23" s="1"/>
  <c r="T69" i="23"/>
  <c r="R69" i="23" s="1"/>
  <c r="T71" i="23"/>
  <c r="R71" i="23" s="1"/>
  <c r="T35" i="23"/>
  <c r="R35" i="23" s="1"/>
  <c r="T36" i="23"/>
  <c r="R36" i="23" s="1"/>
  <c r="T37" i="23"/>
  <c r="R37" i="23" s="1"/>
  <c r="T88" i="23"/>
  <c r="R88" i="23" s="1"/>
  <c r="T86" i="23"/>
  <c r="R86" i="23" s="1"/>
  <c r="T87" i="23"/>
  <c r="R87" i="23" s="1"/>
  <c r="T72" i="23"/>
  <c r="R72" i="23" s="1"/>
  <c r="T73" i="23"/>
  <c r="R73" i="23" s="1"/>
  <c r="T65" i="23"/>
  <c r="R65" i="23" s="1"/>
  <c r="T53" i="23"/>
  <c r="R53" i="23" s="1"/>
  <c r="T92" i="23"/>
  <c r="R92" i="23" s="1"/>
  <c r="T93" i="23"/>
  <c r="R93" i="23" s="1"/>
  <c r="T94" i="23"/>
  <c r="R94" i="23" s="1"/>
  <c r="T90" i="23"/>
  <c r="R90" i="23" s="1"/>
  <c r="T82" i="23"/>
  <c r="R82" i="23" s="1"/>
  <c r="T83" i="23"/>
  <c r="R83" i="23" s="1"/>
  <c r="T81" i="23"/>
  <c r="R81" i="23" s="1"/>
  <c r="T80" i="23"/>
  <c r="R80" i="23" s="1"/>
  <c r="T79" i="23"/>
  <c r="R79" i="23" s="1"/>
  <c r="T67" i="23"/>
  <c r="R67" i="23" s="1"/>
  <c r="T60" i="23"/>
  <c r="R60" i="23" s="1"/>
  <c r="T61" i="23"/>
  <c r="R61" i="23" s="1"/>
  <c r="T40" i="23"/>
  <c r="R40" i="23" s="1"/>
  <c r="T39" i="23"/>
  <c r="R39" i="23" s="1"/>
  <c r="T43" i="23"/>
  <c r="R43" i="23" s="1"/>
  <c r="T64" i="23"/>
  <c r="R64" i="23" s="1"/>
  <c r="T63" i="23"/>
  <c r="R63" i="23" s="1"/>
  <c r="T56" i="23"/>
  <c r="R56" i="23" s="1"/>
  <c r="T62" i="23"/>
  <c r="R62" i="23" s="1"/>
  <c r="T57" i="23"/>
  <c r="R57" i="23" s="1"/>
  <c r="T59" i="23"/>
  <c r="R59" i="23" s="1"/>
  <c r="T58" i="23"/>
  <c r="R58" i="23" s="1"/>
  <c r="T52" i="23"/>
  <c r="R52" i="23" s="1"/>
  <c r="T54" i="23"/>
  <c r="R54" i="23" s="1"/>
  <c r="T55" i="23"/>
  <c r="R55" i="23" s="1"/>
  <c r="T51" i="23"/>
  <c r="R51" i="23" s="1"/>
  <c r="T50" i="23"/>
  <c r="R50" i="23" s="1"/>
  <c r="T49" i="23"/>
  <c r="R49" i="23" s="1"/>
  <c r="T48" i="23"/>
  <c r="R48" i="23" s="1"/>
  <c r="T38" i="23"/>
  <c r="R38" i="23" s="1"/>
  <c r="T33" i="23"/>
  <c r="R33" i="23" s="1"/>
  <c r="T30" i="23"/>
  <c r="R30" i="23" s="1"/>
  <c r="T27" i="23"/>
  <c r="R27" i="23" s="1"/>
  <c r="T31" i="23"/>
  <c r="R31" i="23" s="1"/>
  <c r="T28" i="23"/>
  <c r="R28" i="23" s="1"/>
  <c r="T26" i="23"/>
  <c r="R26" i="23" s="1"/>
  <c r="T32" i="23"/>
  <c r="R32" i="23" s="1"/>
  <c r="T29" i="23"/>
  <c r="R29" i="23" s="1"/>
  <c r="T8" i="23"/>
  <c r="T20" i="23"/>
  <c r="T14" i="23"/>
  <c r="T15" i="23"/>
  <c r="T23" i="23"/>
  <c r="T17" i="23"/>
  <c r="T22" i="23"/>
  <c r="T16" i="23"/>
  <c r="T24" i="23"/>
  <c r="T18" i="23"/>
  <c r="T12" i="23"/>
  <c r="T9" i="23"/>
  <c r="T21" i="23"/>
  <c r="T11" i="23"/>
  <c r="T25" i="23"/>
  <c r="T19" i="23"/>
  <c r="T13" i="23"/>
  <c r="T10" i="23"/>
  <c r="AC354" i="23"/>
  <c r="AC367" i="23"/>
  <c r="AC302" i="23"/>
  <c r="AC358" i="23"/>
  <c r="AC379" i="23"/>
  <c r="AC371" i="23"/>
  <c r="AC369" i="23"/>
  <c r="AC348" i="23"/>
  <c r="AC378" i="23"/>
  <c r="AC363" i="23"/>
  <c r="AC357" i="23"/>
  <c r="AC370" i="23"/>
  <c r="AC380" i="23"/>
  <c r="U255" i="23" l="1"/>
  <c r="U263" i="23"/>
  <c r="U290" i="23"/>
  <c r="U262" i="23"/>
  <c r="U289" i="23"/>
  <c r="U177" i="23"/>
  <c r="U159" i="23"/>
  <c r="U96" i="23"/>
  <c r="U99" i="23"/>
  <c r="U161" i="23"/>
  <c r="U155" i="23"/>
  <c r="U160" i="23"/>
  <c r="U97" i="23"/>
  <c r="U115" i="23"/>
  <c r="U100" i="23"/>
  <c r="U106" i="23"/>
  <c r="U165" i="23"/>
  <c r="U98" i="23"/>
  <c r="U101" i="23"/>
  <c r="AE25" i="23"/>
  <c r="AD25" i="23"/>
  <c r="Y25" i="23" s="1"/>
  <c r="Z25" i="23" s="1"/>
  <c r="R25" i="23" s="1"/>
  <c r="S25" i="23"/>
  <c r="O25" i="23"/>
  <c r="N25" i="23"/>
  <c r="AE24" i="23"/>
  <c r="AD24" i="23"/>
  <c r="Y24" i="23" s="1"/>
  <c r="Z24" i="23" s="1"/>
  <c r="R24" i="23" s="1"/>
  <c r="S24" i="23"/>
  <c r="O24" i="23"/>
  <c r="N24" i="23"/>
  <c r="AE23" i="23"/>
  <c r="AD23" i="23"/>
  <c r="Y23" i="23" s="1"/>
  <c r="Z23" i="23" s="1"/>
  <c r="R23" i="23" s="1"/>
  <c r="S23" i="23"/>
  <c r="O23" i="23"/>
  <c r="N23" i="23"/>
  <c r="AE22" i="23"/>
  <c r="AD22" i="23"/>
  <c r="Y22" i="23" s="1"/>
  <c r="Z22" i="23" s="1"/>
  <c r="R22" i="23" s="1"/>
  <c r="S22" i="23"/>
  <c r="O22" i="23"/>
  <c r="N22" i="23"/>
  <c r="F30" i="3"/>
  <c r="AC23" i="23" l="1"/>
  <c r="X23" i="23"/>
  <c r="AB23" i="23"/>
  <c r="AA23" i="23"/>
  <c r="AB24" i="23"/>
  <c r="AC24" i="23"/>
  <c r="U24" i="23" s="1"/>
  <c r="AA24" i="23"/>
  <c r="X24" i="23"/>
  <c r="AC22" i="23"/>
  <c r="X22" i="23"/>
  <c r="AB22" i="23"/>
  <c r="AA22" i="23"/>
  <c r="AA25" i="23"/>
  <c r="AC25" i="23"/>
  <c r="X25" i="23"/>
  <c r="AB25" i="23"/>
  <c r="F26" i="3"/>
  <c r="AE21" i="23"/>
  <c r="AD21" i="23"/>
  <c r="Y21" i="23" s="1"/>
  <c r="Z21" i="23" s="1"/>
  <c r="R21" i="23" s="1"/>
  <c r="S21" i="23"/>
  <c r="O21" i="23"/>
  <c r="N21" i="23"/>
  <c r="AE20" i="23"/>
  <c r="AD20" i="23"/>
  <c r="Y20" i="23" s="1"/>
  <c r="Z20" i="23" s="1"/>
  <c r="R20" i="23" s="1"/>
  <c r="S20" i="23"/>
  <c r="O20" i="23"/>
  <c r="N20" i="23"/>
  <c r="AE19" i="23"/>
  <c r="AD19" i="23"/>
  <c r="Y19" i="23" s="1"/>
  <c r="Z19" i="23" s="1"/>
  <c r="R19" i="23" s="1"/>
  <c r="S19" i="23"/>
  <c r="O19" i="23"/>
  <c r="N19" i="23"/>
  <c r="AE18" i="23"/>
  <c r="AD18" i="23"/>
  <c r="Y18" i="23" s="1"/>
  <c r="Z18" i="23" s="1"/>
  <c r="R18" i="23" s="1"/>
  <c r="S18" i="23"/>
  <c r="O18" i="23"/>
  <c r="N18" i="23"/>
  <c r="AA21" i="23" l="1"/>
  <c r="AB21" i="23"/>
  <c r="AC21" i="23"/>
  <c r="U21" i="23" s="1"/>
  <c r="X21" i="23"/>
  <c r="AA18" i="23"/>
  <c r="AC18" i="23"/>
  <c r="X18" i="23"/>
  <c r="AB18" i="23"/>
  <c r="AC19" i="23"/>
  <c r="X19" i="23"/>
  <c r="AB19" i="23"/>
  <c r="AA19" i="23"/>
  <c r="AB20" i="23"/>
  <c r="X20" i="23"/>
  <c r="AA20" i="23"/>
  <c r="AC20" i="23"/>
  <c r="F15" i="3"/>
  <c r="AE17" i="23"/>
  <c r="AD17" i="23"/>
  <c r="Y17" i="23" s="1"/>
  <c r="Z17" i="23" s="1"/>
  <c r="R17" i="23" s="1"/>
  <c r="S17" i="23"/>
  <c r="O17" i="23"/>
  <c r="N17" i="23"/>
  <c r="AE16" i="23"/>
  <c r="AD16" i="23"/>
  <c r="Y16" i="23" s="1"/>
  <c r="Z16" i="23" s="1"/>
  <c r="R16" i="23" s="1"/>
  <c r="S16" i="23"/>
  <c r="O16" i="23"/>
  <c r="N16" i="23"/>
  <c r="AA17" i="23" l="1"/>
  <c r="AC17" i="23"/>
  <c r="X17" i="23"/>
  <c r="AB17" i="23"/>
  <c r="AB16" i="23"/>
  <c r="AC16" i="23"/>
  <c r="AA16" i="23"/>
  <c r="X16" i="23"/>
  <c r="AE15" i="23"/>
  <c r="AD15" i="23"/>
  <c r="Y15" i="23" s="1"/>
  <c r="Z15" i="23" s="1"/>
  <c r="R15" i="23" s="1"/>
  <c r="S15" i="23"/>
  <c r="O15" i="23"/>
  <c r="N15" i="23"/>
  <c r="AE14" i="23"/>
  <c r="AD14" i="23"/>
  <c r="Y14" i="23" s="1"/>
  <c r="Z14" i="23" s="1"/>
  <c r="R14" i="23" s="1"/>
  <c r="S14" i="23"/>
  <c r="O14" i="23"/>
  <c r="N14" i="23"/>
  <c r="AC15" i="23" l="1"/>
  <c r="X15" i="23"/>
  <c r="AB15" i="23"/>
  <c r="AA15" i="23"/>
  <c r="AC14" i="23"/>
  <c r="X14" i="23"/>
  <c r="AB14" i="23"/>
  <c r="AA14" i="23"/>
  <c r="U283" i="23"/>
  <c r="Q283" i="23"/>
  <c r="AE13" i="23"/>
  <c r="AD13" i="23"/>
  <c r="Y13" i="23" s="1"/>
  <c r="Z13" i="23" s="1"/>
  <c r="R13" i="23" s="1"/>
  <c r="S13" i="23"/>
  <c r="O13" i="23"/>
  <c r="N13" i="23"/>
  <c r="AE12" i="23"/>
  <c r="AD12" i="23"/>
  <c r="Y12" i="23" s="1"/>
  <c r="Z12" i="23" s="1"/>
  <c r="R12" i="23" s="1"/>
  <c r="S12" i="23"/>
  <c r="O12" i="23"/>
  <c r="N12" i="23"/>
  <c r="AE11" i="23"/>
  <c r="AD11" i="23"/>
  <c r="Y11" i="23" s="1"/>
  <c r="Z11" i="23" s="1"/>
  <c r="R11" i="23" s="1"/>
  <c r="S11" i="23"/>
  <c r="O11" i="23"/>
  <c r="N11" i="23"/>
  <c r="AE10" i="23"/>
  <c r="AD10" i="23"/>
  <c r="Y10" i="23" s="1"/>
  <c r="Z10" i="23" s="1"/>
  <c r="R10" i="23" s="1"/>
  <c r="S10" i="23"/>
  <c r="O10" i="23"/>
  <c r="N10" i="23"/>
  <c r="K9" i="23"/>
  <c r="AE9" i="23"/>
  <c r="AD9" i="23"/>
  <c r="S9" i="23"/>
  <c r="O9" i="23"/>
  <c r="Y9" i="23" l="1"/>
  <c r="Z9" i="23" s="1"/>
  <c r="R9" i="23" s="1"/>
  <c r="AC11" i="23"/>
  <c r="X11" i="23"/>
  <c r="AB11" i="23"/>
  <c r="AA11" i="23"/>
  <c r="AB12" i="23"/>
  <c r="X12" i="23"/>
  <c r="AA12" i="23"/>
  <c r="AC12" i="23"/>
  <c r="AA9" i="23"/>
  <c r="AB9" i="23"/>
  <c r="AC9" i="23"/>
  <c r="U9" i="23" s="1"/>
  <c r="X9" i="23"/>
  <c r="AA13" i="23"/>
  <c r="AB13" i="23"/>
  <c r="AC13" i="23"/>
  <c r="X13" i="23"/>
  <c r="AC10" i="23"/>
  <c r="X10" i="23"/>
  <c r="AB10" i="23"/>
  <c r="AA10" i="23"/>
  <c r="U10" i="23"/>
  <c r="M9" i="23"/>
  <c r="M3" i="23" s="1"/>
  <c r="J3" i="23"/>
  <c r="O3" i="23" s="1"/>
  <c r="L9" i="23"/>
  <c r="E3" i="23" s="1"/>
  <c r="N9" i="23"/>
  <c r="A8" i="23" l="1"/>
  <c r="A9" i="23" s="1"/>
  <c r="AE8" i="23" l="1"/>
  <c r="AD8" i="23"/>
  <c r="Y8" i="23" s="1"/>
  <c r="Z8" i="23" s="1"/>
  <c r="R8" i="23" s="1"/>
  <c r="S8" i="23"/>
  <c r="O8" i="23"/>
  <c r="N8" i="23"/>
  <c r="AB8" i="23" l="1"/>
  <c r="X8" i="23"/>
  <c r="AA8" i="23"/>
  <c r="AC8" i="23"/>
  <c r="BB1" i="21"/>
  <c r="AZ9" i="21" s="1"/>
  <c r="F23" i="3" l="1"/>
  <c r="F24" i="3"/>
  <c r="F25" i="3"/>
  <c r="F31" i="3"/>
  <c r="F32" i="3"/>
  <c r="F33" i="3"/>
  <c r="F34" i="3"/>
  <c r="F35" i="3"/>
  <c r="F36" i="3"/>
  <c r="F16" i="3"/>
  <c r="F17" i="3"/>
  <c r="F18" i="3"/>
  <c r="F19" i="3"/>
  <c r="F20" i="3"/>
  <c r="F21" i="3"/>
  <c r="F22" i="3"/>
  <c r="D13" i="3"/>
  <c r="D11" i="3"/>
  <c r="D12" i="3"/>
  <c r="D9" i="3"/>
  <c r="Q349" i="23" l="1"/>
  <c r="Q310" i="23"/>
  <c r="Q291" i="23"/>
  <c r="Q257" i="23"/>
  <c r="Q375" i="23"/>
  <c r="Q350" i="23"/>
  <c r="Q336" i="23"/>
  <c r="Q328" i="23"/>
  <c r="Q311" i="23"/>
  <c r="Q307" i="23"/>
  <c r="Q317" i="23"/>
  <c r="Q278" i="23"/>
  <c r="Q282" i="23"/>
  <c r="Q285" i="23"/>
  <c r="Q271" i="23"/>
  <c r="Q251" i="23"/>
  <c r="Q256" i="23"/>
  <c r="Q263" i="23"/>
  <c r="Q319" i="23"/>
  <c r="Q306" i="23"/>
  <c r="Q290" i="23"/>
  <c r="Q276" i="23"/>
  <c r="Q250" i="23"/>
  <c r="Q246" i="23"/>
  <c r="Q374" i="23"/>
  <c r="Q373" i="23"/>
  <c r="Q338" i="23"/>
  <c r="Q300" i="23"/>
  <c r="Q269" i="23"/>
  <c r="Q308" i="23"/>
  <c r="Q289" i="23"/>
  <c r="Q284" i="23"/>
  <c r="Q262" i="23"/>
  <c r="Q248" i="23"/>
  <c r="Q330" i="23"/>
  <c r="Q305" i="23"/>
  <c r="Q288" i="23"/>
  <c r="Q277" i="23"/>
  <c r="Q270" i="23"/>
  <c r="Q255" i="23"/>
  <c r="Q245" i="23"/>
  <c r="Q221" i="23"/>
  <c r="Q220" i="23"/>
  <c r="Q219" i="23"/>
  <c r="Q196" i="23"/>
  <c r="Q177" i="23"/>
  <c r="Q160" i="23"/>
  <c r="Q159" i="23"/>
  <c r="Q165" i="23"/>
  <c r="Q161" i="23"/>
  <c r="Q127" i="23"/>
  <c r="Q115" i="23"/>
  <c r="Q96" i="23"/>
  <c r="Q97" i="23"/>
  <c r="Q100" i="23"/>
  <c r="Q155" i="23"/>
  <c r="Q108" i="23"/>
  <c r="Q98" i="23"/>
  <c r="Q101" i="23"/>
  <c r="Q99" i="23"/>
  <c r="Q106" i="23"/>
  <c r="Q84" i="23"/>
  <c r="Q45" i="23"/>
  <c r="I13" i="24"/>
  <c r="P13" i="24" s="1"/>
  <c r="AE13" i="24"/>
  <c r="X13" i="24"/>
  <c r="U13" i="24"/>
  <c r="Q13" i="24"/>
  <c r="M13" i="24"/>
  <c r="AF12" i="24"/>
  <c r="AE12" i="24"/>
  <c r="AD12" i="24"/>
  <c r="W12" i="24" s="1"/>
  <c r="AC12" i="24"/>
  <c r="AB12" i="24"/>
  <c r="AA12" i="24"/>
  <c r="X12" i="24"/>
  <c r="Y12" i="24" s="1"/>
  <c r="S12" i="24" s="1"/>
  <c r="U12" i="24"/>
  <c r="R12" i="24"/>
  <c r="AJ12" i="24" s="1"/>
  <c r="Q12" i="24"/>
  <c r="P12" i="24"/>
  <c r="N12" i="24"/>
  <c r="O12" i="24" s="1"/>
  <c r="M12" i="24"/>
  <c r="N8" i="24"/>
  <c r="O8" i="24" s="1"/>
  <c r="AA8" i="24"/>
  <c r="M8" i="24"/>
  <c r="AF11" i="24"/>
  <c r="AE11" i="24"/>
  <c r="AD11" i="24"/>
  <c r="W11" i="24" s="1"/>
  <c r="AC11" i="24"/>
  <c r="AB11" i="24"/>
  <c r="AA11" i="24"/>
  <c r="X11" i="24"/>
  <c r="Y11" i="24" s="1"/>
  <c r="U11" i="24"/>
  <c r="R11" i="24"/>
  <c r="AI11" i="24" s="1"/>
  <c r="Q11" i="24"/>
  <c r="P11" i="24"/>
  <c r="M11" i="24"/>
  <c r="AF10" i="24"/>
  <c r="AE10" i="24"/>
  <c r="X10" i="24"/>
  <c r="Y10" i="24" s="1"/>
  <c r="U10" i="24"/>
  <c r="R10" i="24"/>
  <c r="AJ10" i="24" s="1"/>
  <c r="L10" i="24"/>
  <c r="M10" i="24" s="1"/>
  <c r="K10" i="24"/>
  <c r="AF9" i="24"/>
  <c r="AE9" i="24"/>
  <c r="X9" i="24"/>
  <c r="U9" i="24"/>
  <c r="R9" i="24"/>
  <c r="AI9" i="24" s="1"/>
  <c r="Q9" i="24"/>
  <c r="P9" i="24"/>
  <c r="M9" i="24"/>
  <c r="AF8" i="24"/>
  <c r="AE8" i="24"/>
  <c r="AD8" i="24"/>
  <c r="W8" i="24" s="1"/>
  <c r="AC8" i="24"/>
  <c r="AB8" i="24"/>
  <c r="X8" i="24"/>
  <c r="U8" i="24"/>
  <c r="R8" i="24"/>
  <c r="AJ8" i="24" s="1"/>
  <c r="Q8" i="24"/>
  <c r="P8" i="24"/>
  <c r="A8" i="24"/>
  <c r="A9" i="24" s="1"/>
  <c r="A10" i="24" s="1"/>
  <c r="A11" i="24" s="1"/>
  <c r="A12" i="24" s="1"/>
  <c r="A13" i="24" s="1"/>
  <c r="A14" i="24" s="1"/>
  <c r="D7" i="3"/>
  <c r="D8" i="3"/>
  <c r="U252" i="23" l="1"/>
  <c r="U280" i="23"/>
  <c r="U313" i="23"/>
  <c r="U332" i="23"/>
  <c r="U345" i="23"/>
  <c r="U360" i="23"/>
  <c r="U279" i="23"/>
  <c r="U324" i="23"/>
  <c r="U351" i="23"/>
  <c r="U361" i="23"/>
  <c r="U299" i="23"/>
  <c r="U318" i="23"/>
  <c r="U312" i="23"/>
  <c r="U329" i="23"/>
  <c r="U362" i="23"/>
  <c r="U376" i="23"/>
  <c r="U281" i="23"/>
  <c r="U367" i="23"/>
  <c r="U316" i="23"/>
  <c r="U265" i="23"/>
  <c r="U267" i="23"/>
  <c r="U302" i="23"/>
  <c r="U303" i="23"/>
  <c r="U346" i="23"/>
  <c r="U364" i="23"/>
  <c r="U301" i="23"/>
  <c r="U347" i="23"/>
  <c r="U365" i="23"/>
  <c r="U286" i="23"/>
  <c r="U348" i="23"/>
  <c r="U366" i="23"/>
  <c r="U355" i="23"/>
  <c r="U371" i="23"/>
  <c r="U298" i="23"/>
  <c r="U380" i="23"/>
  <c r="U368" i="23"/>
  <c r="U273" i="23"/>
  <c r="U327" i="23"/>
  <c r="U353" i="23"/>
  <c r="U369" i="23"/>
  <c r="U266" i="23"/>
  <c r="U309" i="23"/>
  <c r="U339" i="23"/>
  <c r="U354" i="23"/>
  <c r="U370" i="23"/>
  <c r="U323" i="23"/>
  <c r="U340" i="23"/>
  <c r="U359" i="23"/>
  <c r="U379" i="23"/>
  <c r="U274" i="23"/>
  <c r="U287" i="23"/>
  <c r="U314" i="23"/>
  <c r="U325" i="23"/>
  <c r="U356" i="23"/>
  <c r="U377" i="23"/>
  <c r="U272" i="23"/>
  <c r="U357" i="23"/>
  <c r="U264" i="23"/>
  <c r="U275" i="23"/>
  <c r="U297" i="23"/>
  <c r="U331" i="23"/>
  <c r="U341" i="23"/>
  <c r="U358" i="23"/>
  <c r="U295" i="23"/>
  <c r="U315" i="23"/>
  <c r="U352" i="23"/>
  <c r="U363" i="23"/>
  <c r="U378" i="23"/>
  <c r="Q252" i="23"/>
  <c r="Q280" i="23"/>
  <c r="Q313" i="23"/>
  <c r="Q332" i="23"/>
  <c r="Q345" i="23"/>
  <c r="Q360" i="23"/>
  <c r="Q372" i="23"/>
  <c r="Q279" i="23"/>
  <c r="Q324" i="23"/>
  <c r="Q351" i="23"/>
  <c r="Q361" i="23"/>
  <c r="Q299" i="23"/>
  <c r="Q318" i="23"/>
  <c r="Q312" i="23"/>
  <c r="Q329" i="23"/>
  <c r="Q362" i="23"/>
  <c r="Q376" i="23"/>
  <c r="Q281" i="23"/>
  <c r="Q304" i="23"/>
  <c r="Q335" i="23"/>
  <c r="Q367" i="23"/>
  <c r="Q292" i="23"/>
  <c r="Q316" i="23"/>
  <c r="Q265" i="23"/>
  <c r="Q267" i="23"/>
  <c r="Q294" i="23"/>
  <c r="Q302" i="23"/>
  <c r="Q303" i="23"/>
  <c r="Q333" i="23"/>
  <c r="Q346" i="23"/>
  <c r="Q364" i="23"/>
  <c r="Q268" i="23"/>
  <c r="Q293" i="23"/>
  <c r="Q301" i="23"/>
  <c r="Q334" i="23"/>
  <c r="Q347" i="23"/>
  <c r="Q365" i="23"/>
  <c r="Q258" i="23"/>
  <c r="Q286" i="23"/>
  <c r="Q348" i="23"/>
  <c r="Q366" i="23"/>
  <c r="Q320" i="23"/>
  <c r="Q344" i="23"/>
  <c r="Q355" i="23"/>
  <c r="Q371" i="23"/>
  <c r="Q254" i="23"/>
  <c r="Q298" i="23"/>
  <c r="Q322" i="23"/>
  <c r="Q337" i="23"/>
  <c r="Q380" i="23"/>
  <c r="Q368" i="23"/>
  <c r="Q273" i="23"/>
  <c r="Q327" i="23"/>
  <c r="Q353" i="23"/>
  <c r="Q369" i="23"/>
  <c r="Q266" i="23"/>
  <c r="Q261" i="23"/>
  <c r="Q309" i="23"/>
  <c r="Q339" i="23"/>
  <c r="Q354" i="23"/>
  <c r="Q370" i="23"/>
  <c r="Q260" i="23"/>
  <c r="Q323" i="23"/>
  <c r="Q340" i="23"/>
  <c r="Q359" i="23"/>
  <c r="Q379" i="23"/>
  <c r="Q253" i="23"/>
  <c r="Q274" i="23"/>
  <c r="Q249" i="23"/>
  <c r="Q287" i="23"/>
  <c r="Q314" i="23"/>
  <c r="Q325" i="23"/>
  <c r="Q343" i="23"/>
  <c r="Q356" i="23"/>
  <c r="Q377" i="23"/>
  <c r="Q259" i="23"/>
  <c r="Q272" i="23"/>
  <c r="Q326" i="23"/>
  <c r="Q342" i="23"/>
  <c r="Q357" i="23"/>
  <c r="Q264" i="23"/>
  <c r="Q275" i="23"/>
  <c r="Q247" i="23"/>
  <c r="Q297" i="23"/>
  <c r="Q296" i="23"/>
  <c r="Q331" i="23"/>
  <c r="Q341" i="23"/>
  <c r="Q358" i="23"/>
  <c r="Q295" i="23"/>
  <c r="Q315" i="23"/>
  <c r="Q321" i="23"/>
  <c r="Q352" i="23"/>
  <c r="Q363" i="23"/>
  <c r="Q378" i="23"/>
  <c r="U234" i="23"/>
  <c r="U242" i="23"/>
  <c r="U227" i="23"/>
  <c r="U232" i="23"/>
  <c r="U224" i="23"/>
  <c r="U226" i="23"/>
  <c r="U229" i="23"/>
  <c r="U225" i="23"/>
  <c r="U223" i="23"/>
  <c r="U239" i="23"/>
  <c r="U241" i="23"/>
  <c r="U236" i="23"/>
  <c r="U217" i="23"/>
  <c r="U235" i="23"/>
  <c r="U238" i="23"/>
  <c r="U233" i="23"/>
  <c r="U228" i="23"/>
  <c r="U237" i="23"/>
  <c r="U244" i="23"/>
  <c r="Q234" i="23"/>
  <c r="Q231" i="23"/>
  <c r="Q242" i="23"/>
  <c r="Q222" i="23"/>
  <c r="Q218" i="23"/>
  <c r="Q227" i="23"/>
  <c r="Q232" i="23"/>
  <c r="Q224" i="23"/>
  <c r="Q240" i="23"/>
  <c r="Q226" i="23"/>
  <c r="Q229" i="23"/>
  <c r="Q225" i="23"/>
  <c r="Q230" i="23"/>
  <c r="Q223" i="23"/>
  <c r="Q239" i="23"/>
  <c r="Q241" i="23"/>
  <c r="Q236" i="23"/>
  <c r="Q217" i="23"/>
  <c r="Q235" i="23"/>
  <c r="Q238" i="23"/>
  <c r="Q233" i="23"/>
  <c r="Q228" i="23"/>
  <c r="Q243" i="23"/>
  <c r="Q237" i="23"/>
  <c r="Q244" i="23"/>
  <c r="U214" i="23"/>
  <c r="U215" i="23"/>
  <c r="Q214" i="23"/>
  <c r="Q215" i="23"/>
  <c r="U198" i="23"/>
  <c r="U197" i="23"/>
  <c r="Q198" i="23"/>
  <c r="Q197" i="23"/>
  <c r="U202" i="23"/>
  <c r="U201" i="23"/>
  <c r="U211" i="23"/>
  <c r="U196" i="23"/>
  <c r="U200" i="23"/>
  <c r="U213" i="23"/>
  <c r="U209" i="23"/>
  <c r="U208" i="23"/>
  <c r="U203" i="23"/>
  <c r="U199" i="23"/>
  <c r="U206" i="23"/>
  <c r="U216" i="23"/>
  <c r="Q202" i="23"/>
  <c r="Q201" i="23"/>
  <c r="Q211" i="23"/>
  <c r="Q204" i="23"/>
  <c r="Q207" i="23"/>
  <c r="Q200" i="23"/>
  <c r="Q213" i="23"/>
  <c r="Q209" i="23"/>
  <c r="Q208" i="23"/>
  <c r="Q205" i="23"/>
  <c r="Q203" i="23"/>
  <c r="Q210" i="23"/>
  <c r="Q199" i="23"/>
  <c r="Q212" i="23"/>
  <c r="Q206" i="23"/>
  <c r="Q216" i="23"/>
  <c r="U188" i="23"/>
  <c r="U191" i="23"/>
  <c r="U179" i="23"/>
  <c r="U190" i="23"/>
  <c r="U180" i="23"/>
  <c r="U189" i="23"/>
  <c r="U192" i="23"/>
  <c r="Q195" i="23"/>
  <c r="Q188" i="23"/>
  <c r="Q191" i="23"/>
  <c r="Q184" i="23"/>
  <c r="Q185" i="23"/>
  <c r="Q179" i="23"/>
  <c r="Q194" i="23"/>
  <c r="Q193" i="23"/>
  <c r="Q190" i="23"/>
  <c r="Q183" i="23"/>
  <c r="Q186" i="23"/>
  <c r="Q180" i="23"/>
  <c r="Q189" i="23"/>
  <c r="Q187" i="23"/>
  <c r="Q192" i="23"/>
  <c r="Q181" i="23"/>
  <c r="Q182" i="23"/>
  <c r="Q178" i="23"/>
  <c r="U171" i="23"/>
  <c r="U173" i="23"/>
  <c r="U174" i="23"/>
  <c r="U166" i="23"/>
  <c r="U168" i="23"/>
  <c r="U164" i="23"/>
  <c r="U176" i="23"/>
  <c r="U172" i="23"/>
  <c r="U169" i="23"/>
  <c r="U175" i="23"/>
  <c r="Q171" i="23"/>
  <c r="Q173" i="23"/>
  <c r="Q163" i="23"/>
  <c r="Q162" i="23"/>
  <c r="Q170" i="23"/>
  <c r="Q174" i="23"/>
  <c r="Q166" i="23"/>
  <c r="Q168" i="23"/>
  <c r="Q164" i="23"/>
  <c r="Q176" i="23"/>
  <c r="Q172" i="23"/>
  <c r="Q169" i="23"/>
  <c r="Q167" i="23"/>
  <c r="Q175" i="23"/>
  <c r="U158" i="23"/>
  <c r="Q158" i="23"/>
  <c r="U123" i="23"/>
  <c r="U156" i="23"/>
  <c r="U130" i="23"/>
  <c r="U138" i="23"/>
  <c r="U154" i="23"/>
  <c r="U126" i="23"/>
  <c r="U124" i="23"/>
  <c r="U120" i="23"/>
  <c r="U129" i="23"/>
  <c r="U128" i="23"/>
  <c r="U140" i="23"/>
  <c r="U135" i="23"/>
  <c r="U122" i="23"/>
  <c r="U133" i="23"/>
  <c r="U142" i="23"/>
  <c r="U132" i="23"/>
  <c r="U121" i="23"/>
  <c r="U131" i="23"/>
  <c r="U134" i="23"/>
  <c r="U125" i="23"/>
  <c r="U153" i="23"/>
  <c r="U143" i="23"/>
  <c r="Q123" i="23"/>
  <c r="Q156" i="23"/>
  <c r="Q102" i="23"/>
  <c r="Q130" i="23"/>
  <c r="Q138" i="23"/>
  <c r="Q154" i="23"/>
  <c r="Q118" i="23"/>
  <c r="Q137" i="23"/>
  <c r="Q144" i="23"/>
  <c r="Q126" i="23"/>
  <c r="Q107" i="23"/>
  <c r="Q124" i="23"/>
  <c r="Q151" i="23"/>
  <c r="Q139" i="23"/>
  <c r="Q95" i="23"/>
  <c r="Q120" i="23"/>
  <c r="Q129" i="23"/>
  <c r="Q141" i="23"/>
  <c r="Q105" i="23"/>
  <c r="Q128" i="23"/>
  <c r="Q140" i="23"/>
  <c r="Q135" i="23"/>
  <c r="Q117" i="23"/>
  <c r="Q136" i="23"/>
  <c r="Q148" i="23"/>
  <c r="Q109" i="23"/>
  <c r="Q152" i="23"/>
  <c r="Q112" i="23"/>
  <c r="Q122" i="23"/>
  <c r="Q147" i="23"/>
  <c r="Q119" i="23"/>
  <c r="Q110" i="23"/>
  <c r="Q133" i="23"/>
  <c r="Q145" i="23"/>
  <c r="Q142" i="23"/>
  <c r="Q103" i="23"/>
  <c r="Q132" i="23"/>
  <c r="Q121" i="23"/>
  <c r="Q146" i="23"/>
  <c r="Q131" i="23"/>
  <c r="Q150" i="23"/>
  <c r="Q104" i="23"/>
  <c r="Q111" i="23"/>
  <c r="Q134" i="23"/>
  <c r="Q149" i="23"/>
  <c r="Q116" i="23"/>
  <c r="Q125" i="23"/>
  <c r="Q153" i="23"/>
  <c r="Q114" i="23"/>
  <c r="Q113" i="23"/>
  <c r="Q143" i="23"/>
  <c r="Q157" i="23"/>
  <c r="U57" i="23"/>
  <c r="U52" i="23"/>
  <c r="U82" i="23"/>
  <c r="U67" i="23"/>
  <c r="U66" i="23"/>
  <c r="U50" i="23"/>
  <c r="U83" i="23"/>
  <c r="U75" i="23"/>
  <c r="U55" i="23"/>
  <c r="U86" i="23"/>
  <c r="U78" i="23"/>
  <c r="U76" i="23"/>
  <c r="U73" i="23"/>
  <c r="U59" i="23"/>
  <c r="U70" i="23"/>
  <c r="U71" i="23"/>
  <c r="U53" i="23"/>
  <c r="U80" i="23"/>
  <c r="U61" i="23"/>
  <c r="U74" i="23"/>
  <c r="U72" i="23"/>
  <c r="U79" i="23"/>
  <c r="Q64" i="23"/>
  <c r="Q57" i="23"/>
  <c r="Q77" i="23"/>
  <c r="Q92" i="23"/>
  <c r="Q60" i="23"/>
  <c r="Q52" i="23"/>
  <c r="Q63" i="23"/>
  <c r="Q82" i="23"/>
  <c r="Q69" i="23"/>
  <c r="Q67" i="23"/>
  <c r="Q66" i="23"/>
  <c r="Q93" i="23"/>
  <c r="Q65" i="23"/>
  <c r="Q81" i="23"/>
  <c r="Q50" i="23"/>
  <c r="Q83" i="23"/>
  <c r="Q75" i="23"/>
  <c r="Q55" i="23"/>
  <c r="Q68" i="23"/>
  <c r="Q86" i="23"/>
  <c r="Q78" i="23"/>
  <c r="Q76" i="23"/>
  <c r="Q54" i="23"/>
  <c r="Q73" i="23"/>
  <c r="Q85" i="23"/>
  <c r="Q59" i="23"/>
  <c r="Q90" i="23"/>
  <c r="Q70" i="23"/>
  <c r="Q58" i="23"/>
  <c r="Q71" i="23"/>
  <c r="Q91" i="23"/>
  <c r="Q62" i="23"/>
  <c r="Q53" i="23"/>
  <c r="Q87" i="23"/>
  <c r="Q80" i="23"/>
  <c r="Q61" i="23"/>
  <c r="Q74" i="23"/>
  <c r="Q89" i="23"/>
  <c r="Q72" i="23"/>
  <c r="Q51" i="23"/>
  <c r="Q88" i="23"/>
  <c r="Q56" i="23"/>
  <c r="Q79" i="23"/>
  <c r="Q94" i="23"/>
  <c r="U38" i="23"/>
  <c r="U42" i="23"/>
  <c r="U48" i="23"/>
  <c r="U37" i="23"/>
  <c r="U39" i="23"/>
  <c r="U43" i="23"/>
  <c r="U46" i="23"/>
  <c r="U35" i="23"/>
  <c r="U40" i="23"/>
  <c r="U47" i="23"/>
  <c r="U36" i="23"/>
  <c r="U41" i="23"/>
  <c r="U45" i="23"/>
  <c r="Q38" i="23"/>
  <c r="Q42" i="23"/>
  <c r="Q48" i="23"/>
  <c r="Q37" i="23"/>
  <c r="Q39" i="23"/>
  <c r="Q43" i="23"/>
  <c r="Q46" i="23"/>
  <c r="Q35" i="23"/>
  <c r="Q40" i="23"/>
  <c r="Q47" i="23"/>
  <c r="Q44" i="23"/>
  <c r="Q36" i="23"/>
  <c r="Q41" i="23"/>
  <c r="Q49" i="23"/>
  <c r="U8" i="23"/>
  <c r="Q8" i="23"/>
  <c r="Q34" i="23"/>
  <c r="Q33" i="23"/>
  <c r="U27" i="23"/>
  <c r="U29" i="23"/>
  <c r="U32" i="23"/>
  <c r="U28" i="23"/>
  <c r="Q27" i="23"/>
  <c r="Q30" i="23"/>
  <c r="Q26" i="23"/>
  <c r="Q31" i="23"/>
  <c r="Q29" i="23"/>
  <c r="Q32" i="23"/>
  <c r="Q28" i="23"/>
  <c r="U12" i="23"/>
  <c r="U17" i="23"/>
  <c r="U19" i="23"/>
  <c r="U15" i="23"/>
  <c r="U25" i="23"/>
  <c r="U20" i="23"/>
  <c r="U11" i="23"/>
  <c r="U14" i="23"/>
  <c r="U13" i="23"/>
  <c r="U22" i="23"/>
  <c r="U16" i="23"/>
  <c r="U18" i="23"/>
  <c r="U23" i="23"/>
  <c r="Q12" i="23"/>
  <c r="Q17" i="23"/>
  <c r="Q19" i="23"/>
  <c r="Q21" i="23"/>
  <c r="Q15" i="23"/>
  <c r="Q25" i="23"/>
  <c r="Q24" i="23"/>
  <c r="Q20" i="23"/>
  <c r="Q11" i="23"/>
  <c r="Q14" i="23"/>
  <c r="Q10" i="23"/>
  <c r="Q13" i="23"/>
  <c r="Q22" i="23"/>
  <c r="Q16" i="23"/>
  <c r="Q9" i="23"/>
  <c r="Q18" i="23"/>
  <c r="Q23" i="23"/>
  <c r="V12" i="24"/>
  <c r="V13" i="24"/>
  <c r="Y13" i="24"/>
  <c r="S13" i="24" s="1"/>
  <c r="R13" i="24"/>
  <c r="AK13" i="24" s="1"/>
  <c r="AF13" i="24"/>
  <c r="T12" i="24"/>
  <c r="AK12" i="24"/>
  <c r="AG12" i="24"/>
  <c r="AH12" i="24" s="1"/>
  <c r="Z12" i="24"/>
  <c r="AI12" i="24"/>
  <c r="V9" i="24"/>
  <c r="V8" i="24"/>
  <c r="S10" i="24"/>
  <c r="T10" i="24" s="1"/>
  <c r="AG8" i="24"/>
  <c r="AH8" i="24" s="1"/>
  <c r="S11" i="24"/>
  <c r="T11" i="24" s="1"/>
  <c r="Z11" i="24"/>
  <c r="AI8" i="24"/>
  <c r="AK8" i="24"/>
  <c r="AJ9" i="24"/>
  <c r="Q10" i="24"/>
  <c r="AG10" i="24"/>
  <c r="AK10" i="24"/>
  <c r="AJ11" i="24"/>
  <c r="AG9" i="24"/>
  <c r="AK9" i="24"/>
  <c r="AG11" i="24"/>
  <c r="AK11" i="24"/>
  <c r="AI10" i="24"/>
  <c r="S316" i="24"/>
  <c r="R316" i="24"/>
  <c r="M316" i="24"/>
  <c r="Q316" i="24"/>
  <c r="P316" i="24"/>
  <c r="S315" i="24"/>
  <c r="R315" i="24"/>
  <c r="M315" i="24"/>
  <c r="Q315" i="24"/>
  <c r="P315" i="24"/>
  <c r="S314" i="24"/>
  <c r="R314" i="24"/>
  <c r="M314" i="24"/>
  <c r="Q314" i="24"/>
  <c r="P314" i="24"/>
  <c r="S313" i="24"/>
  <c r="R313" i="24"/>
  <c r="M313" i="24"/>
  <c r="Q313" i="24"/>
  <c r="P313" i="24"/>
  <c r="S312" i="24"/>
  <c r="R312" i="24"/>
  <c r="M312" i="24"/>
  <c r="Q312" i="24"/>
  <c r="P312" i="24"/>
  <c r="S311" i="24"/>
  <c r="R311" i="24"/>
  <c r="M311" i="24"/>
  <c r="Q311" i="24"/>
  <c r="P311" i="24"/>
  <c r="S310" i="24"/>
  <c r="R310" i="24"/>
  <c r="M310" i="24"/>
  <c r="Q310" i="24"/>
  <c r="P310" i="24"/>
  <c r="S309" i="24"/>
  <c r="R309" i="24"/>
  <c r="M309" i="24"/>
  <c r="Q309" i="24"/>
  <c r="P309" i="24"/>
  <c r="S308" i="24"/>
  <c r="R308" i="24"/>
  <c r="M308" i="24"/>
  <c r="Q308" i="24"/>
  <c r="P308" i="24"/>
  <c r="S307" i="24"/>
  <c r="R307" i="24"/>
  <c r="M307" i="24"/>
  <c r="Q307" i="24"/>
  <c r="P307" i="24"/>
  <c r="S306" i="24"/>
  <c r="R306" i="24"/>
  <c r="M306" i="24"/>
  <c r="Q306" i="24"/>
  <c r="P306" i="24"/>
  <c r="S305" i="24"/>
  <c r="R305" i="24"/>
  <c r="M305" i="24"/>
  <c r="Q305" i="24"/>
  <c r="P305" i="24"/>
  <c r="S304" i="24"/>
  <c r="R304" i="24"/>
  <c r="M304" i="24"/>
  <c r="Q304" i="24"/>
  <c r="P304" i="24"/>
  <c r="S303" i="24"/>
  <c r="R303" i="24"/>
  <c r="M303" i="24"/>
  <c r="Q303" i="24"/>
  <c r="P303" i="24"/>
  <c r="S302" i="24"/>
  <c r="R302" i="24"/>
  <c r="M302" i="24"/>
  <c r="Q302" i="24"/>
  <c r="P302" i="24"/>
  <c r="S301" i="24"/>
  <c r="R301" i="24"/>
  <c r="M301" i="24"/>
  <c r="Q301" i="24"/>
  <c r="P301" i="24"/>
  <c r="S300" i="24"/>
  <c r="R300" i="24"/>
  <c r="M300" i="24"/>
  <c r="Q300" i="24"/>
  <c r="P300" i="24"/>
  <c r="S299" i="24"/>
  <c r="R299" i="24"/>
  <c r="M299" i="24"/>
  <c r="Q299" i="24"/>
  <c r="P299" i="24"/>
  <c r="S298" i="24"/>
  <c r="R298" i="24"/>
  <c r="M298" i="24"/>
  <c r="Q298" i="24"/>
  <c r="P298" i="24"/>
  <c r="S297" i="24"/>
  <c r="R297" i="24"/>
  <c r="M297" i="24"/>
  <c r="Q297" i="24"/>
  <c r="P297" i="24"/>
  <c r="S296" i="24"/>
  <c r="R296" i="24"/>
  <c r="M296" i="24"/>
  <c r="Q296" i="24"/>
  <c r="P296" i="24"/>
  <c r="S295" i="24"/>
  <c r="R295" i="24"/>
  <c r="M295" i="24"/>
  <c r="Q295" i="24"/>
  <c r="P295" i="24"/>
  <c r="S294" i="24"/>
  <c r="R294" i="24"/>
  <c r="M294" i="24"/>
  <c r="Q294" i="24"/>
  <c r="P294" i="24"/>
  <c r="S293" i="24"/>
  <c r="R293" i="24"/>
  <c r="M293" i="24"/>
  <c r="Q293" i="24"/>
  <c r="P293" i="24"/>
  <c r="S292" i="24"/>
  <c r="R292" i="24"/>
  <c r="M292" i="24"/>
  <c r="Q292" i="24"/>
  <c r="P292" i="24"/>
  <c r="S291" i="24"/>
  <c r="R291" i="24"/>
  <c r="M291" i="24"/>
  <c r="Q291" i="24"/>
  <c r="P291" i="24"/>
  <c r="S290" i="24"/>
  <c r="R290" i="24"/>
  <c r="M290" i="24"/>
  <c r="Q290" i="24"/>
  <c r="P290" i="24"/>
  <c r="S289" i="24"/>
  <c r="R289" i="24"/>
  <c r="M289" i="24"/>
  <c r="Q289" i="24"/>
  <c r="P289" i="24"/>
  <c r="S288" i="24"/>
  <c r="R288" i="24"/>
  <c r="M288" i="24"/>
  <c r="Q288" i="24"/>
  <c r="P288" i="24"/>
  <c r="S287" i="24"/>
  <c r="R287" i="24"/>
  <c r="M287" i="24"/>
  <c r="Q287" i="24"/>
  <c r="P287" i="24"/>
  <c r="S286" i="24"/>
  <c r="R286" i="24"/>
  <c r="M286" i="24"/>
  <c r="Q286" i="24"/>
  <c r="P286" i="24"/>
  <c r="S285" i="24"/>
  <c r="R285" i="24"/>
  <c r="M285" i="24"/>
  <c r="Q285" i="24"/>
  <c r="P285" i="24"/>
  <c r="S284" i="24"/>
  <c r="R284" i="24"/>
  <c r="M284" i="24"/>
  <c r="Q284" i="24"/>
  <c r="P284" i="24"/>
  <c r="S283" i="24"/>
  <c r="R283" i="24"/>
  <c r="M283" i="24"/>
  <c r="Q283" i="24"/>
  <c r="P283" i="24"/>
  <c r="S282" i="24"/>
  <c r="R282" i="24"/>
  <c r="M282" i="24"/>
  <c r="Q282" i="24"/>
  <c r="P282" i="24"/>
  <c r="S281" i="24"/>
  <c r="R281" i="24"/>
  <c r="M281" i="24"/>
  <c r="Q281" i="24"/>
  <c r="P281" i="24"/>
  <c r="S280" i="24"/>
  <c r="R280" i="24"/>
  <c r="M280" i="24"/>
  <c r="Q280" i="24"/>
  <c r="P280" i="24"/>
  <c r="S279" i="24"/>
  <c r="R279" i="24"/>
  <c r="M279" i="24"/>
  <c r="Q279" i="24"/>
  <c r="P279" i="24"/>
  <c r="S278" i="24"/>
  <c r="R278" i="24"/>
  <c r="M278" i="24"/>
  <c r="Q278" i="24"/>
  <c r="P278" i="24"/>
  <c r="S277" i="24"/>
  <c r="R277" i="24"/>
  <c r="M277" i="24"/>
  <c r="Q277" i="24"/>
  <c r="P277" i="24"/>
  <c r="S276" i="24"/>
  <c r="R276" i="24"/>
  <c r="M276" i="24"/>
  <c r="Q276" i="24"/>
  <c r="P276" i="24"/>
  <c r="S275" i="24"/>
  <c r="R275" i="24"/>
  <c r="M275" i="24"/>
  <c r="Q275" i="24"/>
  <c r="P275" i="24"/>
  <c r="S274" i="24"/>
  <c r="R274" i="24"/>
  <c r="M274" i="24"/>
  <c r="Q274" i="24"/>
  <c r="P274" i="24"/>
  <c r="S273" i="24"/>
  <c r="R273" i="24"/>
  <c r="M273" i="24"/>
  <c r="Q273" i="24"/>
  <c r="P273" i="24"/>
  <c r="S272" i="24"/>
  <c r="R272" i="24"/>
  <c r="M272" i="24"/>
  <c r="Q272" i="24"/>
  <c r="P272" i="24"/>
  <c r="S271" i="24"/>
  <c r="R271" i="24"/>
  <c r="M271" i="24"/>
  <c r="Q271" i="24"/>
  <c r="P271" i="24"/>
  <c r="S270" i="24"/>
  <c r="R270" i="24"/>
  <c r="M270" i="24"/>
  <c r="Q270" i="24"/>
  <c r="P270" i="24"/>
  <c r="S269" i="24"/>
  <c r="R269" i="24"/>
  <c r="M269" i="24"/>
  <c r="Q269" i="24"/>
  <c r="P269" i="24"/>
  <c r="S268" i="24"/>
  <c r="R268" i="24"/>
  <c r="M268" i="24"/>
  <c r="Q268" i="24"/>
  <c r="P268" i="24"/>
  <c r="S267" i="24"/>
  <c r="R267" i="24"/>
  <c r="M267" i="24"/>
  <c r="Q267" i="24"/>
  <c r="P267" i="24"/>
  <c r="S266" i="24"/>
  <c r="R266" i="24"/>
  <c r="M266" i="24"/>
  <c r="Q266" i="24"/>
  <c r="P266" i="24"/>
  <c r="S265" i="24"/>
  <c r="R265" i="24"/>
  <c r="M265" i="24"/>
  <c r="Q265" i="24"/>
  <c r="P265" i="24"/>
  <c r="S264" i="24"/>
  <c r="R264" i="24"/>
  <c r="M264" i="24"/>
  <c r="Q264" i="24"/>
  <c r="P264" i="24"/>
  <c r="S263" i="24"/>
  <c r="R263" i="24"/>
  <c r="M263" i="24"/>
  <c r="Q263" i="24"/>
  <c r="P263" i="24"/>
  <c r="S262" i="24"/>
  <c r="R262" i="24"/>
  <c r="M262" i="24"/>
  <c r="Q262" i="24"/>
  <c r="P262" i="24"/>
  <c r="S261" i="24"/>
  <c r="R261" i="24"/>
  <c r="M261" i="24"/>
  <c r="Q261" i="24"/>
  <c r="P261" i="24"/>
  <c r="S260" i="24"/>
  <c r="R260" i="24"/>
  <c r="M260" i="24"/>
  <c r="Q260" i="24"/>
  <c r="P260" i="24"/>
  <c r="S259" i="24"/>
  <c r="R259" i="24"/>
  <c r="M259" i="24"/>
  <c r="Q259" i="24"/>
  <c r="P259" i="24"/>
  <c r="S258" i="24"/>
  <c r="R258" i="24"/>
  <c r="M258" i="24"/>
  <c r="Q258" i="24"/>
  <c r="P258" i="24"/>
  <c r="S257" i="24"/>
  <c r="R257" i="24"/>
  <c r="M257" i="24"/>
  <c r="Q257" i="24"/>
  <c r="P257" i="24"/>
  <c r="S256" i="24"/>
  <c r="R256" i="24"/>
  <c r="M256" i="24"/>
  <c r="Q256" i="24"/>
  <c r="P256" i="24"/>
  <c r="S255" i="24"/>
  <c r="R255" i="24"/>
  <c r="M255" i="24"/>
  <c r="Q255" i="24"/>
  <c r="P255" i="24"/>
  <c r="S254" i="24"/>
  <c r="R254" i="24"/>
  <c r="M254" i="24"/>
  <c r="Q254" i="24"/>
  <c r="P254" i="24"/>
  <c r="S253" i="24"/>
  <c r="R253" i="24"/>
  <c r="M253" i="24"/>
  <c r="Q253" i="24"/>
  <c r="P253" i="24"/>
  <c r="S252" i="24"/>
  <c r="R252" i="24"/>
  <c r="M252" i="24"/>
  <c r="Q252" i="24"/>
  <c r="P252" i="24"/>
  <c r="S251" i="24"/>
  <c r="R251" i="24"/>
  <c r="M251" i="24"/>
  <c r="Q251" i="24"/>
  <c r="P251" i="24"/>
  <c r="S250" i="24"/>
  <c r="R250" i="24"/>
  <c r="M250" i="24"/>
  <c r="Q250" i="24"/>
  <c r="P250" i="24"/>
  <c r="S249" i="24"/>
  <c r="R249" i="24"/>
  <c r="M249" i="24"/>
  <c r="Q249" i="24"/>
  <c r="P249" i="24"/>
  <c r="S248" i="24"/>
  <c r="R248" i="24"/>
  <c r="M248" i="24"/>
  <c r="Q248" i="24"/>
  <c r="P248" i="24"/>
  <c r="S247" i="24"/>
  <c r="R247" i="24"/>
  <c r="M247" i="24"/>
  <c r="Q247" i="24"/>
  <c r="P247" i="24"/>
  <c r="S246" i="24"/>
  <c r="R246" i="24"/>
  <c r="M246" i="24"/>
  <c r="Q246" i="24"/>
  <c r="P246" i="24"/>
  <c r="S245" i="24"/>
  <c r="R245" i="24"/>
  <c r="M245" i="24"/>
  <c r="Q245" i="24"/>
  <c r="P245" i="24"/>
  <c r="S244" i="24"/>
  <c r="R244" i="24"/>
  <c r="M244" i="24"/>
  <c r="Q244" i="24"/>
  <c r="P244" i="24"/>
  <c r="S243" i="24"/>
  <c r="R243" i="24"/>
  <c r="M243" i="24"/>
  <c r="Q243" i="24"/>
  <c r="P243" i="24"/>
  <c r="S242" i="24"/>
  <c r="R242" i="24"/>
  <c r="M242" i="24"/>
  <c r="Q242" i="24"/>
  <c r="P242" i="24"/>
  <c r="S241" i="24"/>
  <c r="R241" i="24"/>
  <c r="M241" i="24"/>
  <c r="Q241" i="24"/>
  <c r="P241" i="24"/>
  <c r="S240" i="24"/>
  <c r="R240" i="24"/>
  <c r="M240" i="24"/>
  <c r="Q240" i="24"/>
  <c r="P240" i="24"/>
  <c r="S239" i="24"/>
  <c r="R239" i="24"/>
  <c r="M239" i="24"/>
  <c r="Q239" i="24"/>
  <c r="P239" i="24"/>
  <c r="S238" i="24"/>
  <c r="R238" i="24"/>
  <c r="M238" i="24"/>
  <c r="Q238" i="24"/>
  <c r="P238" i="24"/>
  <c r="S237" i="24"/>
  <c r="R237" i="24"/>
  <c r="M237" i="24"/>
  <c r="Q237" i="24"/>
  <c r="P237" i="24"/>
  <c r="S236" i="24"/>
  <c r="R236" i="24"/>
  <c r="M236" i="24"/>
  <c r="Q236" i="24"/>
  <c r="P236" i="24"/>
  <c r="S235" i="24"/>
  <c r="R235" i="24"/>
  <c r="M235" i="24"/>
  <c r="Q235" i="24"/>
  <c r="P235" i="24"/>
  <c r="S234" i="24"/>
  <c r="R234" i="24"/>
  <c r="M234" i="24"/>
  <c r="Q234" i="24"/>
  <c r="P234" i="24"/>
  <c r="S233" i="24"/>
  <c r="R233" i="24"/>
  <c r="M233" i="24"/>
  <c r="Q233" i="24"/>
  <c r="P233" i="24"/>
  <c r="S232" i="24"/>
  <c r="R232" i="24"/>
  <c r="M232" i="24"/>
  <c r="Q232" i="24"/>
  <c r="P232" i="24"/>
  <c r="S231" i="24"/>
  <c r="R231" i="24"/>
  <c r="M231" i="24"/>
  <c r="Q231" i="24"/>
  <c r="P231" i="24"/>
  <c r="S230" i="24"/>
  <c r="R230" i="24"/>
  <c r="M230" i="24"/>
  <c r="Q230" i="24"/>
  <c r="P230" i="24"/>
  <c r="S229" i="24"/>
  <c r="R229" i="24"/>
  <c r="M229" i="24"/>
  <c r="Q229" i="24"/>
  <c r="P229" i="24"/>
  <c r="S228" i="24"/>
  <c r="R228" i="24"/>
  <c r="M228" i="24"/>
  <c r="Q228" i="24"/>
  <c r="P228" i="24"/>
  <c r="S227" i="24"/>
  <c r="R227" i="24"/>
  <c r="M227" i="24"/>
  <c r="Q227" i="24"/>
  <c r="P227" i="24"/>
  <c r="S226" i="24"/>
  <c r="R226" i="24"/>
  <c r="M226" i="24"/>
  <c r="Q226" i="24"/>
  <c r="P226" i="24"/>
  <c r="S225" i="24"/>
  <c r="R225" i="24"/>
  <c r="M225" i="24"/>
  <c r="Q225" i="24"/>
  <c r="P225" i="24"/>
  <c r="S224" i="24"/>
  <c r="R224" i="24"/>
  <c r="M224" i="24"/>
  <c r="Q224" i="24"/>
  <c r="P224" i="24"/>
  <c r="S223" i="24"/>
  <c r="R223" i="24"/>
  <c r="M223" i="24"/>
  <c r="Q223" i="24"/>
  <c r="P223" i="24"/>
  <c r="S222" i="24"/>
  <c r="R222" i="24"/>
  <c r="M222" i="24"/>
  <c r="Q222" i="24"/>
  <c r="P222" i="24"/>
  <c r="S221" i="24"/>
  <c r="R221" i="24"/>
  <c r="M221" i="24"/>
  <c r="Q221" i="24"/>
  <c r="P221" i="24"/>
  <c r="S220" i="24"/>
  <c r="R220" i="24"/>
  <c r="M220" i="24"/>
  <c r="Q220" i="24"/>
  <c r="P220" i="24"/>
  <c r="S219" i="24"/>
  <c r="R219" i="24"/>
  <c r="M219" i="24"/>
  <c r="Q219" i="24"/>
  <c r="P219" i="24"/>
  <c r="S218" i="24"/>
  <c r="R218" i="24"/>
  <c r="M218" i="24"/>
  <c r="Q218" i="24"/>
  <c r="P218" i="24"/>
  <c r="S217" i="24"/>
  <c r="R217" i="24"/>
  <c r="M217" i="24"/>
  <c r="Q217" i="24"/>
  <c r="P217" i="24"/>
  <c r="S216" i="24"/>
  <c r="R216" i="24"/>
  <c r="M216" i="24"/>
  <c r="Q216" i="24"/>
  <c r="P216" i="24"/>
  <c r="S215" i="24"/>
  <c r="R215" i="24"/>
  <c r="M215" i="24"/>
  <c r="Q215" i="24"/>
  <c r="P215" i="24"/>
  <c r="S214" i="24"/>
  <c r="R214" i="24"/>
  <c r="M214" i="24"/>
  <c r="Q214" i="24"/>
  <c r="P214" i="24"/>
  <c r="S213" i="24"/>
  <c r="R213" i="24"/>
  <c r="M213" i="24"/>
  <c r="Q213" i="24"/>
  <c r="P213" i="24"/>
  <c r="S212" i="24"/>
  <c r="R212" i="24"/>
  <c r="M212" i="24"/>
  <c r="Q212" i="24"/>
  <c r="P212" i="24"/>
  <c r="S211" i="24"/>
  <c r="R211" i="24"/>
  <c r="M211" i="24"/>
  <c r="Q211" i="24"/>
  <c r="P211" i="24"/>
  <c r="S210" i="24"/>
  <c r="R210" i="24"/>
  <c r="M210" i="24"/>
  <c r="Q210" i="24"/>
  <c r="P210" i="24"/>
  <c r="S209" i="24"/>
  <c r="R209" i="24"/>
  <c r="M209" i="24"/>
  <c r="Q209" i="24"/>
  <c r="P209" i="24"/>
  <c r="S208" i="24"/>
  <c r="R208" i="24"/>
  <c r="M208" i="24"/>
  <c r="Q208" i="24"/>
  <c r="P208" i="24"/>
  <c r="S207" i="24"/>
  <c r="R207" i="24"/>
  <c r="M207" i="24"/>
  <c r="Q207" i="24"/>
  <c r="P207" i="24"/>
  <c r="S206" i="24"/>
  <c r="R206" i="24"/>
  <c r="M206" i="24"/>
  <c r="Q206" i="24"/>
  <c r="P206" i="24"/>
  <c r="S205" i="24"/>
  <c r="R205" i="24"/>
  <c r="M205" i="24"/>
  <c r="Q205" i="24"/>
  <c r="P205" i="24"/>
  <c r="S204" i="24"/>
  <c r="R204" i="24"/>
  <c r="M204" i="24"/>
  <c r="Q204" i="24"/>
  <c r="P204" i="24"/>
  <c r="S203" i="24"/>
  <c r="R203" i="24"/>
  <c r="M203" i="24"/>
  <c r="Q203" i="24"/>
  <c r="P203" i="24"/>
  <c r="S202" i="24"/>
  <c r="R202" i="24"/>
  <c r="M202" i="24"/>
  <c r="Q202" i="24"/>
  <c r="P202" i="24"/>
  <c r="S201" i="24"/>
  <c r="R201" i="24"/>
  <c r="M201" i="24"/>
  <c r="Q201" i="24"/>
  <c r="P201" i="24"/>
  <c r="S200" i="24"/>
  <c r="R200" i="24"/>
  <c r="M200" i="24"/>
  <c r="Q200" i="24"/>
  <c r="P200" i="24"/>
  <c r="S199" i="24"/>
  <c r="R199" i="24"/>
  <c r="M199" i="24"/>
  <c r="Q199" i="24"/>
  <c r="P199" i="24"/>
  <c r="S198" i="24"/>
  <c r="R198" i="24"/>
  <c r="M198" i="24"/>
  <c r="Q198" i="24"/>
  <c r="P198" i="24"/>
  <c r="S197" i="24"/>
  <c r="R197" i="24"/>
  <c r="M197" i="24"/>
  <c r="Q197" i="24"/>
  <c r="P197" i="24"/>
  <c r="S196" i="24"/>
  <c r="R196" i="24"/>
  <c r="M196" i="24"/>
  <c r="Q196" i="24"/>
  <c r="P196" i="24"/>
  <c r="S195" i="24"/>
  <c r="R195" i="24"/>
  <c r="M195" i="24"/>
  <c r="Q195" i="24"/>
  <c r="P195" i="24"/>
  <c r="S194" i="24"/>
  <c r="R194" i="24"/>
  <c r="M194" i="24"/>
  <c r="Q194" i="24"/>
  <c r="P194" i="24"/>
  <c r="S193" i="24"/>
  <c r="R193" i="24"/>
  <c r="M193" i="24"/>
  <c r="Q193" i="24"/>
  <c r="P193" i="24"/>
  <c r="S192" i="24"/>
  <c r="R192" i="24"/>
  <c r="M192" i="24"/>
  <c r="Q192" i="24"/>
  <c r="P192" i="24"/>
  <c r="S191" i="24"/>
  <c r="R191" i="24"/>
  <c r="M191" i="24"/>
  <c r="Q191" i="24"/>
  <c r="P191" i="24"/>
  <c r="S190" i="24"/>
  <c r="R190" i="24"/>
  <c r="M190" i="24"/>
  <c r="Q190" i="24"/>
  <c r="P190" i="24"/>
  <c r="S189" i="24"/>
  <c r="R189" i="24"/>
  <c r="M189" i="24"/>
  <c r="Q189" i="24"/>
  <c r="P189" i="24"/>
  <c r="S188" i="24"/>
  <c r="R188" i="24"/>
  <c r="M188" i="24"/>
  <c r="Q188" i="24"/>
  <c r="P188" i="24"/>
  <c r="S187" i="24"/>
  <c r="R187" i="24"/>
  <c r="M187" i="24"/>
  <c r="Q187" i="24"/>
  <c r="P187" i="24"/>
  <c r="S186" i="24"/>
  <c r="R186" i="24"/>
  <c r="M186" i="24"/>
  <c r="Q186" i="24"/>
  <c r="P186" i="24"/>
  <c r="S185" i="24"/>
  <c r="R185" i="24"/>
  <c r="M185" i="24"/>
  <c r="Q185" i="24"/>
  <c r="P185" i="24"/>
  <c r="S184" i="24"/>
  <c r="R184" i="24"/>
  <c r="M184" i="24"/>
  <c r="Q184" i="24"/>
  <c r="P184" i="24"/>
  <c r="S183" i="24"/>
  <c r="R183" i="24"/>
  <c r="M183" i="24"/>
  <c r="Q183" i="24"/>
  <c r="P183" i="24"/>
  <c r="S182" i="24"/>
  <c r="R182" i="24"/>
  <c r="M182" i="24"/>
  <c r="Q182" i="24"/>
  <c r="P182" i="24"/>
  <c r="S181" i="24"/>
  <c r="R181" i="24"/>
  <c r="M181" i="24"/>
  <c r="Q181" i="24"/>
  <c r="P181" i="24"/>
  <c r="S180" i="24"/>
  <c r="R180" i="24"/>
  <c r="M180" i="24"/>
  <c r="Q180" i="24"/>
  <c r="P180" i="24"/>
  <c r="S179" i="24"/>
  <c r="R179" i="24"/>
  <c r="M179" i="24"/>
  <c r="Q179" i="24"/>
  <c r="P179" i="24"/>
  <c r="S178" i="24"/>
  <c r="R178" i="24"/>
  <c r="M178" i="24"/>
  <c r="Q178" i="24"/>
  <c r="P178" i="24"/>
  <c r="S177" i="24"/>
  <c r="R177" i="24"/>
  <c r="M177" i="24"/>
  <c r="Q177" i="24"/>
  <c r="P177" i="24"/>
  <c r="S176" i="24"/>
  <c r="R176" i="24"/>
  <c r="M176" i="24"/>
  <c r="Q176" i="24"/>
  <c r="P176" i="24"/>
  <c r="S175" i="24"/>
  <c r="R175" i="24"/>
  <c r="M175" i="24"/>
  <c r="Q175" i="24"/>
  <c r="P175" i="24"/>
  <c r="S174" i="24"/>
  <c r="R174" i="24"/>
  <c r="M174" i="24"/>
  <c r="Q174" i="24"/>
  <c r="P174" i="24"/>
  <c r="S173" i="24"/>
  <c r="R173" i="24"/>
  <c r="M173" i="24"/>
  <c r="Q173" i="24"/>
  <c r="P173" i="24"/>
  <c r="S172" i="24"/>
  <c r="R172" i="24"/>
  <c r="M172" i="24"/>
  <c r="Q172" i="24"/>
  <c r="P172" i="24"/>
  <c r="S171" i="24"/>
  <c r="R171" i="24"/>
  <c r="M171" i="24"/>
  <c r="Q171" i="24"/>
  <c r="P171" i="24"/>
  <c r="S170" i="24"/>
  <c r="R170" i="24"/>
  <c r="M170" i="24"/>
  <c r="Q170" i="24"/>
  <c r="P170" i="24"/>
  <c r="S169" i="24"/>
  <c r="R169" i="24"/>
  <c r="M169" i="24"/>
  <c r="Q169" i="24"/>
  <c r="P169" i="24"/>
  <c r="S168" i="24"/>
  <c r="R168" i="24"/>
  <c r="M168" i="24"/>
  <c r="Q168" i="24"/>
  <c r="P168" i="24"/>
  <c r="S167" i="24"/>
  <c r="R167" i="24"/>
  <c r="M167" i="24"/>
  <c r="Q167" i="24"/>
  <c r="P167" i="24"/>
  <c r="S166" i="24"/>
  <c r="R166" i="24"/>
  <c r="M166" i="24"/>
  <c r="Q166" i="24"/>
  <c r="P166" i="24"/>
  <c r="S165" i="24"/>
  <c r="R165" i="24"/>
  <c r="M165" i="24"/>
  <c r="Q165" i="24"/>
  <c r="P165" i="24"/>
  <c r="S164" i="24"/>
  <c r="R164" i="24"/>
  <c r="M164" i="24"/>
  <c r="Q164" i="24"/>
  <c r="P164" i="24"/>
  <c r="S163" i="24"/>
  <c r="R163" i="24"/>
  <c r="M163" i="24"/>
  <c r="Q163" i="24"/>
  <c r="P163" i="24"/>
  <c r="S162" i="24"/>
  <c r="R162" i="24"/>
  <c r="M162" i="24"/>
  <c r="Q162" i="24"/>
  <c r="P162" i="24"/>
  <c r="S161" i="24"/>
  <c r="R161" i="24"/>
  <c r="M161" i="24"/>
  <c r="Q161" i="24"/>
  <c r="P161" i="24"/>
  <c r="S160" i="24"/>
  <c r="R160" i="24"/>
  <c r="M160" i="24"/>
  <c r="Q160" i="24"/>
  <c r="P160" i="24"/>
  <c r="S159" i="24"/>
  <c r="R159" i="24"/>
  <c r="M159" i="24"/>
  <c r="Q159" i="24"/>
  <c r="P159" i="24"/>
  <c r="S158" i="24"/>
  <c r="R158" i="24"/>
  <c r="M158" i="24"/>
  <c r="Q158" i="24"/>
  <c r="P158" i="24"/>
  <c r="S157" i="24"/>
  <c r="R157" i="24"/>
  <c r="M157" i="24"/>
  <c r="Q157" i="24"/>
  <c r="P157" i="24"/>
  <c r="S156" i="24"/>
  <c r="R156" i="24"/>
  <c r="M156" i="24"/>
  <c r="Q156" i="24"/>
  <c r="P156" i="24"/>
  <c r="S155" i="24"/>
  <c r="R155" i="24"/>
  <c r="M155" i="24"/>
  <c r="Q155" i="24"/>
  <c r="P155" i="24"/>
  <c r="S154" i="24"/>
  <c r="R154" i="24"/>
  <c r="M154" i="24"/>
  <c r="Q154" i="24"/>
  <c r="P154" i="24"/>
  <c r="S153" i="24"/>
  <c r="R153" i="24"/>
  <c r="M153" i="24"/>
  <c r="Q153" i="24"/>
  <c r="P153" i="24"/>
  <c r="S152" i="24"/>
  <c r="R152" i="24"/>
  <c r="M152" i="24"/>
  <c r="Q152" i="24"/>
  <c r="P152" i="24"/>
  <c r="S151" i="24"/>
  <c r="R151" i="24"/>
  <c r="M151" i="24"/>
  <c r="Q151" i="24"/>
  <c r="P151" i="24"/>
  <c r="S150" i="24"/>
  <c r="R150" i="24"/>
  <c r="M150" i="24"/>
  <c r="Q150" i="24"/>
  <c r="P150" i="24"/>
  <c r="S149" i="24"/>
  <c r="R149" i="24"/>
  <c r="M149" i="24"/>
  <c r="Q149" i="24"/>
  <c r="P149" i="24"/>
  <c r="S148" i="24"/>
  <c r="R148" i="24"/>
  <c r="M148" i="24"/>
  <c r="Q148" i="24"/>
  <c r="P148" i="24"/>
  <c r="S147" i="24"/>
  <c r="R147" i="24"/>
  <c r="M147" i="24"/>
  <c r="Q147" i="24"/>
  <c r="P147" i="24"/>
  <c r="S146" i="24"/>
  <c r="R146" i="24"/>
  <c r="M146" i="24"/>
  <c r="Q146" i="24"/>
  <c r="P146" i="24"/>
  <c r="S145" i="24"/>
  <c r="R145" i="24"/>
  <c r="M145" i="24"/>
  <c r="Q145" i="24"/>
  <c r="P145" i="24"/>
  <c r="S144" i="24"/>
  <c r="R144" i="24"/>
  <c r="M144" i="24"/>
  <c r="Q144" i="24"/>
  <c r="P144" i="24"/>
  <c r="S143" i="24"/>
  <c r="R143" i="24"/>
  <c r="M143" i="24"/>
  <c r="Q143" i="24"/>
  <c r="P143" i="24"/>
  <c r="S142" i="24"/>
  <c r="R142" i="24"/>
  <c r="M142" i="24"/>
  <c r="Q142" i="24"/>
  <c r="P142" i="24"/>
  <c r="S141" i="24"/>
  <c r="R141" i="24"/>
  <c r="M141" i="24"/>
  <c r="Q141" i="24"/>
  <c r="P141" i="24"/>
  <c r="S140" i="24"/>
  <c r="R140" i="24"/>
  <c r="M140" i="24"/>
  <c r="Q140" i="24"/>
  <c r="P140" i="24"/>
  <c r="S139" i="24"/>
  <c r="R139" i="24"/>
  <c r="M139" i="24"/>
  <c r="Q139" i="24"/>
  <c r="P139" i="24"/>
  <c r="S138" i="24"/>
  <c r="R138" i="24"/>
  <c r="M138" i="24"/>
  <c r="Q138" i="24"/>
  <c r="P138" i="24"/>
  <c r="S137" i="24"/>
  <c r="R137" i="24"/>
  <c r="M137" i="24"/>
  <c r="Q137" i="24"/>
  <c r="P137" i="24"/>
  <c r="S136" i="24"/>
  <c r="R136" i="24"/>
  <c r="M136" i="24"/>
  <c r="Q136" i="24"/>
  <c r="P136" i="24"/>
  <c r="S135" i="24"/>
  <c r="R135" i="24"/>
  <c r="M135" i="24"/>
  <c r="Q135" i="24"/>
  <c r="P135" i="24"/>
  <c r="S134" i="24"/>
  <c r="R134" i="24"/>
  <c r="M134" i="24"/>
  <c r="Q134" i="24"/>
  <c r="P134" i="24"/>
  <c r="S133" i="24"/>
  <c r="R133" i="24"/>
  <c r="M133" i="24"/>
  <c r="Q133" i="24"/>
  <c r="P133" i="24"/>
  <c r="S132" i="24"/>
  <c r="R132" i="24"/>
  <c r="M132" i="24"/>
  <c r="Q132" i="24"/>
  <c r="P132" i="24"/>
  <c r="S131" i="24"/>
  <c r="R131" i="24"/>
  <c r="M131" i="24"/>
  <c r="Q131" i="24"/>
  <c r="P131" i="24"/>
  <c r="S130" i="24"/>
  <c r="R130" i="24"/>
  <c r="M130" i="24"/>
  <c r="Q130" i="24"/>
  <c r="P130" i="24"/>
  <c r="S129" i="24"/>
  <c r="R129" i="24"/>
  <c r="M129" i="24"/>
  <c r="Q129" i="24"/>
  <c r="P129" i="24"/>
  <c r="S128" i="24"/>
  <c r="R128" i="24"/>
  <c r="M128" i="24"/>
  <c r="Q128" i="24"/>
  <c r="P128" i="24"/>
  <c r="S127" i="24"/>
  <c r="R127" i="24"/>
  <c r="M127" i="24"/>
  <c r="Q127" i="24"/>
  <c r="P127" i="24"/>
  <c r="S126" i="24"/>
  <c r="R126" i="24"/>
  <c r="M126" i="24"/>
  <c r="Q126" i="24"/>
  <c r="P126" i="24"/>
  <c r="S125" i="24"/>
  <c r="R125" i="24"/>
  <c r="M125" i="24"/>
  <c r="Q125" i="24"/>
  <c r="P125" i="24"/>
  <c r="S124" i="24"/>
  <c r="R124" i="24"/>
  <c r="M124" i="24"/>
  <c r="Q124" i="24"/>
  <c r="P124" i="24"/>
  <c r="S123" i="24"/>
  <c r="R123" i="24"/>
  <c r="M123" i="24"/>
  <c r="Q123" i="24"/>
  <c r="P123" i="24"/>
  <c r="S122" i="24"/>
  <c r="R122" i="24"/>
  <c r="M122" i="24"/>
  <c r="Q122" i="24"/>
  <c r="P122" i="24"/>
  <c r="S121" i="24"/>
  <c r="R121" i="24"/>
  <c r="M121" i="24"/>
  <c r="Q121" i="24"/>
  <c r="P121" i="24"/>
  <c r="S120" i="24"/>
  <c r="R120" i="24"/>
  <c r="M120" i="24"/>
  <c r="Q120" i="24"/>
  <c r="P120" i="24"/>
  <c r="S119" i="24"/>
  <c r="R119" i="24"/>
  <c r="M119" i="24"/>
  <c r="Q119" i="24"/>
  <c r="P119" i="24"/>
  <c r="S118" i="24"/>
  <c r="R118" i="24"/>
  <c r="M118" i="24"/>
  <c r="Q118" i="24"/>
  <c r="P118" i="24"/>
  <c r="S117" i="24"/>
  <c r="R117" i="24"/>
  <c r="M117" i="24"/>
  <c r="Q117" i="24"/>
  <c r="P117" i="24"/>
  <c r="S116" i="24"/>
  <c r="R116" i="24"/>
  <c r="M116" i="24"/>
  <c r="Q116" i="24"/>
  <c r="P116" i="24"/>
  <c r="S115" i="24"/>
  <c r="R115" i="24"/>
  <c r="M115" i="24"/>
  <c r="Q115" i="24"/>
  <c r="P115" i="24"/>
  <c r="S114" i="24"/>
  <c r="R114" i="24"/>
  <c r="M114" i="24"/>
  <c r="Q114" i="24"/>
  <c r="P114" i="24"/>
  <c r="S113" i="24"/>
  <c r="R113" i="24"/>
  <c r="M113" i="24"/>
  <c r="Q113" i="24"/>
  <c r="P113" i="24"/>
  <c r="S112" i="24"/>
  <c r="R112" i="24"/>
  <c r="M112" i="24"/>
  <c r="Q112" i="24"/>
  <c r="P112" i="24"/>
  <c r="S111" i="24"/>
  <c r="R111" i="24"/>
  <c r="M111" i="24"/>
  <c r="Q111" i="24"/>
  <c r="P111" i="24"/>
  <c r="S110" i="24"/>
  <c r="R110" i="24"/>
  <c r="M110" i="24"/>
  <c r="Q110" i="24"/>
  <c r="P110" i="24"/>
  <c r="S109" i="24"/>
  <c r="R109" i="24"/>
  <c r="M109" i="24"/>
  <c r="Q109" i="24"/>
  <c r="P109" i="24"/>
  <c r="S108" i="24"/>
  <c r="R108" i="24"/>
  <c r="M108" i="24"/>
  <c r="Q108" i="24"/>
  <c r="P108" i="24"/>
  <c r="S107" i="24"/>
  <c r="R107" i="24"/>
  <c r="M107" i="24"/>
  <c r="Q107" i="24"/>
  <c r="P107" i="24"/>
  <c r="S106" i="24"/>
  <c r="R106" i="24"/>
  <c r="M106" i="24"/>
  <c r="Q106" i="24"/>
  <c r="P106" i="24"/>
  <c r="S105" i="24"/>
  <c r="R105" i="24"/>
  <c r="M105" i="24"/>
  <c r="Q105" i="24"/>
  <c r="P105" i="24"/>
  <c r="S104" i="24"/>
  <c r="R104" i="24"/>
  <c r="M104" i="24"/>
  <c r="Q104" i="24"/>
  <c r="P104" i="24"/>
  <c r="S103" i="24"/>
  <c r="R103" i="24"/>
  <c r="M103" i="24"/>
  <c r="Q103" i="24"/>
  <c r="P103" i="24"/>
  <c r="S102" i="24"/>
  <c r="R102" i="24"/>
  <c r="M102" i="24"/>
  <c r="Q102" i="24"/>
  <c r="P102" i="24"/>
  <c r="S101" i="24"/>
  <c r="R101" i="24"/>
  <c r="M101" i="24"/>
  <c r="Q101" i="24"/>
  <c r="P101" i="24"/>
  <c r="S100" i="24"/>
  <c r="R100" i="24"/>
  <c r="M100" i="24"/>
  <c r="Q100" i="24"/>
  <c r="P100" i="24"/>
  <c r="S99" i="24"/>
  <c r="R99" i="24"/>
  <c r="M99" i="24"/>
  <c r="Q99" i="24"/>
  <c r="P99" i="24"/>
  <c r="S98" i="24"/>
  <c r="R98" i="24"/>
  <c r="M98" i="24"/>
  <c r="Q98" i="24"/>
  <c r="P98" i="24"/>
  <c r="S97" i="24"/>
  <c r="R97" i="24"/>
  <c r="M97" i="24"/>
  <c r="Q97" i="24"/>
  <c r="P97" i="24"/>
  <c r="S96" i="24"/>
  <c r="R96" i="24"/>
  <c r="M96" i="24"/>
  <c r="Q96" i="24"/>
  <c r="P96" i="24"/>
  <c r="S95" i="24"/>
  <c r="R95" i="24"/>
  <c r="M95" i="24"/>
  <c r="Q95" i="24"/>
  <c r="P95" i="24"/>
  <c r="S94" i="24"/>
  <c r="R94" i="24"/>
  <c r="M94" i="24"/>
  <c r="Q94" i="24"/>
  <c r="P94" i="24"/>
  <c r="S93" i="24"/>
  <c r="R93" i="24"/>
  <c r="M93" i="24"/>
  <c r="Q93" i="24"/>
  <c r="P93" i="24"/>
  <c r="S92" i="24"/>
  <c r="R92" i="24"/>
  <c r="M92" i="24"/>
  <c r="Q92" i="24"/>
  <c r="P92" i="24"/>
  <c r="S91" i="24"/>
  <c r="R91" i="24"/>
  <c r="M91" i="24"/>
  <c r="Q91" i="24"/>
  <c r="P91" i="24"/>
  <c r="S90" i="24"/>
  <c r="R90" i="24"/>
  <c r="M90" i="24"/>
  <c r="Q90" i="24"/>
  <c r="P90" i="24"/>
  <c r="S89" i="24"/>
  <c r="R89" i="24"/>
  <c r="M89" i="24"/>
  <c r="Q89" i="24"/>
  <c r="P89" i="24"/>
  <c r="S88" i="24"/>
  <c r="R88" i="24"/>
  <c r="M88" i="24"/>
  <c r="Q88" i="24"/>
  <c r="P88" i="24"/>
  <c r="S87" i="24"/>
  <c r="R87" i="24"/>
  <c r="M87" i="24"/>
  <c r="Q87" i="24"/>
  <c r="P87" i="24"/>
  <c r="S86" i="24"/>
  <c r="R86" i="24"/>
  <c r="M86" i="24"/>
  <c r="Q86" i="24"/>
  <c r="P86" i="24"/>
  <c r="S85" i="24"/>
  <c r="R85" i="24"/>
  <c r="M85" i="24"/>
  <c r="Q85" i="24"/>
  <c r="P85" i="24"/>
  <c r="S84" i="24"/>
  <c r="R84" i="24"/>
  <c r="M84" i="24"/>
  <c r="Q84" i="24"/>
  <c r="P84" i="24"/>
  <c r="S83" i="24"/>
  <c r="R83" i="24"/>
  <c r="M83" i="24"/>
  <c r="Q83" i="24"/>
  <c r="P83" i="24"/>
  <c r="S82" i="24"/>
  <c r="R82" i="24"/>
  <c r="M82" i="24"/>
  <c r="Q82" i="24"/>
  <c r="P82" i="24"/>
  <c r="S81" i="24"/>
  <c r="R81" i="24"/>
  <c r="M81" i="24"/>
  <c r="Q81" i="24"/>
  <c r="P81" i="24"/>
  <c r="S80" i="24"/>
  <c r="R80" i="24"/>
  <c r="M80" i="24"/>
  <c r="Q80" i="24"/>
  <c r="P80" i="24"/>
  <c r="S79" i="24"/>
  <c r="R79" i="24"/>
  <c r="M79" i="24"/>
  <c r="Q79" i="24"/>
  <c r="P79" i="24"/>
  <c r="S78" i="24"/>
  <c r="R78" i="24"/>
  <c r="M78" i="24"/>
  <c r="Q78" i="24"/>
  <c r="P78" i="24"/>
  <c r="S77" i="24"/>
  <c r="R77" i="24"/>
  <c r="M77" i="24"/>
  <c r="Q77" i="24"/>
  <c r="P77" i="24"/>
  <c r="S76" i="24"/>
  <c r="R76" i="24"/>
  <c r="M76" i="24"/>
  <c r="Q76" i="24"/>
  <c r="P76" i="24"/>
  <c r="S75" i="24"/>
  <c r="R75" i="24"/>
  <c r="M75" i="24"/>
  <c r="Q75" i="24"/>
  <c r="P75" i="24"/>
  <c r="S74" i="24"/>
  <c r="R74" i="24"/>
  <c r="M74" i="24"/>
  <c r="Q74" i="24"/>
  <c r="P74" i="24"/>
  <c r="S73" i="24"/>
  <c r="R73" i="24"/>
  <c r="M73" i="24"/>
  <c r="Q73" i="24"/>
  <c r="P73" i="24"/>
  <c r="S72" i="24"/>
  <c r="R72" i="24"/>
  <c r="M72" i="24"/>
  <c r="Q72" i="24"/>
  <c r="P72" i="24"/>
  <c r="S71" i="24"/>
  <c r="R71" i="24"/>
  <c r="M71" i="24"/>
  <c r="Q71" i="24"/>
  <c r="P71" i="24"/>
  <c r="S70" i="24"/>
  <c r="R70" i="24"/>
  <c r="M70" i="24"/>
  <c r="Q70" i="24"/>
  <c r="P70" i="24"/>
  <c r="S69" i="24"/>
  <c r="R69" i="24"/>
  <c r="M69" i="24"/>
  <c r="Q69" i="24"/>
  <c r="P69" i="24"/>
  <c r="S68" i="24"/>
  <c r="R68" i="24"/>
  <c r="M68" i="24"/>
  <c r="Q68" i="24"/>
  <c r="P68" i="24"/>
  <c r="S67" i="24"/>
  <c r="R67" i="24"/>
  <c r="M67" i="24"/>
  <c r="Q67" i="24"/>
  <c r="P67" i="24"/>
  <c r="S66" i="24"/>
  <c r="R66" i="24"/>
  <c r="M66" i="24"/>
  <c r="Q66" i="24"/>
  <c r="P66" i="24"/>
  <c r="S65" i="24"/>
  <c r="R65" i="24"/>
  <c r="M65" i="24"/>
  <c r="Q65" i="24"/>
  <c r="P65" i="24"/>
  <c r="S64" i="24"/>
  <c r="R64" i="24"/>
  <c r="M64" i="24"/>
  <c r="Q64" i="24"/>
  <c r="P64" i="24"/>
  <c r="S63" i="24"/>
  <c r="R63" i="24"/>
  <c r="M63" i="24"/>
  <c r="Q63" i="24"/>
  <c r="P63" i="24"/>
  <c r="S62" i="24"/>
  <c r="R62" i="24"/>
  <c r="M62" i="24"/>
  <c r="Q62" i="24"/>
  <c r="P62" i="24"/>
  <c r="S61" i="24"/>
  <c r="R61" i="24"/>
  <c r="M61" i="24"/>
  <c r="Q61" i="24"/>
  <c r="P61" i="24"/>
  <c r="S60" i="24"/>
  <c r="R60" i="24"/>
  <c r="M60" i="24"/>
  <c r="Q60" i="24"/>
  <c r="P60" i="24"/>
  <c r="S59" i="24"/>
  <c r="R59" i="24"/>
  <c r="M59" i="24"/>
  <c r="Q59" i="24"/>
  <c r="P59" i="24"/>
  <c r="S58" i="24"/>
  <c r="R58" i="24"/>
  <c r="M58" i="24"/>
  <c r="Q58" i="24"/>
  <c r="P58" i="24"/>
  <c r="S57" i="24"/>
  <c r="R57" i="24"/>
  <c r="M57" i="24"/>
  <c r="Q57" i="24"/>
  <c r="P57" i="24"/>
  <c r="S56" i="24"/>
  <c r="R56" i="24"/>
  <c r="M56" i="24"/>
  <c r="Q56" i="24"/>
  <c r="P56" i="24"/>
  <c r="S55" i="24"/>
  <c r="R55" i="24"/>
  <c r="M55" i="24"/>
  <c r="Q55" i="24"/>
  <c r="P55" i="24"/>
  <c r="S54" i="24"/>
  <c r="R54" i="24"/>
  <c r="M54" i="24"/>
  <c r="Q54" i="24"/>
  <c r="P54" i="24"/>
  <c r="S53" i="24"/>
  <c r="R53" i="24"/>
  <c r="M53" i="24"/>
  <c r="Q53" i="24"/>
  <c r="P53" i="24"/>
  <c r="A15" i="24"/>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 r="A274" i="24" s="1"/>
  <c r="A275" i="24" s="1"/>
  <c r="A276" i="24" s="1"/>
  <c r="A277" i="24" s="1"/>
  <c r="A278" i="24" s="1"/>
  <c r="A279" i="24" s="1"/>
  <c r="A280" i="24" s="1"/>
  <c r="A281" i="24" s="1"/>
  <c r="A282" i="24" s="1"/>
  <c r="A283" i="24" s="1"/>
  <c r="A284" i="24" s="1"/>
  <c r="A285" i="24" s="1"/>
  <c r="A286" i="24" s="1"/>
  <c r="A287" i="24" s="1"/>
  <c r="A288" i="24" s="1"/>
  <c r="A289" i="24" s="1"/>
  <c r="A290" i="24" s="1"/>
  <c r="A291" i="24" s="1"/>
  <c r="A292" i="24" s="1"/>
  <c r="A293" i="24" s="1"/>
  <c r="A294" i="24" s="1"/>
  <c r="A295" i="24" s="1"/>
  <c r="A296" i="24" s="1"/>
  <c r="A297" i="24" s="1"/>
  <c r="A298" i="24" s="1"/>
  <c r="A299" i="24" s="1"/>
  <c r="A300" i="24" s="1"/>
  <c r="A301" i="24" s="1"/>
  <c r="A302" i="24" s="1"/>
  <c r="A303" i="24" s="1"/>
  <c r="A304" i="24" s="1"/>
  <c r="A305" i="24" s="1"/>
  <c r="A306" i="24" s="1"/>
  <c r="A307" i="24" s="1"/>
  <c r="A308" i="24" s="1"/>
  <c r="A309" i="24" s="1"/>
  <c r="A310" i="24" s="1"/>
  <c r="A311" i="24" s="1"/>
  <c r="A312" i="24" s="1"/>
  <c r="A313" i="24" s="1"/>
  <c r="A314" i="24" s="1"/>
  <c r="A315" i="24" s="1"/>
  <c r="A316" i="24" s="1"/>
  <c r="B2" i="24"/>
  <c r="Y354" i="23"/>
  <c r="Y366" i="23"/>
  <c r="X354" i="23"/>
  <c r="AB354" i="23"/>
  <c r="AA354" i="23"/>
  <c r="AB366" i="23"/>
  <c r="X366" i="23"/>
  <c r="AA366" i="23"/>
  <c r="AB10" i="24"/>
  <c r="AD13" i="24"/>
  <c r="AB361" i="23"/>
  <c r="X360" i="23"/>
  <c r="X357" i="23"/>
  <c r="Y379" i="23"/>
  <c r="Y377" i="23"/>
  <c r="Y359" i="23"/>
  <c r="AA351" i="23"/>
  <c r="AB358" i="23"/>
  <c r="Y362" i="23"/>
  <c r="AB347" i="23"/>
  <c r="AA363" i="23"/>
  <c r="X367" i="23"/>
  <c r="AB345" i="23"/>
  <c r="AA379" i="23"/>
  <c r="X355" i="23"/>
  <c r="AB371" i="23"/>
  <c r="AB379" i="23"/>
  <c r="AB368" i="23"/>
  <c r="Y369" i="23"/>
  <c r="Y345" i="23"/>
  <c r="X370" i="23"/>
  <c r="X346" i="23"/>
  <c r="AA345" i="23"/>
  <c r="AB377" i="23"/>
  <c r="Y376" i="23"/>
  <c r="AA298" i="23"/>
  <c r="AA369" i="23"/>
  <c r="AB367" i="23"/>
  <c r="AA347" i="23"/>
  <c r="AB357" i="23"/>
  <c r="AB359" i="23"/>
  <c r="X347" i="23"/>
  <c r="AA325" i="23"/>
  <c r="X358" i="23"/>
  <c r="AB378" i="23"/>
  <c r="Y371" i="23"/>
  <c r="X359" i="23"/>
  <c r="AA371" i="23"/>
  <c r="Y370" i="23"/>
  <c r="AA380" i="23"/>
  <c r="X362" i="23"/>
  <c r="Y346" i="23"/>
  <c r="Y367" i="23"/>
  <c r="AA376" i="23"/>
  <c r="AB346" i="23"/>
  <c r="AB302" i="23"/>
  <c r="AB355" i="23"/>
  <c r="X379" i="23"/>
  <c r="X368" i="23"/>
  <c r="AA357" i="23"/>
  <c r="Y298" i="23"/>
  <c r="X371" i="23"/>
  <c r="X363" i="23"/>
  <c r="Y348" i="23"/>
  <c r="AB376" i="23"/>
  <c r="X356" i="23"/>
  <c r="Y325" i="23"/>
  <c r="AA348" i="23"/>
  <c r="X378" i="23"/>
  <c r="AA360" i="23"/>
  <c r="Y358" i="23"/>
  <c r="AB351" i="23"/>
  <c r="AB360" i="23"/>
  <c r="AB325" i="23"/>
  <c r="Y347" i="23"/>
  <c r="AA377" i="23"/>
  <c r="X351" i="23"/>
  <c r="X353" i="23"/>
  <c r="X361" i="23"/>
  <c r="AA358" i="23"/>
  <c r="Y353" i="23"/>
  <c r="AA362" i="23"/>
  <c r="X376" i="23"/>
  <c r="AA368" i="23"/>
  <c r="Y363" i="23"/>
  <c r="AA353" i="23"/>
  <c r="Y355" i="23"/>
  <c r="AA378" i="23"/>
  <c r="AB353" i="23"/>
  <c r="AA361" i="23"/>
  <c r="Y351" i="23"/>
  <c r="AA302" i="23"/>
  <c r="X348" i="23"/>
  <c r="X369" i="23"/>
  <c r="Y361" i="23"/>
  <c r="X345" i="23"/>
  <c r="X377" i="23"/>
  <c r="X302" i="23"/>
  <c r="Y378" i="23"/>
  <c r="AB362" i="23"/>
  <c r="Y357" i="23"/>
  <c r="AB356" i="23"/>
  <c r="X298" i="23"/>
  <c r="AA355" i="23"/>
  <c r="Y368" i="23"/>
  <c r="AB298" i="23"/>
  <c r="AB380" i="23"/>
  <c r="AA367" i="23"/>
  <c r="AA370" i="23"/>
  <c r="AB370" i="23"/>
  <c r="AA346" i="23"/>
  <c r="AA356" i="23"/>
  <c r="AA359" i="23"/>
  <c r="Y360" i="23"/>
  <c r="Y356" i="23"/>
  <c r="AB348" i="23"/>
  <c r="X325" i="23"/>
  <c r="AB363" i="23"/>
  <c r="X380" i="23"/>
  <c r="Y380" i="23"/>
  <c r="Y302" i="23"/>
  <c r="AB369" i="23"/>
  <c r="AB6" i="23" l="1" a="1"/>
  <c r="AB6" i="23" s="1"/>
  <c r="X6" i="23" a="1"/>
  <c r="X6" i="23" s="1"/>
  <c r="AA6" i="23" a="1"/>
  <c r="AA6" i="23" s="1"/>
  <c r="Z363" i="23"/>
  <c r="R363" i="23" s="1"/>
  <c r="Z358" i="23"/>
  <c r="R358" i="23" s="1"/>
  <c r="Z377" i="23"/>
  <c r="R377" i="23" s="1"/>
  <c r="Z353" i="23"/>
  <c r="R353" i="23" s="1"/>
  <c r="Z380" i="23"/>
  <c r="R380" i="23" s="1"/>
  <c r="Z366" i="23"/>
  <c r="R366" i="23" s="1"/>
  <c r="Z347" i="23"/>
  <c r="R347" i="23" s="1"/>
  <c r="Z362" i="23"/>
  <c r="R362" i="23" s="1"/>
  <c r="Z378" i="23"/>
  <c r="R378" i="23" s="1"/>
  <c r="Z359" i="23"/>
  <c r="R359" i="23" s="1"/>
  <c r="Z369" i="23"/>
  <c r="R369" i="23" s="1"/>
  <c r="Z355" i="23"/>
  <c r="R355" i="23" s="1"/>
  <c r="Z356" i="23"/>
  <c r="R356" i="23" s="1"/>
  <c r="Z298" i="23"/>
  <c r="R298" i="23" s="1"/>
  <c r="Z348" i="23"/>
  <c r="R348" i="23" s="1"/>
  <c r="Z302" i="23"/>
  <c r="R302" i="23" s="1"/>
  <c r="Z367" i="23"/>
  <c r="R367" i="23" s="1"/>
  <c r="Z361" i="23"/>
  <c r="R361" i="23" s="1"/>
  <c r="Z360" i="23"/>
  <c r="R360" i="23" s="1"/>
  <c r="Z354" i="23"/>
  <c r="R354" i="23" s="1"/>
  <c r="Z368" i="23"/>
  <c r="R368" i="23" s="1"/>
  <c r="Z346" i="23"/>
  <c r="R346" i="23" s="1"/>
  <c r="Z376" i="23"/>
  <c r="R376" i="23" s="1"/>
  <c r="Z357" i="23"/>
  <c r="R357" i="23" s="1"/>
  <c r="Z325" i="23"/>
  <c r="R325" i="23" s="1"/>
  <c r="Z379" i="23"/>
  <c r="R379" i="23" s="1"/>
  <c r="Z370" i="23"/>
  <c r="R370" i="23" s="1"/>
  <c r="Z371" i="23"/>
  <c r="R371" i="23" s="1"/>
  <c r="Z351" i="23"/>
  <c r="R351" i="23" s="1"/>
  <c r="Z345" i="23"/>
  <c r="R345" i="23" s="1"/>
  <c r="AI13" i="24"/>
  <c r="AJ13" i="24"/>
  <c r="T13" i="24"/>
  <c r="W13" i="24"/>
  <c r="AG13" i="24"/>
  <c r="AH13" i="24" s="1"/>
  <c r="AL13" i="24" s="1"/>
  <c r="AL12" i="24"/>
  <c r="AL8" i="24"/>
  <c r="AH9" i="24"/>
  <c r="AL9" i="24" s="1"/>
  <c r="AH10" i="24"/>
  <c r="AL10" i="24" s="1"/>
  <c r="P10" i="24" s="1"/>
  <c r="AH11" i="24"/>
  <c r="AL11" i="24" s="1"/>
  <c r="J3" i="24"/>
  <c r="M3" i="24" s="1"/>
  <c r="R6" i="24" a="1"/>
  <c r="R6" i="24" s="1"/>
  <c r="N13" i="24"/>
  <c r="AA13" i="24"/>
  <c r="Z13" i="24"/>
  <c r="AB13" i="24"/>
  <c r="AC13" i="24"/>
  <c r="Z6" i="23" l="1" a="1"/>
  <c r="Z6" i="23" s="1"/>
  <c r="O13" i="24"/>
  <c r="E3" i="24"/>
  <c r="G3" i="24" l="1"/>
  <c r="H3" i="24"/>
  <c r="Y8" i="24" l="1"/>
  <c r="Y9" i="24"/>
  <c r="D3" i="3"/>
  <c r="AD9" i="24"/>
  <c r="V10" i="24" l="1"/>
  <c r="V11" i="24"/>
  <c r="W9" i="24"/>
  <c r="S9" i="24"/>
  <c r="T9" i="24" s="1"/>
  <c r="Z8" i="24"/>
  <c r="S8" i="24"/>
  <c r="T8" i="24" l="1"/>
  <c r="S6" i="24" a="1"/>
  <c r="S6" i="24" s="1"/>
  <c r="T6" i="24" s="1"/>
  <c r="D5" i="3"/>
  <c r="N9" i="24"/>
  <c r="Z9" i="24"/>
  <c r="AB9" i="24"/>
  <c r="AA9" i="24"/>
  <c r="AC9" i="24"/>
  <c r="AD10" i="24"/>
  <c r="O9" i="24" l="1"/>
  <c r="AC6" i="24"/>
  <c r="W10" i="24"/>
  <c r="AB6" i="24" a="1"/>
  <c r="AB6" i="24" s="1"/>
  <c r="AA10" i="24"/>
  <c r="Z10" i="24"/>
  <c r="AC10" i="24"/>
  <c r="AA6" i="24" l="1" a="1"/>
  <c r="AA6" i="24" s="1"/>
  <c r="Z6" i="24" a="1"/>
  <c r="Z6" i="24" s="1"/>
  <c r="DA29" i="21"/>
  <c r="DB29" i="21" s="1"/>
  <c r="DA28" i="21"/>
  <c r="DB28" i="21" s="1"/>
  <c r="CV7" i="21"/>
  <c r="CV8" i="21" s="1"/>
  <c r="CX8" i="21" s="1"/>
  <c r="CW3" i="21"/>
  <c r="DC8" i="21"/>
  <c r="DB8" i="21"/>
  <c r="DC7" i="21"/>
  <c r="DB7" i="21"/>
  <c r="CW7" i="21" l="1"/>
  <c r="CX7" i="21"/>
  <c r="CY7" i="21" s="1"/>
  <c r="CZ7" i="21" s="1"/>
  <c r="CW8" i="21"/>
  <c r="DD8" i="21"/>
  <c r="DD7" i="21"/>
  <c r="CV9" i="21"/>
  <c r="DC9" i="21"/>
  <c r="DB9" i="21"/>
  <c r="CX9" i="21" l="1"/>
  <c r="CW9" i="21"/>
  <c r="DD9" i="21"/>
  <c r="CY8" i="21"/>
  <c r="CZ8" i="21" s="1"/>
  <c r="CV10" i="21"/>
  <c r="AN7" i="23"/>
  <c r="DB10" i="21"/>
  <c r="DC10" i="21"/>
  <c r="AO7" i="23" l="1"/>
  <c r="CX10" i="21"/>
  <c r="CW10" i="21"/>
  <c r="DD10" i="21"/>
  <c r="CY9" i="21"/>
  <c r="CZ9" i="21" s="1"/>
  <c r="CV11" i="21"/>
  <c r="DC11" i="21"/>
  <c r="DB11" i="21"/>
  <c r="CW11" i="21" l="1"/>
  <c r="CX11" i="21"/>
  <c r="DD11" i="21"/>
  <c r="CY10" i="21"/>
  <c r="CZ10" i="21" s="1"/>
  <c r="CV12" i="21"/>
  <c r="DC12" i="21"/>
  <c r="DB12" i="21"/>
  <c r="CX12" i="21" l="1"/>
  <c r="CW12" i="21"/>
  <c r="CY12" i="21" s="1"/>
  <c r="CZ12" i="21" s="1"/>
  <c r="DD12" i="21"/>
  <c r="CY11" i="21"/>
  <c r="CZ11" i="21" s="1"/>
  <c r="CV13" i="21"/>
  <c r="DC13" i="21"/>
  <c r="DB13" i="21"/>
  <c r="CX13" i="21" l="1"/>
  <c r="CW13" i="21"/>
  <c r="CY13" i="21" s="1"/>
  <c r="CZ13" i="21" s="1"/>
  <c r="DD13" i="21"/>
  <c r="CV14" i="21"/>
  <c r="BI6" i="21"/>
  <c r="BP6" i="21"/>
  <c r="BH6" i="21"/>
  <c r="DC14" i="21"/>
  <c r="DB14" i="21"/>
  <c r="CX14" i="21" l="1"/>
  <c r="CW14" i="21"/>
  <c r="CY14" i="21" s="1"/>
  <c r="CZ14" i="21" s="1"/>
  <c r="DD14" i="21"/>
  <c r="CV15" i="21"/>
  <c r="AL123" i="21"/>
  <c r="AL122" i="21"/>
  <c r="AL121" i="21"/>
  <c r="AL120" i="21"/>
  <c r="AL119" i="21"/>
  <c r="AL118" i="21"/>
  <c r="AL117" i="21"/>
  <c r="AL116" i="21"/>
  <c r="AL115" i="21"/>
  <c r="AL114" i="21"/>
  <c r="AL113" i="21"/>
  <c r="AL112" i="21"/>
  <c r="AL111" i="21"/>
  <c r="AL110" i="21"/>
  <c r="AL109" i="21"/>
  <c r="AL108" i="21"/>
  <c r="AL107" i="21"/>
  <c r="AL106" i="21"/>
  <c r="AL105" i="21"/>
  <c r="AL104" i="21"/>
  <c r="AL103" i="21"/>
  <c r="AL102" i="21"/>
  <c r="AL101" i="21"/>
  <c r="AL100" i="21"/>
  <c r="AL99" i="21"/>
  <c r="AL98" i="21"/>
  <c r="AL97" i="21"/>
  <c r="AL96" i="21"/>
  <c r="AL95" i="21"/>
  <c r="AL94" i="21"/>
  <c r="AL93" i="21"/>
  <c r="AL92" i="21"/>
  <c r="AL91" i="21"/>
  <c r="AL90" i="21"/>
  <c r="AL89" i="21"/>
  <c r="AL88" i="21"/>
  <c r="AL87" i="21"/>
  <c r="AL86" i="21"/>
  <c r="AL85" i="21"/>
  <c r="AL84" i="21"/>
  <c r="AL83" i="21"/>
  <c r="AL82" i="21"/>
  <c r="AL81" i="21"/>
  <c r="AL80" i="21"/>
  <c r="AL79" i="21"/>
  <c r="AL78" i="21"/>
  <c r="AL77" i="21"/>
  <c r="AL76" i="21"/>
  <c r="AL75" i="21"/>
  <c r="AL74" i="21"/>
  <c r="AL73" i="21"/>
  <c r="AL72" i="21"/>
  <c r="AL71" i="21"/>
  <c r="AL70" i="21"/>
  <c r="AL69" i="21"/>
  <c r="AL68" i="21"/>
  <c r="AL67" i="21"/>
  <c r="AL66" i="21"/>
  <c r="AL65" i="21"/>
  <c r="AL64" i="21"/>
  <c r="AL63" i="21"/>
  <c r="DB15" i="21"/>
  <c r="DC15" i="21"/>
  <c r="P8" i="23" l="1"/>
  <c r="CW15" i="21"/>
  <c r="CX15" i="21"/>
  <c r="DD15" i="21"/>
  <c r="CV16" i="21"/>
  <c r="C48" i="5"/>
  <c r="DC16" i="21"/>
  <c r="DB16" i="21"/>
  <c r="H3" i="5"/>
  <c r="P24" i="23" l="1"/>
  <c r="P18" i="23"/>
  <c r="P13" i="23"/>
  <c r="P30" i="23"/>
  <c r="P29" i="23"/>
  <c r="P37" i="23"/>
  <c r="P12" i="23"/>
  <c r="P25" i="23"/>
  <c r="P35" i="23"/>
  <c r="P14" i="23"/>
  <c r="P22" i="23"/>
  <c r="P40" i="23"/>
  <c r="P41" i="23"/>
  <c r="P38" i="23"/>
  <c r="P16" i="23"/>
  <c r="P26" i="23"/>
  <c r="P36" i="23"/>
  <c r="P11" i="23"/>
  <c r="P21" i="23"/>
  <c r="P31" i="23"/>
  <c r="P20" i="23"/>
  <c r="P17" i="23"/>
  <c r="P28" i="23"/>
  <c r="P9" i="23"/>
  <c r="P32" i="23"/>
  <c r="P34" i="23"/>
  <c r="P10" i="23"/>
  <c r="P19" i="23"/>
  <c r="P42" i="23"/>
  <c r="P27" i="23"/>
  <c r="P39" i="23"/>
  <c r="P15" i="23"/>
  <c r="P23" i="23"/>
  <c r="P33" i="23"/>
  <c r="AJ8" i="23"/>
  <c r="AH8" i="23"/>
  <c r="CX16" i="21"/>
  <c r="CW16" i="21"/>
  <c r="DD16" i="21"/>
  <c r="CY15" i="21"/>
  <c r="CZ15" i="21" s="1"/>
  <c r="CV17" i="21"/>
  <c r="DB17" i="21"/>
  <c r="DC17" i="21"/>
  <c r="G3" i="23" l="1"/>
  <c r="AH15" i="23"/>
  <c r="AJ15" i="23"/>
  <c r="AH40" i="23"/>
  <c r="AJ40" i="23"/>
  <c r="AH30" i="23"/>
  <c r="AJ30" i="23"/>
  <c r="AJ13" i="23"/>
  <c r="AH13" i="23"/>
  <c r="AH39" i="23"/>
  <c r="AJ39" i="23"/>
  <c r="AJ42" i="23"/>
  <c r="AH42" i="23"/>
  <c r="AJ19" i="23"/>
  <c r="AH19" i="23"/>
  <c r="AJ20" i="23"/>
  <c r="AH20" i="23"/>
  <c r="AJ21" i="23"/>
  <c r="AH21" i="23"/>
  <c r="AH38" i="23"/>
  <c r="AJ38" i="23"/>
  <c r="AJ25" i="23"/>
  <c r="AH25" i="23"/>
  <c r="AJ26" i="23"/>
  <c r="AH26" i="23"/>
  <c r="AJ23" i="23"/>
  <c r="AH23" i="23"/>
  <c r="AJ34" i="23"/>
  <c r="AH34" i="23"/>
  <c r="AJ32" i="23"/>
  <c r="AH32" i="23"/>
  <c r="AJ17" i="23"/>
  <c r="AH17" i="23"/>
  <c r="AJ36" i="23"/>
  <c r="AH36" i="23"/>
  <c r="AJ22" i="23"/>
  <c r="AH22" i="23"/>
  <c r="AJ37" i="23"/>
  <c r="AH37" i="23"/>
  <c r="AJ24" i="23"/>
  <c r="AH24" i="23"/>
  <c r="AH14" i="23"/>
  <c r="AJ14" i="23"/>
  <c r="AJ33" i="23"/>
  <c r="AH33" i="23"/>
  <c r="AJ27" i="23"/>
  <c r="AH27" i="23"/>
  <c r="AJ10" i="23"/>
  <c r="AH10" i="23"/>
  <c r="AJ9" i="23"/>
  <c r="AH9" i="23"/>
  <c r="AJ28" i="23"/>
  <c r="AH28" i="23"/>
  <c r="AJ31" i="23"/>
  <c r="AH31" i="23"/>
  <c r="AH11" i="23"/>
  <c r="AJ11" i="23"/>
  <c r="AH16" i="23"/>
  <c r="AJ16" i="23"/>
  <c r="AH41" i="23"/>
  <c r="AJ41" i="23"/>
  <c r="AJ35" i="23"/>
  <c r="AH35" i="23"/>
  <c r="AH12" i="23"/>
  <c r="AJ12" i="23"/>
  <c r="AJ29" i="23"/>
  <c r="AH29" i="23"/>
  <c r="AH18" i="23"/>
  <c r="AJ18" i="23"/>
  <c r="CW17" i="21"/>
  <c r="CX17" i="21"/>
  <c r="DD17" i="21"/>
  <c r="CY16" i="21"/>
  <c r="CZ16" i="21" s="1"/>
  <c r="CV18" i="21"/>
  <c r="V9" i="10"/>
  <c r="P9" i="10"/>
  <c r="N9" i="10"/>
  <c r="W9" i="10" s="1"/>
  <c r="L9" i="10"/>
  <c r="K9" i="10"/>
  <c r="J9" i="10"/>
  <c r="I9" i="10"/>
  <c r="V8" i="10"/>
  <c r="P8" i="10"/>
  <c r="N8" i="10"/>
  <c r="W8" i="10" s="1"/>
  <c r="L8" i="10"/>
  <c r="K8" i="10"/>
  <c r="J8" i="10"/>
  <c r="I8" i="10"/>
  <c r="D2" i="10"/>
  <c r="Q7" i="10"/>
  <c r="DB18" i="21"/>
  <c r="Q6" i="10"/>
  <c r="Q8" i="10"/>
  <c r="Q9" i="10"/>
  <c r="Q4" i="10"/>
  <c r="Q2" i="10"/>
  <c r="Q3" i="10"/>
  <c r="Q5" i="10"/>
  <c r="DC18" i="21"/>
  <c r="CX18" i="21" l="1"/>
  <c r="CW18" i="21"/>
  <c r="CY18" i="21" s="1"/>
  <c r="CZ18" i="21" s="1"/>
  <c r="DD18" i="21"/>
  <c r="CV19" i="21"/>
  <c r="CY17" i="21"/>
  <c r="CZ17" i="21" s="1"/>
  <c r="P2" i="10"/>
  <c r="X8" i="10"/>
  <c r="U8" i="10"/>
  <c r="X9" i="10"/>
  <c r="U9" i="10"/>
  <c r="DC19" i="21"/>
  <c r="DB19" i="21"/>
  <c r="CX19" i="21" l="1"/>
  <c r="CW19" i="21"/>
  <c r="DD19" i="21"/>
  <c r="CV20" i="21"/>
  <c r="DC20" i="21"/>
  <c r="DB20" i="21"/>
  <c r="Q4" i="3" l="1"/>
  <c r="CX20" i="21"/>
  <c r="CW20" i="21"/>
  <c r="CY20" i="21" s="1"/>
  <c r="CZ20" i="21" s="1"/>
  <c r="DD20" i="21"/>
  <c r="CY19" i="21"/>
  <c r="CZ19" i="21" s="1"/>
  <c r="CV21" i="21"/>
  <c r="D36" i="5"/>
  <c r="D37" i="5" s="1"/>
  <c r="DB21" i="21"/>
  <c r="DC21" i="21"/>
  <c r="CW21" i="21" l="1"/>
  <c r="CX21" i="21"/>
  <c r="DD21" i="21"/>
  <c r="CV22" i="21"/>
  <c r="Q2" i="3"/>
  <c r="DB22" i="21"/>
  <c r="DC22" i="21"/>
  <c r="CY21" i="21" l="1"/>
  <c r="CZ21" i="21" s="1"/>
  <c r="CX22" i="21"/>
  <c r="CW22" i="21"/>
  <c r="CY22" i="21" s="1"/>
  <c r="CZ22" i="21" s="1"/>
  <c r="DD22" i="21"/>
  <c r="CV23" i="21"/>
  <c r="DB23" i="21"/>
  <c r="DC23" i="21"/>
  <c r="CX23" i="21" l="1"/>
  <c r="CW23" i="21"/>
  <c r="DD23" i="21"/>
  <c r="CV24" i="21"/>
  <c r="M7" i="9"/>
  <c r="N7" i="9"/>
  <c r="O7" i="9"/>
  <c r="P7" i="9"/>
  <c r="Q7" i="9"/>
  <c r="R7" i="9"/>
  <c r="M8" i="9"/>
  <c r="N8" i="9"/>
  <c r="O8" i="9"/>
  <c r="P8" i="9"/>
  <c r="Q8" i="9"/>
  <c r="R8" i="9"/>
  <c r="DB24" i="21"/>
  <c r="DC24" i="21"/>
  <c r="CX24" i="21" l="1"/>
  <c r="CW24" i="21"/>
  <c r="CY24" i="21" s="1"/>
  <c r="CZ24" i="21" s="1"/>
  <c r="DD24" i="21"/>
  <c r="CY23" i="21"/>
  <c r="CZ23" i="21" s="1"/>
  <c r="C41" i="5"/>
  <c r="M3" i="5" l="1"/>
  <c r="BQ6" i="21"/>
  <c r="BR6" i="21"/>
  <c r="BS6" i="21"/>
  <c r="BO6" i="21"/>
  <c r="BN6" i="21"/>
  <c r="BM6" i="21"/>
  <c r="BL6" i="21"/>
  <c r="BK6" i="21"/>
  <c r="BJ6" i="21"/>
  <c r="BG6" i="21"/>
  <c r="BF6" i="21"/>
  <c r="BE6" i="21"/>
  <c r="BD6" i="21"/>
  <c r="BC6" i="21"/>
  <c r="BA6" i="21" l="1"/>
  <c r="CM6" i="21" l="1"/>
  <c r="CL6" i="21"/>
  <c r="CK6" i="21"/>
  <c r="CJ6" i="21"/>
  <c r="CI6" i="21"/>
  <c r="CH6" i="21"/>
  <c r="CG6" i="21"/>
  <c r="CF6" i="21"/>
  <c r="CE6" i="21"/>
  <c r="CD6" i="21"/>
  <c r="CC6" i="21"/>
  <c r="CB6" i="21"/>
  <c r="CA6" i="21"/>
  <c r="CK54" i="21"/>
  <c r="CJ54" i="21"/>
  <c r="CI54" i="21"/>
  <c r="CH54" i="21"/>
  <c r="CG54" i="21"/>
  <c r="CF54" i="21"/>
  <c r="CE54" i="21"/>
  <c r="CD54" i="21"/>
  <c r="CK53" i="21"/>
  <c r="CJ53" i="21"/>
  <c r="CI53" i="21"/>
  <c r="CH53" i="21"/>
  <c r="CG53" i="21"/>
  <c r="CF53" i="21"/>
  <c r="CE53" i="21"/>
  <c r="CD53" i="21"/>
  <c r="CK52" i="21"/>
  <c r="CJ52" i="21"/>
  <c r="CI52" i="21"/>
  <c r="CH52" i="21"/>
  <c r="CG52" i="21"/>
  <c r="CF52" i="21"/>
  <c r="CE52" i="21"/>
  <c r="CD52" i="21"/>
  <c r="CK51" i="21"/>
  <c r="CJ51" i="21"/>
  <c r="CI51" i="21"/>
  <c r="CH51" i="21"/>
  <c r="CG51" i="21"/>
  <c r="CF51" i="21"/>
  <c r="CE51" i="21"/>
  <c r="CD51" i="21"/>
  <c r="CK50" i="21"/>
  <c r="CJ50" i="21"/>
  <c r="CI50" i="21"/>
  <c r="CH50" i="21"/>
  <c r="CG50" i="21"/>
  <c r="CF50" i="21"/>
  <c r="CE50" i="21"/>
  <c r="CD50" i="21"/>
  <c r="CK49" i="21"/>
  <c r="CJ49" i="21"/>
  <c r="CI49" i="21"/>
  <c r="CH49" i="21"/>
  <c r="CG49" i="21"/>
  <c r="CF49" i="21"/>
  <c r="CE49" i="21"/>
  <c r="CD49" i="21"/>
  <c r="CK48" i="21"/>
  <c r="CJ48" i="21"/>
  <c r="CI48" i="21"/>
  <c r="CH48" i="21"/>
  <c r="CG48" i="21"/>
  <c r="CF48" i="21"/>
  <c r="CE48" i="21"/>
  <c r="CD48" i="21"/>
  <c r="CK47" i="21"/>
  <c r="CJ47" i="21"/>
  <c r="CI47" i="21"/>
  <c r="CH47" i="21"/>
  <c r="CG47" i="21"/>
  <c r="CF47" i="21"/>
  <c r="CE47" i="21"/>
  <c r="CD47" i="21"/>
  <c r="CK46" i="21"/>
  <c r="CJ46" i="21"/>
  <c r="CI46" i="21"/>
  <c r="CH46" i="21"/>
  <c r="CG46" i="21"/>
  <c r="CF46" i="21"/>
  <c r="CE46" i="21"/>
  <c r="CD46" i="21"/>
  <c r="CK45" i="21"/>
  <c r="CJ45" i="21"/>
  <c r="CI45" i="21"/>
  <c r="CH45" i="21"/>
  <c r="CG45" i="21"/>
  <c r="CF45" i="21"/>
  <c r="CE45" i="21"/>
  <c r="CD45" i="21"/>
  <c r="CK44" i="21"/>
  <c r="CJ44" i="21"/>
  <c r="CI44" i="21"/>
  <c r="CH44" i="21"/>
  <c r="CG44" i="21"/>
  <c r="CF44" i="21"/>
  <c r="CE44" i="21"/>
  <c r="CD44" i="21"/>
  <c r="CK43" i="21"/>
  <c r="CJ43" i="21"/>
  <c r="CI43" i="21"/>
  <c r="CH43" i="21"/>
  <c r="CG43" i="21"/>
  <c r="CF43" i="21"/>
  <c r="CE43" i="21"/>
  <c r="CD43" i="21"/>
  <c r="CK42" i="21"/>
  <c r="CJ42" i="21"/>
  <c r="CI42" i="21"/>
  <c r="CH42" i="21"/>
  <c r="CG42" i="21"/>
  <c r="CF42" i="21"/>
  <c r="CE42" i="21"/>
  <c r="CD42" i="21"/>
  <c r="CK41" i="21"/>
  <c r="CJ41" i="21"/>
  <c r="CI41" i="21"/>
  <c r="CH41" i="21"/>
  <c r="CG41" i="21"/>
  <c r="CF41" i="21"/>
  <c r="CE41" i="21"/>
  <c r="CD41" i="21"/>
  <c r="CK40" i="21"/>
  <c r="CJ40" i="21"/>
  <c r="CI40" i="21"/>
  <c r="CH40" i="21"/>
  <c r="CG40" i="21"/>
  <c r="CF40" i="21"/>
  <c r="CE40" i="21"/>
  <c r="CD40" i="21"/>
  <c r="CK39" i="21"/>
  <c r="CJ39" i="21"/>
  <c r="CI39" i="21"/>
  <c r="CH39" i="21"/>
  <c r="CG39" i="21"/>
  <c r="CF39" i="21"/>
  <c r="CE39" i="21"/>
  <c r="CD39" i="21"/>
  <c r="CK38" i="21"/>
  <c r="CJ38" i="21"/>
  <c r="CI38" i="21"/>
  <c r="CH38" i="21"/>
  <c r="CG38" i="21"/>
  <c r="CF38" i="21"/>
  <c r="CE38" i="21"/>
  <c r="CD38" i="21"/>
  <c r="CK37" i="21"/>
  <c r="CJ37" i="21"/>
  <c r="CI37" i="21"/>
  <c r="CH37" i="21"/>
  <c r="CG37" i="21"/>
  <c r="CF37" i="21"/>
  <c r="CE37" i="21"/>
  <c r="CD37" i="21"/>
  <c r="CK36" i="21"/>
  <c r="CJ36" i="21"/>
  <c r="CI36" i="21"/>
  <c r="CH36" i="21"/>
  <c r="CG36" i="21"/>
  <c r="CF36" i="21"/>
  <c r="CE36" i="21"/>
  <c r="CD36" i="21"/>
  <c r="CK35" i="21"/>
  <c r="CJ35" i="21"/>
  <c r="CI35" i="21"/>
  <c r="CH35" i="21"/>
  <c r="CG35" i="21"/>
  <c r="CF35" i="21"/>
  <c r="CE35" i="21"/>
  <c r="CD35" i="21"/>
  <c r="CK34" i="21"/>
  <c r="CJ34" i="21"/>
  <c r="CI34" i="21"/>
  <c r="CH34" i="21"/>
  <c r="CG34" i="21"/>
  <c r="CF34" i="21"/>
  <c r="CE34" i="21"/>
  <c r="CD34" i="21"/>
  <c r="CK33" i="21"/>
  <c r="CJ33" i="21"/>
  <c r="CI33" i="21"/>
  <c r="CH33" i="21"/>
  <c r="CG33" i="21"/>
  <c r="CF33" i="21"/>
  <c r="CE33" i="21"/>
  <c r="CD33" i="21"/>
  <c r="CK32" i="21"/>
  <c r="CJ32" i="21"/>
  <c r="CI32" i="21"/>
  <c r="CH32" i="21"/>
  <c r="CG32" i="21"/>
  <c r="CF32" i="21"/>
  <c r="CE32" i="21"/>
  <c r="CD32" i="21"/>
  <c r="CK31" i="21"/>
  <c r="CJ31" i="21"/>
  <c r="CI31" i="21"/>
  <c r="CH31" i="21"/>
  <c r="CG31" i="21"/>
  <c r="CF31" i="21"/>
  <c r="CE31" i="21"/>
  <c r="CD31" i="21"/>
  <c r="CK30" i="21"/>
  <c r="CJ30" i="21"/>
  <c r="CI30" i="21"/>
  <c r="CH30" i="21"/>
  <c r="CG30" i="21"/>
  <c r="CF30" i="21"/>
  <c r="CE30" i="21"/>
  <c r="CD30" i="21"/>
  <c r="CK29" i="21"/>
  <c r="CJ29" i="21"/>
  <c r="CI29" i="21"/>
  <c r="CH29" i="21"/>
  <c r="CG29" i="21"/>
  <c r="CF29" i="21"/>
  <c r="CE29" i="21"/>
  <c r="CD29" i="21"/>
  <c r="CK28" i="21"/>
  <c r="CJ28" i="21"/>
  <c r="CI28" i="21"/>
  <c r="CH28" i="21"/>
  <c r="CG28" i="21"/>
  <c r="CF28" i="21"/>
  <c r="CE28" i="21"/>
  <c r="CD28" i="21"/>
  <c r="CK27" i="21"/>
  <c r="CJ27" i="21"/>
  <c r="CI27" i="21"/>
  <c r="CH27" i="21"/>
  <c r="CG27" i="21"/>
  <c r="CF27" i="21"/>
  <c r="CE27" i="21"/>
  <c r="CD27" i="21"/>
  <c r="CK26" i="21"/>
  <c r="CJ26" i="21"/>
  <c r="CI26" i="21"/>
  <c r="CH26" i="21"/>
  <c r="CG26" i="21"/>
  <c r="CF26" i="21"/>
  <c r="CE26" i="21"/>
  <c r="CD26" i="21"/>
  <c r="CK25" i="21"/>
  <c r="CJ25" i="21"/>
  <c r="CI25" i="21"/>
  <c r="CH25" i="21"/>
  <c r="CG25" i="21"/>
  <c r="CF25" i="21"/>
  <c r="CE25" i="21"/>
  <c r="CD25" i="21"/>
  <c r="CK24" i="21"/>
  <c r="CJ24" i="21"/>
  <c r="CI24" i="21"/>
  <c r="CH24" i="21"/>
  <c r="CG24" i="21"/>
  <c r="CF24" i="21"/>
  <c r="CE24" i="21"/>
  <c r="CD24" i="21"/>
  <c r="CK23" i="21"/>
  <c r="CJ23" i="21"/>
  <c r="CI23" i="21"/>
  <c r="CH23" i="21"/>
  <c r="CG23" i="21"/>
  <c r="CF23" i="21"/>
  <c r="CE23" i="21"/>
  <c r="CD23" i="21"/>
  <c r="CK22" i="21"/>
  <c r="CJ22" i="21"/>
  <c r="CI22" i="21"/>
  <c r="CH22" i="21"/>
  <c r="CG22" i="21"/>
  <c r="CF22" i="21"/>
  <c r="CE22" i="21"/>
  <c r="CD22" i="21"/>
  <c r="CK21" i="21"/>
  <c r="CJ21" i="21"/>
  <c r="CI21" i="21"/>
  <c r="CH21" i="21"/>
  <c r="CG21" i="21"/>
  <c r="CF21" i="21"/>
  <c r="CE21" i="21"/>
  <c r="CD21" i="21"/>
  <c r="CK20" i="21"/>
  <c r="CJ20" i="21"/>
  <c r="CI20" i="21"/>
  <c r="CH20" i="21"/>
  <c r="CG20" i="21"/>
  <c r="CF20" i="21"/>
  <c r="CE20" i="21"/>
  <c r="CD20" i="21"/>
  <c r="CK19" i="21"/>
  <c r="CJ19" i="21"/>
  <c r="CI19" i="21"/>
  <c r="CH19" i="21"/>
  <c r="CG19" i="21"/>
  <c r="CF19" i="21"/>
  <c r="CE19" i="21"/>
  <c r="CD19" i="21"/>
  <c r="CK18" i="21"/>
  <c r="CJ18" i="21"/>
  <c r="CI18" i="21"/>
  <c r="CH18" i="21"/>
  <c r="CG18" i="21"/>
  <c r="CF18" i="21"/>
  <c r="CE18" i="21"/>
  <c r="CD18" i="21"/>
  <c r="CK17" i="21"/>
  <c r="CJ17" i="21"/>
  <c r="CI17" i="21"/>
  <c r="CH17" i="21"/>
  <c r="CG17" i="21"/>
  <c r="CF17" i="21"/>
  <c r="CE17" i="21"/>
  <c r="CD17" i="21"/>
  <c r="CK16" i="21"/>
  <c r="CJ16" i="21"/>
  <c r="CI16" i="21"/>
  <c r="CH16" i="21"/>
  <c r="CG16" i="21"/>
  <c r="CF16" i="21"/>
  <c r="CE16" i="21"/>
  <c r="CD16" i="21"/>
  <c r="CK15" i="21"/>
  <c r="CJ15" i="21"/>
  <c r="CI15" i="21"/>
  <c r="CH15" i="21"/>
  <c r="CG15" i="21"/>
  <c r="CF15" i="21"/>
  <c r="CE15" i="21"/>
  <c r="CD15" i="21"/>
  <c r="CK14" i="21"/>
  <c r="CJ14" i="21"/>
  <c r="CI14" i="21"/>
  <c r="CH14" i="21"/>
  <c r="CG14" i="21"/>
  <c r="CF14" i="21"/>
  <c r="CE14" i="21"/>
  <c r="CD14" i="21"/>
  <c r="CK13" i="21"/>
  <c r="CJ13" i="21"/>
  <c r="CI13" i="21"/>
  <c r="CH13" i="21"/>
  <c r="CG13" i="21"/>
  <c r="CF13" i="21"/>
  <c r="CE13" i="21"/>
  <c r="CD13" i="21"/>
  <c r="CK12" i="21"/>
  <c r="CJ12" i="21"/>
  <c r="CI12" i="21"/>
  <c r="CH12" i="21"/>
  <c r="CG12" i="21"/>
  <c r="CF12" i="21"/>
  <c r="CE12" i="21"/>
  <c r="CD12" i="21"/>
  <c r="CK11" i="21"/>
  <c r="CJ11" i="21"/>
  <c r="CI11" i="21"/>
  <c r="CH11" i="21"/>
  <c r="CG11" i="21"/>
  <c r="CF11" i="21"/>
  <c r="CE11" i="21"/>
  <c r="CD11" i="21"/>
  <c r="CK10" i="21"/>
  <c r="CJ10" i="21"/>
  <c r="CI10" i="21"/>
  <c r="CH10" i="21"/>
  <c r="CG10" i="21"/>
  <c r="CF10" i="21"/>
  <c r="CE10" i="21"/>
  <c r="CD10" i="21"/>
  <c r="CK9" i="21"/>
  <c r="CJ9" i="21"/>
  <c r="CI9" i="21"/>
  <c r="CH9" i="21"/>
  <c r="CG9" i="21"/>
  <c r="CF9" i="21"/>
  <c r="CE9" i="21"/>
  <c r="CD9" i="21"/>
  <c r="CQ54" i="21"/>
  <c r="CP54" i="21"/>
  <c r="CO54" i="21"/>
  <c r="CN54" i="21"/>
  <c r="CQ53" i="21"/>
  <c r="CP53" i="21"/>
  <c r="CO53" i="21"/>
  <c r="CN53" i="21"/>
  <c r="CQ52" i="21"/>
  <c r="CP52" i="21"/>
  <c r="CO52" i="21"/>
  <c r="CN52" i="21"/>
  <c r="CQ51" i="21"/>
  <c r="CP51" i="21"/>
  <c r="CO51" i="21"/>
  <c r="CN51" i="21"/>
  <c r="CQ50" i="21"/>
  <c r="CP50" i="21"/>
  <c r="CO50" i="21"/>
  <c r="CN50" i="21"/>
  <c r="CQ49" i="21"/>
  <c r="CP49" i="21"/>
  <c r="CO49" i="21"/>
  <c r="CN49" i="21"/>
  <c r="CQ48" i="21"/>
  <c r="CP48" i="21"/>
  <c r="CO48" i="21"/>
  <c r="CN48" i="21"/>
  <c r="CQ47" i="21"/>
  <c r="CP47" i="21"/>
  <c r="CO47" i="21"/>
  <c r="CN47" i="21"/>
  <c r="CQ46" i="21"/>
  <c r="CP46" i="21"/>
  <c r="CO46" i="21"/>
  <c r="CN46" i="21"/>
  <c r="CQ45" i="21"/>
  <c r="CP45" i="21"/>
  <c r="CO45" i="21"/>
  <c r="CN45" i="21"/>
  <c r="CQ44" i="21"/>
  <c r="CP44" i="21"/>
  <c r="CO44" i="21"/>
  <c r="CN44" i="21"/>
  <c r="CQ43" i="21"/>
  <c r="CP43" i="21"/>
  <c r="CO43" i="21"/>
  <c r="CN43" i="21"/>
  <c r="CQ42" i="21"/>
  <c r="CP42" i="21"/>
  <c r="CO42" i="21"/>
  <c r="CN42" i="21"/>
  <c r="CQ41" i="21"/>
  <c r="CP41" i="21"/>
  <c r="CO41" i="21"/>
  <c r="CN41" i="21"/>
  <c r="CQ40" i="21"/>
  <c r="CP40" i="21"/>
  <c r="CO40" i="21"/>
  <c r="CN40" i="21"/>
  <c r="CQ39" i="21"/>
  <c r="CP39" i="21"/>
  <c r="CO39" i="21"/>
  <c r="CN39" i="21"/>
  <c r="CQ38" i="21"/>
  <c r="CP38" i="21"/>
  <c r="CO38" i="21"/>
  <c r="CN38" i="21"/>
  <c r="CQ37" i="21"/>
  <c r="CP37" i="21"/>
  <c r="CO37" i="21"/>
  <c r="CN37" i="21"/>
  <c r="CQ36" i="21"/>
  <c r="CP36" i="21"/>
  <c r="CO36" i="21"/>
  <c r="CN36" i="21"/>
  <c r="CQ35" i="21"/>
  <c r="CP35" i="21"/>
  <c r="CO35" i="21"/>
  <c r="CN35" i="21"/>
  <c r="CQ34" i="21"/>
  <c r="CP34" i="21"/>
  <c r="CO34" i="21"/>
  <c r="CN34" i="21"/>
  <c r="CQ33" i="21"/>
  <c r="CP33" i="21"/>
  <c r="CO33" i="21"/>
  <c r="CN33" i="21"/>
  <c r="CQ32" i="21"/>
  <c r="CP32" i="21"/>
  <c r="CO32" i="21"/>
  <c r="CN32" i="21"/>
  <c r="CQ31" i="21"/>
  <c r="CP31" i="21"/>
  <c r="CO31" i="21"/>
  <c r="CN31" i="21"/>
  <c r="CQ30" i="21"/>
  <c r="CP30" i="21"/>
  <c r="CO30" i="21"/>
  <c r="CN30" i="21"/>
  <c r="CQ29" i="21"/>
  <c r="CP29" i="21"/>
  <c r="CO29" i="21"/>
  <c r="CN29" i="21"/>
  <c r="CQ28" i="21"/>
  <c r="CP28" i="21"/>
  <c r="CO28" i="21"/>
  <c r="CN28" i="21"/>
  <c r="CQ27" i="21"/>
  <c r="CP27" i="21"/>
  <c r="CO27" i="21"/>
  <c r="CN27" i="21"/>
  <c r="CQ26" i="21"/>
  <c r="CP26" i="21"/>
  <c r="CO26" i="21"/>
  <c r="CN26" i="21"/>
  <c r="CQ25" i="21"/>
  <c r="CP25" i="21"/>
  <c r="CO25" i="21"/>
  <c r="CN25" i="21"/>
  <c r="CQ24" i="21"/>
  <c r="CP24" i="21"/>
  <c r="CO24" i="21"/>
  <c r="CN24" i="21"/>
  <c r="CQ23" i="21"/>
  <c r="CP23" i="21"/>
  <c r="CO23" i="21"/>
  <c r="CN23" i="21"/>
  <c r="CQ22" i="21"/>
  <c r="CP22" i="21"/>
  <c r="CO22" i="21"/>
  <c r="CN22" i="21"/>
  <c r="CQ21" i="21"/>
  <c r="CP21" i="21"/>
  <c r="CO21" i="21"/>
  <c r="CN21" i="21"/>
  <c r="CQ20" i="21"/>
  <c r="CP20" i="21"/>
  <c r="CO20" i="21"/>
  <c r="CN20" i="21"/>
  <c r="CQ19" i="21"/>
  <c r="CP19" i="21"/>
  <c r="CO19" i="21"/>
  <c r="CN19" i="21"/>
  <c r="CQ18" i="21"/>
  <c r="CP18" i="21"/>
  <c r="CO18" i="21"/>
  <c r="CN18" i="21"/>
  <c r="CQ17" i="21"/>
  <c r="CP17" i="21"/>
  <c r="CO17" i="21"/>
  <c r="CN17" i="21"/>
  <c r="CQ16" i="21"/>
  <c r="CP16" i="21"/>
  <c r="CO16" i="21"/>
  <c r="CN16" i="21"/>
  <c r="CQ15" i="21"/>
  <c r="CP15" i="21"/>
  <c r="CO15" i="21"/>
  <c r="CN15" i="21"/>
  <c r="CQ14" i="21"/>
  <c r="CP14" i="21"/>
  <c r="CO14" i="21"/>
  <c r="CN14" i="21"/>
  <c r="CQ13" i="21"/>
  <c r="CP13" i="21"/>
  <c r="CO13" i="21"/>
  <c r="CN13" i="21"/>
  <c r="CQ12" i="21"/>
  <c r="CP12" i="21"/>
  <c r="CO12" i="21"/>
  <c r="CN12" i="21"/>
  <c r="CQ11" i="21"/>
  <c r="CP11" i="21"/>
  <c r="CO11" i="21"/>
  <c r="CN11" i="21"/>
  <c r="CQ10" i="21"/>
  <c r="CP10" i="21"/>
  <c r="CO10" i="21"/>
  <c r="CN10" i="21"/>
  <c r="CQ9" i="21"/>
  <c r="CP9" i="21"/>
  <c r="CO9" i="21"/>
  <c r="CN9" i="21"/>
  <c r="BY1" i="21"/>
  <c r="BW9" i="21" s="1"/>
  <c r="BW10" i="21" l="1"/>
  <c r="BJ9" i="21"/>
  <c r="BW11" i="21" l="1"/>
  <c r="AZ10" i="21"/>
  <c r="BW12" i="21" l="1"/>
  <c r="BJ10" i="21"/>
  <c r="AZ11" i="21"/>
  <c r="BW13" i="21" l="1"/>
  <c r="BJ11" i="21"/>
  <c r="AZ12" i="21"/>
  <c r="BW14" i="21" l="1"/>
  <c r="AZ13" i="21"/>
  <c r="BJ12" i="21"/>
  <c r="BW15" i="21" l="1"/>
  <c r="AZ14" i="21"/>
  <c r="BJ14" i="21"/>
  <c r="BJ13" i="21"/>
  <c r="BW16" i="21" l="1"/>
  <c r="AZ15" i="21"/>
  <c r="BJ15" i="21"/>
  <c r="AZ16" i="21" l="1"/>
  <c r="BW17" i="21"/>
  <c r="BJ16" i="21"/>
  <c r="AZ17" i="21" l="1"/>
  <c r="AZ18" i="21" s="1"/>
  <c r="BO16" i="21"/>
  <c r="BW18" i="21"/>
  <c r="BJ17" i="21"/>
  <c r="AL62" i="21"/>
  <c r="AL61" i="21"/>
  <c r="AL60" i="21"/>
  <c r="AL59" i="21"/>
  <c r="AL58" i="21"/>
  <c r="AL57" i="21"/>
  <c r="AL56" i="21"/>
  <c r="AL55" i="21"/>
  <c r="AL54" i="21"/>
  <c r="AL53" i="21"/>
  <c r="AL52" i="21"/>
  <c r="AL51" i="21"/>
  <c r="AL50" i="21"/>
  <c r="AL49" i="21"/>
  <c r="AL48" i="21"/>
  <c r="AL47" i="21"/>
  <c r="AL46" i="21"/>
  <c r="AL45" i="21"/>
  <c r="AL44" i="21"/>
  <c r="AL43" i="21"/>
  <c r="AL42" i="21"/>
  <c r="AL41" i="21"/>
  <c r="AL40" i="21"/>
  <c r="AL39" i="21"/>
  <c r="AL38" i="21"/>
  <c r="AL37" i="21"/>
  <c r="AL36" i="21"/>
  <c r="AL35" i="21"/>
  <c r="AL34" i="21"/>
  <c r="AL33" i="21"/>
  <c r="AL32" i="21"/>
  <c r="AL31" i="21"/>
  <c r="AL30" i="21"/>
  <c r="AL29" i="21"/>
  <c r="AL28" i="21"/>
  <c r="AL27" i="21"/>
  <c r="AL26" i="21"/>
  <c r="AL25" i="21"/>
  <c r="AL24" i="21"/>
  <c r="AL23" i="21"/>
  <c r="AL22" i="21"/>
  <c r="AL21" i="21"/>
  <c r="AL20" i="21"/>
  <c r="AL19" i="21"/>
  <c r="AL18" i="21"/>
  <c r="AL17" i="21"/>
  <c r="AL16" i="21"/>
  <c r="AL15" i="21"/>
  <c r="AL14" i="21"/>
  <c r="AL13" i="21"/>
  <c r="AL12" i="21"/>
  <c r="AL11" i="21"/>
  <c r="AL10" i="21"/>
  <c r="AL9" i="21"/>
  <c r="AL8" i="21"/>
  <c r="AL7" i="21"/>
  <c r="AL6" i="21"/>
  <c r="AL5" i="21"/>
  <c r="AL4" i="21"/>
  <c r="AL3" i="21"/>
  <c r="AL2" i="21"/>
  <c r="BP3" i="21" l="1"/>
  <c r="BP18" i="21" s="1"/>
  <c r="BW19" i="21"/>
  <c r="BW20" i="21" s="1"/>
  <c r="BR3" i="21"/>
  <c r="BR18" i="21" s="1"/>
  <c r="BS3" i="21"/>
  <c r="BS18" i="21" s="1"/>
  <c r="BQ3" i="21"/>
  <c r="BQ18" i="21" s="1"/>
  <c r="BN3" i="21"/>
  <c r="CP3" i="21"/>
  <c r="CL3" i="21"/>
  <c r="CH3" i="21"/>
  <c r="CD3" i="21"/>
  <c r="BZ3" i="21"/>
  <c r="BL3" i="21"/>
  <c r="BL18" i="21" s="1"/>
  <c r="CR3" i="21"/>
  <c r="CJ3" i="21"/>
  <c r="CB3" i="21"/>
  <c r="CB18" i="21" s="1"/>
  <c r="BJ3" i="21"/>
  <c r="CM3" i="21"/>
  <c r="CM18" i="21" s="1"/>
  <c r="BM3" i="21"/>
  <c r="CO3" i="21"/>
  <c r="CK3" i="21"/>
  <c r="CG3" i="21"/>
  <c r="CC3" i="21"/>
  <c r="CC18" i="21" s="1"/>
  <c r="BK3" i="21"/>
  <c r="BK18" i="21" s="1"/>
  <c r="CN3" i="21"/>
  <c r="CF3" i="21"/>
  <c r="CQ3" i="21"/>
  <c r="CI3" i="21"/>
  <c r="CE3" i="21"/>
  <c r="CA3" i="21"/>
  <c r="CA18" i="21" s="1"/>
  <c r="BD3" i="21"/>
  <c r="BD18" i="21" s="1"/>
  <c r="BG3" i="21"/>
  <c r="BG18" i="21" s="1"/>
  <c r="BF3" i="21"/>
  <c r="BF18" i="21" s="1"/>
  <c r="BJ18" i="21"/>
  <c r="AP7" i="23"/>
  <c r="BI3" i="21"/>
  <c r="BE3" i="21"/>
  <c r="BU3" i="21"/>
  <c r="BH3" i="21"/>
  <c r="BT3" i="21"/>
  <c r="BT18" i="21" s="1"/>
  <c r="BC3" i="21"/>
  <c r="BO3" i="21"/>
  <c r="BO18" i="21" s="1"/>
  <c r="BI18" i="21"/>
  <c r="AZ19" i="21"/>
  <c r="CM19" i="21" l="1"/>
  <c r="H3" i="23"/>
  <c r="P3" i="23" s="1"/>
  <c r="CA19" i="21"/>
  <c r="CC19" i="21"/>
  <c r="CL19" i="21"/>
  <c r="CR20" i="21"/>
  <c r="CB19" i="21"/>
  <c r="BZ19" i="21"/>
  <c r="CL9" i="21"/>
  <c r="CL10" i="21"/>
  <c r="CL11" i="21"/>
  <c r="CL12" i="21"/>
  <c r="CL13" i="21"/>
  <c r="CL14" i="21"/>
  <c r="CL15" i="21"/>
  <c r="CL16" i="21"/>
  <c r="CL17" i="21"/>
  <c r="CR19" i="21"/>
  <c r="CB9" i="21"/>
  <c r="CB10" i="21"/>
  <c r="CB11" i="21"/>
  <c r="CB12" i="21"/>
  <c r="CB13" i="21"/>
  <c r="CB14" i="21"/>
  <c r="CB15" i="21"/>
  <c r="CB16" i="21"/>
  <c r="CB17" i="21"/>
  <c r="BZ9" i="21"/>
  <c r="BZ10" i="21"/>
  <c r="BZ11" i="21"/>
  <c r="BZ12" i="21"/>
  <c r="BZ13" i="21"/>
  <c r="BZ14" i="21"/>
  <c r="BZ15" i="21"/>
  <c r="BZ16" i="21"/>
  <c r="BZ17" i="21"/>
  <c r="CC9" i="21"/>
  <c r="CC10" i="21"/>
  <c r="CC11" i="21"/>
  <c r="CC12" i="21"/>
  <c r="CC13" i="21"/>
  <c r="CC14" i="21"/>
  <c r="CC15" i="21"/>
  <c r="CC16" i="21"/>
  <c r="CC17" i="21"/>
  <c r="CA9" i="21"/>
  <c r="CA10" i="21"/>
  <c r="CA11" i="21"/>
  <c r="CA12" i="21"/>
  <c r="CA13" i="21"/>
  <c r="CA14" i="21"/>
  <c r="CA15" i="21"/>
  <c r="CA16" i="21"/>
  <c r="CA17" i="21"/>
  <c r="CM9" i="21"/>
  <c r="CM10" i="21"/>
  <c r="CM11" i="21"/>
  <c r="CM12" i="21"/>
  <c r="CM13" i="21"/>
  <c r="CM14" i="21"/>
  <c r="CM15" i="21"/>
  <c r="CM16" i="21"/>
  <c r="CM17" i="21"/>
  <c r="CR9" i="21"/>
  <c r="CR10" i="21"/>
  <c r="CR11" i="21"/>
  <c r="CR12" i="21"/>
  <c r="CR13" i="21"/>
  <c r="CR14" i="21"/>
  <c r="CR15" i="21"/>
  <c r="CR16" i="21"/>
  <c r="CR17" i="21"/>
  <c r="CL18" i="21"/>
  <c r="BZ18" i="21"/>
  <c r="CR18" i="21"/>
  <c r="BK9" i="21"/>
  <c r="BK10" i="21"/>
  <c r="BK11" i="21"/>
  <c r="BK12" i="21"/>
  <c r="BK13" i="21"/>
  <c r="BK14" i="21"/>
  <c r="BK15" i="21"/>
  <c r="BK16" i="21"/>
  <c r="BK17" i="21"/>
  <c r="BL9" i="21"/>
  <c r="BL10" i="21"/>
  <c r="BL11" i="21"/>
  <c r="BL12" i="21"/>
  <c r="BL13" i="21"/>
  <c r="BL14" i="21"/>
  <c r="BL15" i="21"/>
  <c r="BL16" i="21"/>
  <c r="BL17" i="21"/>
  <c r="BM9" i="21"/>
  <c r="BM10" i="21"/>
  <c r="BM11" i="21"/>
  <c r="BM12" i="21"/>
  <c r="BM13" i="21"/>
  <c r="BM14" i="21"/>
  <c r="BM15" i="21"/>
  <c r="BM17" i="21"/>
  <c r="BM16" i="21"/>
  <c r="BN19" i="21"/>
  <c r="BM19" i="21"/>
  <c r="BM18" i="21"/>
  <c r="BN9" i="21"/>
  <c r="BN10" i="21"/>
  <c r="BN11" i="21"/>
  <c r="BN12" i="21"/>
  <c r="BN13" i="21"/>
  <c r="BN14" i="21"/>
  <c r="BN15" i="21"/>
  <c r="BN17" i="21"/>
  <c r="BN16" i="21"/>
  <c r="BN18" i="21"/>
  <c r="CL20" i="21"/>
  <c r="CM20" i="21"/>
  <c r="BW21" i="21"/>
  <c r="CR21" i="21" s="1"/>
  <c r="CC20" i="21"/>
  <c r="BZ20" i="21"/>
  <c r="CB20" i="21"/>
  <c r="CA20" i="21"/>
  <c r="BK19" i="21"/>
  <c r="BL19" i="21"/>
  <c r="BJ19" i="21"/>
  <c r="AQ7" i="23"/>
  <c r="BS9" i="21"/>
  <c r="BS10" i="21"/>
  <c r="BS11" i="21"/>
  <c r="BS13" i="21"/>
  <c r="BS12" i="21"/>
  <c r="BS14" i="21"/>
  <c r="BS15" i="21"/>
  <c r="BS16" i="21"/>
  <c r="BS17" i="21"/>
  <c r="BU9" i="21"/>
  <c r="BU10" i="21"/>
  <c r="BU11" i="21"/>
  <c r="BU13" i="21"/>
  <c r="BU12" i="21"/>
  <c r="BU14" i="21"/>
  <c r="BU15" i="21"/>
  <c r="BU16" i="21"/>
  <c r="BU17" i="21"/>
  <c r="BU18" i="21"/>
  <c r="BE9" i="21"/>
  <c r="BE10" i="21"/>
  <c r="BE11" i="21"/>
  <c r="BE13" i="21"/>
  <c r="BE12" i="21"/>
  <c r="BE14" i="21"/>
  <c r="BE15" i="21"/>
  <c r="BE16" i="21"/>
  <c r="BE17" i="21"/>
  <c r="BE18" i="21"/>
  <c r="BF9" i="21"/>
  <c r="BF10" i="21"/>
  <c r="BF11" i="21"/>
  <c r="BF13" i="21"/>
  <c r="BF12" i="21"/>
  <c r="BF14" i="21"/>
  <c r="BF15" i="21"/>
  <c r="BF16" i="21"/>
  <c r="BF17" i="21"/>
  <c r="BG9" i="21"/>
  <c r="BG10" i="21"/>
  <c r="BG11" i="21"/>
  <c r="BG13" i="21"/>
  <c r="BG12" i="21"/>
  <c r="BG14" i="21"/>
  <c r="BG15" i="21"/>
  <c r="BG16" i="21"/>
  <c r="BG17" i="21"/>
  <c r="BH9" i="21"/>
  <c r="BH10" i="21"/>
  <c r="BH11" i="21"/>
  <c r="BH12" i="21"/>
  <c r="BH13" i="21"/>
  <c r="BH14" i="21"/>
  <c r="BH15" i="21"/>
  <c r="BH16" i="21"/>
  <c r="BH17" i="21"/>
  <c r="BI9" i="21"/>
  <c r="BI10" i="21"/>
  <c r="BI11" i="21"/>
  <c r="BI12" i="21"/>
  <c r="BI13" i="21"/>
  <c r="BI14" i="21"/>
  <c r="BI15" i="21"/>
  <c r="BI16" i="21"/>
  <c r="BI17" i="21"/>
  <c r="BT9" i="21"/>
  <c r="BT10" i="21"/>
  <c r="BT11" i="21"/>
  <c r="BT13" i="21"/>
  <c r="BT12" i="21"/>
  <c r="BT14" i="21"/>
  <c r="BT15" i="21"/>
  <c r="BT16" i="21"/>
  <c r="BT17" i="21"/>
  <c r="BD9" i="21"/>
  <c r="BD10" i="21"/>
  <c r="BD11" i="21"/>
  <c r="BD13" i="21"/>
  <c r="BD12" i="21"/>
  <c r="BD14" i="21"/>
  <c r="BD15" i="21"/>
  <c r="BD16" i="21"/>
  <c r="BD17" i="21"/>
  <c r="BH18" i="21"/>
  <c r="BO9" i="21"/>
  <c r="BO10" i="21"/>
  <c r="BO11" i="21"/>
  <c r="BO12" i="21"/>
  <c r="BO13" i="21"/>
  <c r="BO14" i="21"/>
  <c r="BO15" i="21"/>
  <c r="BO17" i="21"/>
  <c r="BP9" i="21"/>
  <c r="BP10" i="21"/>
  <c r="BP11" i="21"/>
  <c r="BP13" i="21"/>
  <c r="BP12" i="21"/>
  <c r="BP14" i="21"/>
  <c r="BP15" i="21"/>
  <c r="BP16" i="21"/>
  <c r="BP17" i="21"/>
  <c r="BQ9" i="21"/>
  <c r="BQ10" i="21"/>
  <c r="BQ11" i="21"/>
  <c r="BQ12" i="21"/>
  <c r="BQ13" i="21"/>
  <c r="BQ14" i="21"/>
  <c r="BQ15" i="21"/>
  <c r="BQ16" i="21"/>
  <c r="BQ17" i="21"/>
  <c r="BR9" i="21"/>
  <c r="BR10" i="21"/>
  <c r="BR11" i="21"/>
  <c r="BR13" i="21"/>
  <c r="BR12" i="21"/>
  <c r="BR14" i="21"/>
  <c r="BR15" i="21"/>
  <c r="BR16" i="21"/>
  <c r="BR17" i="21"/>
  <c r="BC9" i="21"/>
  <c r="BC10" i="21"/>
  <c r="BC11" i="21"/>
  <c r="BC13" i="21"/>
  <c r="BC12" i="21"/>
  <c r="BC14" i="21"/>
  <c r="BC15" i="21"/>
  <c r="BC16" i="21"/>
  <c r="BC17" i="21"/>
  <c r="BC18" i="21"/>
  <c r="BS19" i="21"/>
  <c r="BO19" i="21"/>
  <c r="BF19" i="21"/>
  <c r="BR19" i="21"/>
  <c r="BH19" i="21"/>
  <c r="BC19" i="21"/>
  <c r="BQ19" i="21"/>
  <c r="BE19" i="21"/>
  <c r="BU19" i="21"/>
  <c r="BT19" i="21"/>
  <c r="BP19" i="21"/>
  <c r="BD19" i="21"/>
  <c r="BI19" i="21"/>
  <c r="BG19" i="21"/>
  <c r="AZ20" i="21"/>
  <c r="B16" i="21"/>
  <c r="U1" i="21"/>
  <c r="V1" i="21" s="1"/>
  <c r="W1" i="21" s="1"/>
  <c r="X1" i="21" s="1"/>
  <c r="Y1" i="21" s="1"/>
  <c r="Z1" i="21" s="1"/>
  <c r="AA1" i="21" s="1"/>
  <c r="AB1" i="21" s="1"/>
  <c r="AC1" i="21" s="1"/>
  <c r="AD1" i="21" s="1"/>
  <c r="AE1" i="21" s="1"/>
  <c r="AF1" i="21" s="1"/>
  <c r="AG1" i="21" s="1"/>
  <c r="B2" i="21"/>
  <c r="BX18" i="21" l="1"/>
  <c r="BX19" i="21"/>
  <c r="BX17" i="21"/>
  <c r="BX13" i="21"/>
  <c r="BX9" i="21"/>
  <c r="BX16" i="21"/>
  <c r="BX12" i="21"/>
  <c r="BX15" i="21"/>
  <c r="BX11" i="21"/>
  <c r="BX14" i="21"/>
  <c r="BX10" i="21"/>
  <c r="BN20" i="21"/>
  <c r="BM20" i="21"/>
  <c r="CL21" i="21"/>
  <c r="CM21" i="21"/>
  <c r="BX20" i="21"/>
  <c r="BW22" i="21"/>
  <c r="CR22" i="21" s="1"/>
  <c r="CC21" i="21"/>
  <c r="CB21" i="21"/>
  <c r="CA21" i="21"/>
  <c r="BZ21" i="21"/>
  <c r="BA16" i="21"/>
  <c r="BL20" i="21"/>
  <c r="BK20" i="21"/>
  <c r="BJ20" i="21"/>
  <c r="AR7" i="23"/>
  <c r="BA13" i="21"/>
  <c r="BA19" i="21"/>
  <c r="BA11" i="21"/>
  <c r="BA18" i="21"/>
  <c r="BA14" i="21"/>
  <c r="BA10" i="21"/>
  <c r="BA15" i="21"/>
  <c r="BA17" i="21"/>
  <c r="BA12" i="21"/>
  <c r="BA9" i="21"/>
  <c r="BU20" i="21"/>
  <c r="BQ20" i="21"/>
  <c r="BH20" i="21"/>
  <c r="BD20" i="21"/>
  <c r="BT20" i="21"/>
  <c r="BO20" i="21"/>
  <c r="BE20" i="21"/>
  <c r="BI20" i="21"/>
  <c r="BS20" i="21"/>
  <c r="BC20" i="21"/>
  <c r="BG20" i="21"/>
  <c r="BF20" i="21"/>
  <c r="BR20" i="21"/>
  <c r="BP20" i="21"/>
  <c r="AZ21" i="21"/>
  <c r="AI62" i="21"/>
  <c r="AI58" i="21"/>
  <c r="AI61" i="21"/>
  <c r="AI57" i="21"/>
  <c r="AI53" i="21"/>
  <c r="AI60" i="21"/>
  <c r="AI56" i="21"/>
  <c r="AI55" i="21"/>
  <c r="AI54" i="21"/>
  <c r="AI47" i="21"/>
  <c r="AI59" i="21"/>
  <c r="AI51" i="21"/>
  <c r="AI50" i="21"/>
  <c r="AI46" i="21"/>
  <c r="AI52" i="21"/>
  <c r="AI48" i="21"/>
  <c r="AI41" i="21"/>
  <c r="AI49" i="21"/>
  <c r="AI44" i="21"/>
  <c r="AI43" i="21"/>
  <c r="AI39" i="21"/>
  <c r="AI45" i="21"/>
  <c r="AI40" i="21"/>
  <c r="AI34" i="21"/>
  <c r="AI30" i="21"/>
  <c r="AI26" i="21"/>
  <c r="AI22" i="21"/>
  <c r="AI38" i="21"/>
  <c r="AI37" i="21"/>
  <c r="AI33" i="21"/>
  <c r="AI29" i="21"/>
  <c r="AI25" i="21"/>
  <c r="AI21" i="21"/>
  <c r="AI36" i="21"/>
  <c r="AI32" i="21"/>
  <c r="AI28" i="21"/>
  <c r="AI24" i="21"/>
  <c r="AI20" i="21"/>
  <c r="AI35" i="21"/>
  <c r="AI19" i="21"/>
  <c r="AI18" i="21"/>
  <c r="AI15" i="21"/>
  <c r="AI9" i="21"/>
  <c r="AI42" i="21"/>
  <c r="AI31" i="21"/>
  <c r="AI17" i="21"/>
  <c r="AI14" i="21"/>
  <c r="AI10" i="21"/>
  <c r="B5" i="21"/>
  <c r="AI27" i="21"/>
  <c r="AI16" i="21"/>
  <c r="AI12" i="21"/>
  <c r="AI11" i="21"/>
  <c r="AI8" i="21"/>
  <c r="AI6" i="21"/>
  <c r="AI4" i="21"/>
  <c r="AI13" i="21"/>
  <c r="AI23" i="21"/>
  <c r="AI2" i="21"/>
  <c r="AI7" i="21"/>
  <c r="AI5" i="21"/>
  <c r="AI3" i="21"/>
  <c r="AJ13" i="21" l="1"/>
  <c r="AJ5" i="21"/>
  <c r="AJ11" i="21"/>
  <c r="BN21" i="21"/>
  <c r="BM21" i="21"/>
  <c r="AJ2" i="21"/>
  <c r="F2" i="21" s="1"/>
  <c r="AJ6" i="21"/>
  <c r="AJ16" i="21"/>
  <c r="CL22" i="21"/>
  <c r="CM22" i="21"/>
  <c r="BX21" i="21"/>
  <c r="BW23" i="21"/>
  <c r="CR23" i="21" s="1"/>
  <c r="CC22" i="21"/>
  <c r="CB22" i="21"/>
  <c r="CA22" i="21"/>
  <c r="BZ22" i="21"/>
  <c r="BK21" i="21"/>
  <c r="BJ21" i="21"/>
  <c r="BL21" i="21"/>
  <c r="AS7" i="23"/>
  <c r="BA20" i="21"/>
  <c r="BS21" i="21"/>
  <c r="BO21" i="21"/>
  <c r="BF21" i="21"/>
  <c r="BQ21" i="21"/>
  <c r="BG21" i="21"/>
  <c r="BU21" i="21"/>
  <c r="BE21" i="21"/>
  <c r="BP21" i="21"/>
  <c r="BT21" i="21"/>
  <c r="BD21" i="21"/>
  <c r="BI21" i="21"/>
  <c r="BH21" i="21"/>
  <c r="BR21" i="21"/>
  <c r="BC21" i="21"/>
  <c r="AZ22" i="21"/>
  <c r="AJ3" i="21"/>
  <c r="AJ23" i="21"/>
  <c r="AJ8" i="21"/>
  <c r="AJ7" i="21"/>
  <c r="AJ4" i="21"/>
  <c r="AJ12" i="21"/>
  <c r="AJ10" i="21"/>
  <c r="AJ42" i="21"/>
  <c r="AJ19" i="21"/>
  <c r="AJ28" i="21"/>
  <c r="AJ25" i="21"/>
  <c r="AJ38" i="21"/>
  <c r="AJ34" i="21"/>
  <c r="AJ43" i="21"/>
  <c r="AJ48" i="21"/>
  <c r="AJ51" i="21"/>
  <c r="AJ55" i="21"/>
  <c r="AJ57" i="21"/>
  <c r="AJ14" i="21"/>
  <c r="AJ9" i="21"/>
  <c r="AJ35" i="21"/>
  <c r="AJ32" i="21"/>
  <c r="AJ29" i="21"/>
  <c r="AJ22" i="21"/>
  <c r="AJ40" i="21"/>
  <c r="AJ44" i="21"/>
  <c r="AJ52" i="21"/>
  <c r="AJ59" i="21"/>
  <c r="AJ56" i="21"/>
  <c r="AJ61" i="21"/>
  <c r="AJ27" i="21"/>
  <c r="AJ17" i="21"/>
  <c r="AJ15" i="21"/>
  <c r="AJ20" i="21"/>
  <c r="AJ36" i="21"/>
  <c r="AJ33" i="21"/>
  <c r="AJ26" i="21"/>
  <c r="AJ45" i="21"/>
  <c r="AJ49" i="21"/>
  <c r="AJ46" i="21"/>
  <c r="AJ47" i="21"/>
  <c r="AJ60" i="21"/>
  <c r="AJ58" i="21"/>
  <c r="AJ31" i="21"/>
  <c r="AJ18" i="21"/>
  <c r="AJ24" i="21"/>
  <c r="AJ21" i="21"/>
  <c r="AJ37" i="21"/>
  <c r="AJ30" i="21"/>
  <c r="AJ39" i="21"/>
  <c r="AJ41" i="21"/>
  <c r="AJ50" i="21"/>
  <c r="AJ54" i="21"/>
  <c r="AJ53" i="21"/>
  <c r="AJ62" i="21"/>
  <c r="D151" i="5"/>
  <c r="D152" i="5" s="1"/>
  <c r="D153" i="5" s="1"/>
  <c r="D154" i="5" s="1"/>
  <c r="D155" i="5" s="1"/>
  <c r="D156" i="5" s="1"/>
  <c r="D157" i="5" s="1"/>
  <c r="D158" i="5" s="1"/>
  <c r="D159" i="5" s="1"/>
  <c r="D160" i="5" s="1"/>
  <c r="D161" i="5" s="1"/>
  <c r="D162" i="5" s="1"/>
  <c r="D163" i="5" s="1"/>
  <c r="D164" i="5" s="1"/>
  <c r="D165" i="5" s="1"/>
  <c r="D166" i="5" s="1"/>
  <c r="D167" i="5" s="1"/>
  <c r="D168" i="5" s="1"/>
  <c r="D169" i="5" s="1"/>
  <c r="D170" i="5" s="1"/>
  <c r="D171" i="5" s="1"/>
  <c r="D172" i="5" s="1"/>
  <c r="D173" i="5" s="1"/>
  <c r="D174" i="5" s="1"/>
  <c r="D175" i="5" s="1"/>
  <c r="D176" i="5" s="1"/>
  <c r="D177" i="5" s="1"/>
  <c r="D178" i="5" s="1"/>
  <c r="D179" i="5" s="1"/>
  <c r="D180" i="5" s="1"/>
  <c r="D181" i="5" s="1"/>
  <c r="D182" i="5" s="1"/>
  <c r="D183" i="5" s="1"/>
  <c r="C162" i="5"/>
  <c r="BN22" i="21" l="1"/>
  <c r="BM22" i="21"/>
  <c r="CL23" i="21"/>
  <c r="CM23" i="21"/>
  <c r="BX22" i="21"/>
  <c r="BW24" i="21"/>
  <c r="CR24" i="21" s="1"/>
  <c r="CC23" i="21"/>
  <c r="CB23" i="21"/>
  <c r="CA23" i="21"/>
  <c r="BZ23" i="21"/>
  <c r="BJ22" i="21"/>
  <c r="BK22" i="21"/>
  <c r="BL22" i="21"/>
  <c r="AT7" i="23"/>
  <c r="BA21" i="21"/>
  <c r="BU22" i="21"/>
  <c r="BQ22" i="21"/>
  <c r="BH22" i="21"/>
  <c r="BD22" i="21"/>
  <c r="BS22" i="21"/>
  <c r="BI22" i="21"/>
  <c r="BC22" i="21"/>
  <c r="BR22" i="21"/>
  <c r="BG22" i="21"/>
  <c r="BP22" i="21"/>
  <c r="BT22" i="21"/>
  <c r="BO22" i="21"/>
  <c r="BF22" i="21"/>
  <c r="BE22" i="21"/>
  <c r="AZ23" i="21"/>
  <c r="BM23" i="21" s="1"/>
  <c r="E2" i="21"/>
  <c r="C7" i="9"/>
  <c r="D7" i="9"/>
  <c r="E7" i="9"/>
  <c r="F7" i="9"/>
  <c r="G7" i="9"/>
  <c r="H7" i="9"/>
  <c r="I7" i="9"/>
  <c r="J7" i="9"/>
  <c r="BN23" i="21" l="1"/>
  <c r="BO23" i="21"/>
  <c r="CL24" i="21"/>
  <c r="CM24" i="21"/>
  <c r="BX23" i="21"/>
  <c r="BW25" i="21"/>
  <c r="CR25" i="21" s="1"/>
  <c r="CC24" i="21"/>
  <c r="BZ24" i="21"/>
  <c r="CB24" i="21"/>
  <c r="CA24" i="21"/>
  <c r="BL23" i="21"/>
  <c r="BK23" i="21"/>
  <c r="BJ23" i="21"/>
  <c r="AU7" i="23"/>
  <c r="BA22" i="21"/>
  <c r="BS23" i="21"/>
  <c r="BF23" i="21"/>
  <c r="BU23" i="21"/>
  <c r="BP23" i="21"/>
  <c r="BE23" i="21"/>
  <c r="BI23" i="21"/>
  <c r="BT23" i="21"/>
  <c r="BD23" i="21"/>
  <c r="BH23" i="21"/>
  <c r="BC23" i="21"/>
  <c r="BG23" i="21"/>
  <c r="BR23" i="21"/>
  <c r="BQ23" i="21"/>
  <c r="AZ24" i="21"/>
  <c r="G2" i="21"/>
  <c r="H2" i="21" s="1"/>
  <c r="C84" i="5"/>
  <c r="C47" i="5"/>
  <c r="B7" i="6"/>
  <c r="B8" i="6" s="1"/>
  <c r="B9" i="6" s="1"/>
  <c r="B10" i="6" s="1"/>
  <c r="B11" i="6" s="1"/>
  <c r="B12" i="6" s="1"/>
  <c r="B13" i="6" s="1"/>
  <c r="B14" i="6" s="1"/>
  <c r="B15" i="6" s="1"/>
  <c r="B16" i="6" s="1"/>
  <c r="B17" i="6" s="1"/>
  <c r="B18" i="6" s="1"/>
  <c r="B19" i="6" s="1"/>
  <c r="B20" i="6" s="1"/>
  <c r="B21" i="6" s="1"/>
  <c r="B22" i="6" s="1"/>
  <c r="B23" i="6" s="1"/>
  <c r="B24" i="6" s="1"/>
  <c r="B25" i="6" s="1"/>
  <c r="B26" i="6" s="1"/>
  <c r="X3" i="6"/>
  <c r="X4" i="6" s="1"/>
  <c r="E4" i="19"/>
  <c r="O3" i="9"/>
  <c r="N3" i="9"/>
  <c r="R4" i="9"/>
  <c r="Q4" i="9"/>
  <c r="P4" i="9"/>
  <c r="O4" i="9"/>
  <c r="N4" i="9"/>
  <c r="M4" i="9"/>
  <c r="R3" i="9"/>
  <c r="Q3" i="9"/>
  <c r="P3" i="9"/>
  <c r="M3" i="9"/>
  <c r="BN24" i="21" l="1"/>
  <c r="BM24" i="21"/>
  <c r="CL25" i="21"/>
  <c r="CM25" i="21"/>
  <c r="BX24" i="21"/>
  <c r="BW26" i="21"/>
  <c r="CR26" i="21" s="1"/>
  <c r="CC25" i="21"/>
  <c r="BZ25" i="21"/>
  <c r="CB25" i="21"/>
  <c r="CA25" i="21"/>
  <c r="BL24" i="21"/>
  <c r="BJ24" i="21"/>
  <c r="BK24" i="21"/>
  <c r="AV7" i="23"/>
  <c r="BA23" i="21"/>
  <c r="BU24" i="21"/>
  <c r="BQ24" i="21"/>
  <c r="BH24" i="21"/>
  <c r="BD24" i="21"/>
  <c r="BR24" i="21"/>
  <c r="BG24" i="21"/>
  <c r="BF24" i="21"/>
  <c r="BP24" i="21"/>
  <c r="BT24" i="21"/>
  <c r="BE24" i="21"/>
  <c r="BO24" i="21"/>
  <c r="BI24" i="21"/>
  <c r="BS24" i="21"/>
  <c r="BC24" i="21"/>
  <c r="AZ25" i="21"/>
  <c r="I2" i="21"/>
  <c r="J2" i="21"/>
  <c r="L2" i="21" s="1"/>
  <c r="M2" i="21" s="1"/>
  <c r="BN25" i="21" l="1"/>
  <c r="BM25" i="21"/>
  <c r="CL26" i="21"/>
  <c r="CM26" i="21"/>
  <c r="BX25" i="21"/>
  <c r="BW27" i="21"/>
  <c r="CR27" i="21" s="1"/>
  <c r="CC26" i="21"/>
  <c r="BZ26" i="21"/>
  <c r="CB26" i="21"/>
  <c r="CA26" i="21"/>
  <c r="BK25" i="21"/>
  <c r="BJ25" i="21"/>
  <c r="BL25" i="21"/>
  <c r="AW7" i="23"/>
  <c r="BA24" i="21"/>
  <c r="BS25" i="21"/>
  <c r="BO25" i="21"/>
  <c r="BF25" i="21"/>
  <c r="BT25" i="21"/>
  <c r="BI25" i="21"/>
  <c r="BD25" i="21"/>
  <c r="BR25" i="21"/>
  <c r="BH25" i="21"/>
  <c r="BC25" i="21"/>
  <c r="BQ25" i="21"/>
  <c r="BU25" i="21"/>
  <c r="BP25" i="21"/>
  <c r="BG25" i="21"/>
  <c r="BE25" i="21"/>
  <c r="AZ26" i="21"/>
  <c r="E3" i="19"/>
  <c r="BN26" i="21" l="1"/>
  <c r="BM26" i="21"/>
  <c r="BX26" i="21"/>
  <c r="CL27" i="21"/>
  <c r="CM27" i="21"/>
  <c r="BW28" i="21"/>
  <c r="CR28" i="21" s="1"/>
  <c r="CC27" i="21"/>
  <c r="CB27" i="21"/>
  <c r="CA27" i="21"/>
  <c r="BZ27" i="21"/>
  <c r="BJ26" i="21"/>
  <c r="BL26" i="21"/>
  <c r="BK26" i="21"/>
  <c r="AX7" i="23"/>
  <c r="BA25" i="21"/>
  <c r="BU26" i="21"/>
  <c r="BQ26" i="21"/>
  <c r="BH26" i="21"/>
  <c r="BD26" i="21"/>
  <c r="BP26" i="21"/>
  <c r="BF26" i="21"/>
  <c r="BE26" i="21"/>
  <c r="BT26" i="21"/>
  <c r="BO26" i="21"/>
  <c r="BI26" i="21"/>
  <c r="BC26" i="21"/>
  <c r="BG26" i="21"/>
  <c r="BS26" i="21"/>
  <c r="BR26" i="21"/>
  <c r="AZ27" i="21"/>
  <c r="A10" i="23" l="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BN27" i="21"/>
  <c r="BM27" i="21"/>
  <c r="CL28" i="21"/>
  <c r="CM28" i="21"/>
  <c r="BX27" i="21"/>
  <c r="BW29" i="21"/>
  <c r="CR29" i="21" s="1"/>
  <c r="CC28" i="21"/>
  <c r="CB28" i="21"/>
  <c r="CA28" i="21"/>
  <c r="BZ28" i="21"/>
  <c r="BL27" i="21"/>
  <c r="BJ27" i="21"/>
  <c r="BK27" i="21"/>
  <c r="AY7" i="23"/>
  <c r="BA26" i="21"/>
  <c r="BS27" i="21"/>
  <c r="BO27" i="21"/>
  <c r="BF27" i="21"/>
  <c r="BR27" i="21"/>
  <c r="BH27" i="21"/>
  <c r="BC27" i="21"/>
  <c r="BQ27" i="21"/>
  <c r="BG27" i="21"/>
  <c r="BU27" i="21"/>
  <c r="BE27" i="21"/>
  <c r="BP27" i="21"/>
  <c r="BI27" i="21"/>
  <c r="BT27" i="21"/>
  <c r="BD27" i="21"/>
  <c r="AZ28" i="21"/>
  <c r="B11" i="21"/>
  <c r="A52" i="23" l="1"/>
  <c r="BN28" i="21"/>
  <c r="BM28" i="21"/>
  <c r="CL29" i="21"/>
  <c r="CM29" i="21"/>
  <c r="BX28" i="21"/>
  <c r="BW30" i="21"/>
  <c r="CR30" i="21" s="1"/>
  <c r="CC29" i="21"/>
  <c r="BZ29" i="21"/>
  <c r="CB29" i="21"/>
  <c r="CA29" i="21"/>
  <c r="BL28" i="21"/>
  <c r="BK28" i="21"/>
  <c r="BJ28" i="21"/>
  <c r="AZ7" i="23"/>
  <c r="BA27" i="21"/>
  <c r="BU28" i="21"/>
  <c r="BQ28" i="21"/>
  <c r="BH28" i="21"/>
  <c r="BD28" i="21"/>
  <c r="BT28" i="21"/>
  <c r="BO28" i="21"/>
  <c r="BE28" i="21"/>
  <c r="BS28" i="21"/>
  <c r="BI28" i="21"/>
  <c r="BC28" i="21"/>
  <c r="BR28" i="21"/>
  <c r="BP28" i="21"/>
  <c r="BG28" i="21"/>
  <c r="BF28" i="21"/>
  <c r="AZ29" i="21"/>
  <c r="A53" i="23" l="1"/>
  <c r="A54" i="23" s="1"/>
  <c r="A55" i="23" s="1"/>
  <c r="A56" i="23" s="1"/>
  <c r="A57" i="23" s="1"/>
  <c r="A58" i="23" s="1"/>
  <c r="A59" i="23" s="1"/>
  <c r="A60" i="23" s="1"/>
  <c r="A61" i="23" s="1"/>
  <c r="A62" i="23" s="1"/>
  <c r="BN29" i="21"/>
  <c r="BM29" i="21"/>
  <c r="CL30" i="21"/>
  <c r="CM30" i="21"/>
  <c r="BX29" i="21"/>
  <c r="BW31" i="21"/>
  <c r="CR31" i="21" s="1"/>
  <c r="CC30" i="21"/>
  <c r="BZ30" i="21"/>
  <c r="CB30" i="21"/>
  <c r="CA30" i="21"/>
  <c r="BK29" i="21"/>
  <c r="BJ29" i="21"/>
  <c r="BL29" i="21"/>
  <c r="BA7" i="23"/>
  <c r="BA28" i="21"/>
  <c r="BS29" i="21"/>
  <c r="BO29" i="21"/>
  <c r="BF29" i="21"/>
  <c r="BQ29" i="21"/>
  <c r="BG29" i="21"/>
  <c r="BU29" i="21"/>
  <c r="BP29" i="21"/>
  <c r="BE29" i="21"/>
  <c r="BI29" i="21"/>
  <c r="BD29" i="21"/>
  <c r="BC29" i="21"/>
  <c r="BH29" i="21"/>
  <c r="BT29" i="21"/>
  <c r="BR29" i="21"/>
  <c r="AZ30" i="21"/>
  <c r="A63" i="23" l="1"/>
  <c r="A64" i="23" s="1"/>
  <c r="BN30" i="21"/>
  <c r="BM30" i="21"/>
  <c r="CL31" i="21"/>
  <c r="CM31" i="21"/>
  <c r="BX30" i="21"/>
  <c r="BW32" i="21"/>
  <c r="CR32" i="21" s="1"/>
  <c r="CC31" i="21"/>
  <c r="CB31" i="21"/>
  <c r="CA31" i="21"/>
  <c r="BZ31" i="21"/>
  <c r="BJ30" i="21"/>
  <c r="BK30" i="21"/>
  <c r="BL30" i="21"/>
  <c r="BB7" i="23"/>
  <c r="BA29" i="21"/>
  <c r="BU30" i="21"/>
  <c r="BQ30" i="21"/>
  <c r="BH30" i="21"/>
  <c r="BD30" i="21"/>
  <c r="BS30" i="21"/>
  <c r="BI30" i="21"/>
  <c r="BC30" i="21"/>
  <c r="BR30" i="21"/>
  <c r="BG30" i="21"/>
  <c r="BF30" i="21"/>
  <c r="BP30" i="21"/>
  <c r="BO30" i="21"/>
  <c r="BT30" i="21"/>
  <c r="BE30" i="21"/>
  <c r="AZ31" i="21"/>
  <c r="A65" i="23" l="1"/>
  <c r="A66" i="23" s="1"/>
  <c r="BN31" i="21"/>
  <c r="BM31" i="21"/>
  <c r="CL32" i="21"/>
  <c r="CM32" i="21"/>
  <c r="BX31" i="21"/>
  <c r="BW33" i="21"/>
  <c r="CR33" i="21" s="1"/>
  <c r="CC32" i="21"/>
  <c r="BZ32" i="21"/>
  <c r="CB32" i="21"/>
  <c r="CA32" i="21"/>
  <c r="BL31" i="21"/>
  <c r="BK31" i="21"/>
  <c r="BJ31" i="21"/>
  <c r="BC7" i="23"/>
  <c r="BA30" i="21"/>
  <c r="BS31" i="21"/>
  <c r="BO31" i="21"/>
  <c r="BF31" i="21"/>
  <c r="BR31" i="21"/>
  <c r="BH31" i="21"/>
  <c r="BC31" i="21"/>
  <c r="BT31" i="21"/>
  <c r="BG31" i="21"/>
  <c r="BQ31" i="21"/>
  <c r="BE31" i="21"/>
  <c r="BD31" i="21"/>
  <c r="BU31" i="21"/>
  <c r="BP31" i="21"/>
  <c r="BI31" i="21"/>
  <c r="AZ32" i="21"/>
  <c r="A67" i="23" l="1"/>
  <c r="BN32" i="21"/>
  <c r="BM32" i="21"/>
  <c r="CL33" i="21"/>
  <c r="CM33" i="21"/>
  <c r="BX32" i="21"/>
  <c r="BW34" i="21"/>
  <c r="CR34" i="21" s="1"/>
  <c r="CC33" i="21"/>
  <c r="CB33" i="21"/>
  <c r="CA33" i="21"/>
  <c r="BZ33" i="21"/>
  <c r="BL32" i="21"/>
  <c r="BJ32" i="21"/>
  <c r="BK32" i="21"/>
  <c r="BA31" i="21"/>
  <c r="BD7" i="23"/>
  <c r="BU32" i="21"/>
  <c r="BQ32" i="21"/>
  <c r="BH32" i="21"/>
  <c r="BD32" i="21"/>
  <c r="BT32" i="21"/>
  <c r="BO32" i="21"/>
  <c r="BE32" i="21"/>
  <c r="BS32" i="21"/>
  <c r="BG32" i="21"/>
  <c r="BR32" i="21"/>
  <c r="BF32" i="21"/>
  <c r="BC32" i="21"/>
  <c r="BP32" i="21"/>
  <c r="BI32" i="21"/>
  <c r="AZ33" i="21"/>
  <c r="A68" i="23" l="1"/>
  <c r="BN33" i="21"/>
  <c r="BM33" i="21"/>
  <c r="CL34" i="21"/>
  <c r="CM34" i="21"/>
  <c r="BX33" i="21"/>
  <c r="BW35" i="21"/>
  <c r="CR35" i="21" s="1"/>
  <c r="CC34" i="21"/>
  <c r="BZ34" i="21"/>
  <c r="CB34" i="21"/>
  <c r="CA34" i="21"/>
  <c r="BK33" i="21"/>
  <c r="BJ33" i="21"/>
  <c r="BL33" i="21"/>
  <c r="BE7" i="23"/>
  <c r="BA32" i="21"/>
  <c r="BS33" i="21"/>
  <c r="BO33" i="21"/>
  <c r="BF33" i="21"/>
  <c r="BQ33" i="21"/>
  <c r="BG33" i="21"/>
  <c r="BT33" i="21"/>
  <c r="BH33" i="21"/>
  <c r="BR33" i="21"/>
  <c r="BE33" i="21"/>
  <c r="BD33" i="21"/>
  <c r="BP33" i="21"/>
  <c r="BI33" i="21"/>
  <c r="BU33" i="21"/>
  <c r="BC33" i="21"/>
  <c r="AZ34" i="21"/>
  <c r="A69" i="23" l="1"/>
  <c r="BN34" i="21"/>
  <c r="BM34" i="21"/>
  <c r="BX34" i="21"/>
  <c r="CL35" i="21"/>
  <c r="CM35" i="21"/>
  <c r="BW36" i="21"/>
  <c r="CR36" i="21" s="1"/>
  <c r="CC35" i="21"/>
  <c r="CB35" i="21"/>
  <c r="CA35" i="21"/>
  <c r="BZ35" i="21"/>
  <c r="BJ34" i="21"/>
  <c r="BL34" i="21"/>
  <c r="BK34" i="21"/>
  <c r="BF7" i="23"/>
  <c r="BA33" i="21"/>
  <c r="BS34" i="21"/>
  <c r="BO34" i="21"/>
  <c r="BR34" i="21"/>
  <c r="BI34" i="21"/>
  <c r="BU34" i="21"/>
  <c r="BQ34" i="21"/>
  <c r="BH34" i="21"/>
  <c r="BD34" i="21"/>
  <c r="BP34" i="21"/>
  <c r="BC34" i="21"/>
  <c r="BG34" i="21"/>
  <c r="BF34" i="21"/>
  <c r="BE34" i="21"/>
  <c r="BT34" i="21"/>
  <c r="AZ35" i="21"/>
  <c r="C35" i="5"/>
  <c r="D38" i="5"/>
  <c r="D74" i="5"/>
  <c r="D111" i="5"/>
  <c r="C112" i="5" s="1"/>
  <c r="AE11" i="5"/>
  <c r="AE26" i="5"/>
  <c r="AE25" i="5"/>
  <c r="AE23" i="5"/>
  <c r="AE19" i="5"/>
  <c r="AE17" i="5"/>
  <c r="AE15" i="5"/>
  <c r="AE13" i="5"/>
  <c r="AE10" i="5"/>
  <c r="AE31" i="5" s="1"/>
  <c r="AE7" i="5"/>
  <c r="AG5" i="5"/>
  <c r="C3" i="6"/>
  <c r="AG23" i="5"/>
  <c r="AG22" i="5"/>
  <c r="G5" i="5"/>
  <c r="AG21" i="5"/>
  <c r="AG24" i="5"/>
  <c r="AG25" i="5"/>
  <c r="C45" i="5"/>
  <c r="A70" i="23" l="1"/>
  <c r="A71" i="23" s="1"/>
  <c r="A72" i="23" s="1"/>
  <c r="BN35" i="21"/>
  <c r="BM35" i="21"/>
  <c r="E35" i="5"/>
  <c r="F35" i="5" s="1"/>
  <c r="CL36" i="21"/>
  <c r="CM36" i="21"/>
  <c r="BX35" i="21"/>
  <c r="BW37" i="21"/>
  <c r="CR37" i="21" s="1"/>
  <c r="CC36" i="21"/>
  <c r="BZ36" i="21"/>
  <c r="CB36" i="21"/>
  <c r="CA36" i="21"/>
  <c r="BL35" i="21"/>
  <c r="BJ35" i="21"/>
  <c r="BK35" i="21"/>
  <c r="BG7" i="23"/>
  <c r="BA34" i="21"/>
  <c r="BU35" i="21"/>
  <c r="BQ35" i="21"/>
  <c r="BH35" i="21"/>
  <c r="BD35" i="21"/>
  <c r="BT35" i="21"/>
  <c r="BP35" i="21"/>
  <c r="BG35" i="21"/>
  <c r="BC35" i="21"/>
  <c r="BS35" i="21"/>
  <c r="BO35" i="21"/>
  <c r="BF35" i="21"/>
  <c r="BR35" i="21"/>
  <c r="BI35" i="21"/>
  <c r="BE35" i="21"/>
  <c r="AZ36" i="21"/>
  <c r="C72" i="5"/>
  <c r="D75" i="5"/>
  <c r="D39" i="5"/>
  <c r="D112" i="5"/>
  <c r="D113" i="5" s="1"/>
  <c r="D114" i="5" s="1"/>
  <c r="D115" i="5" s="1"/>
  <c r="D116" i="5" s="1"/>
  <c r="D117" i="5" s="1"/>
  <c r="D118" i="5" s="1"/>
  <c r="D119" i="5" s="1"/>
  <c r="D120" i="5" s="1"/>
  <c r="D121" i="5" s="1"/>
  <c r="D122" i="5" s="1"/>
  <c r="D123" i="5" s="1"/>
  <c r="D124" i="5" s="1"/>
  <c r="D125" i="5" s="1"/>
  <c r="D126" i="5" s="1"/>
  <c r="D127" i="5" s="1"/>
  <c r="D128" i="5" s="1"/>
  <c r="D129" i="5" s="1"/>
  <c r="D130" i="5" s="1"/>
  <c r="D131" i="5" s="1"/>
  <c r="D132" i="5" s="1"/>
  <c r="D133" i="5" s="1"/>
  <c r="D134" i="5" s="1"/>
  <c r="D135" i="5" s="1"/>
  <c r="D136" i="5" s="1"/>
  <c r="D137" i="5" s="1"/>
  <c r="D138" i="5" s="1"/>
  <c r="D139" i="5" s="1"/>
  <c r="D140" i="5" s="1"/>
  <c r="D141" i="5" s="1"/>
  <c r="D142" i="5" s="1"/>
  <c r="L5" i="5"/>
  <c r="AE29" i="5"/>
  <c r="AE27" i="5"/>
  <c r="AE30" i="5"/>
  <c r="M4" i="5"/>
  <c r="Q5" i="5"/>
  <c r="E166" i="5"/>
  <c r="E165" i="5"/>
  <c r="E38" i="5"/>
  <c r="E155" i="5"/>
  <c r="E163" i="5"/>
  <c r="E154" i="5"/>
  <c r="E158" i="5"/>
  <c r="E167" i="5"/>
  <c r="E160" i="5"/>
  <c r="E153" i="5"/>
  <c r="E161" i="5"/>
  <c r="E152" i="5"/>
  <c r="E162" i="5"/>
  <c r="E159" i="5"/>
  <c r="C82" i="5"/>
  <c r="E156" i="5"/>
  <c r="E157" i="5"/>
  <c r="E164" i="5"/>
  <c r="E37" i="5"/>
  <c r="A73" i="23" l="1"/>
  <c r="A74" i="23" s="1"/>
  <c r="A75" i="23" s="1"/>
  <c r="A76" i="23" s="1"/>
  <c r="E36" i="5"/>
  <c r="E73" i="5" s="1"/>
  <c r="E110" i="5" s="1"/>
  <c r="BN36" i="21"/>
  <c r="BM36" i="21"/>
  <c r="BX36" i="21"/>
  <c r="CL37" i="21"/>
  <c r="CM37" i="21"/>
  <c r="BW38" i="21"/>
  <c r="CR38" i="21" s="1"/>
  <c r="CC37" i="21"/>
  <c r="CB37" i="21"/>
  <c r="CA37" i="21"/>
  <c r="BZ37" i="21"/>
  <c r="BL36" i="21"/>
  <c r="BK36" i="21"/>
  <c r="BJ36" i="21"/>
  <c r="BA35" i="21"/>
  <c r="BS36" i="21"/>
  <c r="BO36" i="21"/>
  <c r="BF36" i="21"/>
  <c r="BR36" i="21"/>
  <c r="BI36" i="21"/>
  <c r="BE36" i="21"/>
  <c r="BU36" i="21"/>
  <c r="BQ36" i="21"/>
  <c r="BH36" i="21"/>
  <c r="BD36" i="21"/>
  <c r="BT36" i="21"/>
  <c r="BC36" i="21"/>
  <c r="BP36" i="21"/>
  <c r="BG36" i="21"/>
  <c r="AZ37" i="21"/>
  <c r="C150" i="5"/>
  <c r="D76" i="5"/>
  <c r="D40" i="5"/>
  <c r="AE28" i="5"/>
  <c r="AG27" i="5" s="1"/>
  <c r="N3" i="5"/>
  <c r="U11" i="5"/>
  <c r="K7" i="5"/>
  <c r="P26" i="5"/>
  <c r="P25" i="5"/>
  <c r="P23" i="5"/>
  <c r="P19" i="5"/>
  <c r="P17" i="5"/>
  <c r="P15" i="5"/>
  <c r="P13" i="5"/>
  <c r="P11" i="5"/>
  <c r="P10" i="5"/>
  <c r="P31" i="5" s="1"/>
  <c r="K26" i="5"/>
  <c r="K25" i="5"/>
  <c r="K23" i="5"/>
  <c r="K19" i="5"/>
  <c r="K17" i="5"/>
  <c r="K15" i="5"/>
  <c r="K13" i="5"/>
  <c r="K11" i="5"/>
  <c r="K10" i="5"/>
  <c r="F26" i="5"/>
  <c r="F25" i="5"/>
  <c r="F23" i="5"/>
  <c r="F19" i="5"/>
  <c r="F17" i="5"/>
  <c r="F15" i="5"/>
  <c r="F13" i="5"/>
  <c r="F11" i="5"/>
  <c r="F10" i="5"/>
  <c r="F31" i="5" s="1"/>
  <c r="F7" i="5"/>
  <c r="V5" i="5"/>
  <c r="E168" i="5"/>
  <c r="E39" i="5"/>
  <c r="C160" i="5"/>
  <c r="A77" i="23" l="1"/>
  <c r="A78" i="23" s="1"/>
  <c r="A79" i="23" s="1"/>
  <c r="BN37" i="21"/>
  <c r="BM37" i="21"/>
  <c r="AG11" i="5"/>
  <c r="AG12" i="5"/>
  <c r="CL38" i="21"/>
  <c r="CM38" i="21"/>
  <c r="BX37" i="21"/>
  <c r="BW39" i="21"/>
  <c r="CR39" i="21" s="1"/>
  <c r="CC38" i="21"/>
  <c r="BZ38" i="21"/>
  <c r="CB38" i="21"/>
  <c r="CA38" i="21"/>
  <c r="BK37" i="21"/>
  <c r="BJ37" i="21"/>
  <c r="BL37" i="21"/>
  <c r="BA36" i="21"/>
  <c r="BU37" i="21"/>
  <c r="BQ37" i="21"/>
  <c r="BH37" i="21"/>
  <c r="BD37" i="21"/>
  <c r="BT37" i="21"/>
  <c r="BP37" i="21"/>
  <c r="BG37" i="21"/>
  <c r="BC37" i="21"/>
  <c r="BS37" i="21"/>
  <c r="BO37" i="21"/>
  <c r="BF37" i="21"/>
  <c r="BI37" i="21"/>
  <c r="BE37" i="21"/>
  <c r="BR37" i="21"/>
  <c r="AZ38" i="21"/>
  <c r="D77" i="5"/>
  <c r="D41" i="5"/>
  <c r="AG13" i="5"/>
  <c r="AG14" i="5" s="1"/>
  <c r="AG6" i="5"/>
  <c r="AG19" i="5"/>
  <c r="AG20" i="5" s="1"/>
  <c r="AG15" i="5"/>
  <c r="AG16" i="5" s="1"/>
  <c r="AG17" i="5"/>
  <c r="AG18" i="5" s="1"/>
  <c r="F29" i="5"/>
  <c r="F30" i="5"/>
  <c r="K31" i="5"/>
  <c r="K29" i="5"/>
  <c r="P7" i="5"/>
  <c r="H5" i="5"/>
  <c r="P29" i="5"/>
  <c r="P30" i="5"/>
  <c r="P27" i="5"/>
  <c r="P28" i="5" s="1"/>
  <c r="K30" i="5"/>
  <c r="K27" i="5"/>
  <c r="K28" i="5" s="1"/>
  <c r="F27" i="5"/>
  <c r="F28" i="5" s="1"/>
  <c r="U7" i="5"/>
  <c r="E40" i="5"/>
  <c r="E169" i="5"/>
  <c r="A80" i="23" l="1"/>
  <c r="A81" i="23" s="1"/>
  <c r="BN38" i="21"/>
  <c r="BM38" i="21"/>
  <c r="CL39" i="21"/>
  <c r="CM39" i="21"/>
  <c r="BX38" i="21"/>
  <c r="BW40" i="21"/>
  <c r="CR40" i="21" s="1"/>
  <c r="CC39" i="21"/>
  <c r="CB39" i="21"/>
  <c r="CA39" i="21"/>
  <c r="BZ39" i="21"/>
  <c r="BJ38" i="21"/>
  <c r="BK38" i="21"/>
  <c r="BL38" i="21"/>
  <c r="BA37" i="21"/>
  <c r="BS38" i="21"/>
  <c r="BO38" i="21"/>
  <c r="BF38" i="21"/>
  <c r="BR38" i="21"/>
  <c r="BI38" i="21"/>
  <c r="BE38" i="21"/>
  <c r="BU38" i="21"/>
  <c r="BQ38" i="21"/>
  <c r="BH38" i="21"/>
  <c r="BD38" i="21"/>
  <c r="BC38" i="21"/>
  <c r="BT38" i="21"/>
  <c r="BP38" i="21"/>
  <c r="BG38" i="21"/>
  <c r="AZ39" i="21"/>
  <c r="D78" i="5"/>
  <c r="D42" i="5"/>
  <c r="AG7" i="5"/>
  <c r="AB25" i="5"/>
  <c r="E170" i="5"/>
  <c r="E41" i="5"/>
  <c r="A82" i="23" l="1"/>
  <c r="A83" i="23" s="1"/>
  <c r="BN39" i="21"/>
  <c r="BM39" i="21"/>
  <c r="CL40" i="21"/>
  <c r="CM40" i="21"/>
  <c r="BX39" i="21"/>
  <c r="BW41" i="21"/>
  <c r="CR41" i="21" s="1"/>
  <c r="CC40" i="21"/>
  <c r="BZ40" i="21"/>
  <c r="CB40" i="21"/>
  <c r="CA40" i="21"/>
  <c r="BL39" i="21"/>
  <c r="BK39" i="21"/>
  <c r="BJ39" i="21"/>
  <c r="BA38" i="21"/>
  <c r="BU39" i="21"/>
  <c r="BQ39" i="21"/>
  <c r="BH39" i="21"/>
  <c r="BD39" i="21"/>
  <c r="BT39" i="21"/>
  <c r="BP39" i="21"/>
  <c r="BG39" i="21"/>
  <c r="BC39" i="21"/>
  <c r="BS39" i="21"/>
  <c r="BO39" i="21"/>
  <c r="BF39" i="21"/>
  <c r="BE39" i="21"/>
  <c r="BR39" i="21"/>
  <c r="BI39" i="21"/>
  <c r="AZ40" i="21"/>
  <c r="D79" i="5"/>
  <c r="D43" i="5"/>
  <c r="E171" i="5"/>
  <c r="E42" i="5"/>
  <c r="A84" i="23" l="1"/>
  <c r="A85" i="23" s="1"/>
  <c r="A86" i="23" s="1"/>
  <c r="A87" i="23" s="1"/>
  <c r="BN40" i="21"/>
  <c r="BM40" i="21"/>
  <c r="CL41" i="21"/>
  <c r="CM41" i="21"/>
  <c r="BX40" i="21"/>
  <c r="BW42" i="21"/>
  <c r="CR42" i="21" s="1"/>
  <c r="CC41" i="21"/>
  <c r="CB41" i="21"/>
  <c r="CA41" i="21"/>
  <c r="BZ41" i="21"/>
  <c r="BL40" i="21"/>
  <c r="BJ40" i="21"/>
  <c r="BK40" i="21"/>
  <c r="BA39" i="21"/>
  <c r="BS40" i="21"/>
  <c r="BO40" i="21"/>
  <c r="BF40" i="21"/>
  <c r="BR40" i="21"/>
  <c r="BI40" i="21"/>
  <c r="BE40" i="21"/>
  <c r="BU40" i="21"/>
  <c r="BQ40" i="21"/>
  <c r="BH40" i="21"/>
  <c r="BD40" i="21"/>
  <c r="BG40" i="21"/>
  <c r="BP40" i="21"/>
  <c r="BC40" i="21"/>
  <c r="BT40" i="21"/>
  <c r="AZ41" i="21"/>
  <c r="D80" i="5"/>
  <c r="D44" i="5"/>
  <c r="J4" i="9"/>
  <c r="J3" i="9"/>
  <c r="C8" i="9"/>
  <c r="J8" i="9"/>
  <c r="I8" i="9"/>
  <c r="H8" i="9"/>
  <c r="G8" i="9"/>
  <c r="F8" i="9"/>
  <c r="E8" i="9"/>
  <c r="D8" i="9"/>
  <c r="D4" i="9"/>
  <c r="I4" i="9"/>
  <c r="H4" i="9"/>
  <c r="G4" i="9"/>
  <c r="F4" i="9"/>
  <c r="E4" i="9"/>
  <c r="I3" i="9"/>
  <c r="H3" i="9"/>
  <c r="G3" i="9"/>
  <c r="F3" i="9"/>
  <c r="E3" i="9"/>
  <c r="D3" i="9"/>
  <c r="E43" i="5"/>
  <c r="E172" i="5"/>
  <c r="A88" i="23" l="1"/>
  <c r="BN41" i="21"/>
  <c r="BM41" i="21"/>
  <c r="CL42" i="21"/>
  <c r="CM42" i="21"/>
  <c r="BX41" i="21"/>
  <c r="BW43" i="21"/>
  <c r="CR43" i="21" s="1"/>
  <c r="CC42" i="21"/>
  <c r="BZ42" i="21"/>
  <c r="CB42" i="21"/>
  <c r="CA42" i="21"/>
  <c r="BK41" i="21"/>
  <c r="BJ41" i="21"/>
  <c r="BL41" i="21"/>
  <c r="BA40" i="21"/>
  <c r="BU41" i="21"/>
  <c r="BQ41" i="21"/>
  <c r="BH41" i="21"/>
  <c r="BD41" i="21"/>
  <c r="BT41" i="21"/>
  <c r="BP41" i="21"/>
  <c r="BG41" i="21"/>
  <c r="BC41" i="21"/>
  <c r="BS41" i="21"/>
  <c r="BO41" i="21"/>
  <c r="BF41" i="21"/>
  <c r="BI41" i="21"/>
  <c r="BR41" i="21"/>
  <c r="BE41" i="21"/>
  <c r="AZ42" i="21"/>
  <c r="D81" i="5"/>
  <c r="D45" i="5"/>
  <c r="AB5" i="5"/>
  <c r="W5" i="5"/>
  <c r="C4" i="9"/>
  <c r="C3" i="9"/>
  <c r="E44" i="5"/>
  <c r="E173" i="5"/>
  <c r="A89" i="23" l="1"/>
  <c r="BN42" i="21"/>
  <c r="BM42" i="21"/>
  <c r="CL43" i="21"/>
  <c r="CM43" i="21"/>
  <c r="BX42" i="21"/>
  <c r="BW44" i="21"/>
  <c r="CR44" i="21" s="1"/>
  <c r="CC43" i="21"/>
  <c r="CB43" i="21"/>
  <c r="CA43" i="21"/>
  <c r="BZ43" i="21"/>
  <c r="BJ42" i="21"/>
  <c r="BK42" i="21"/>
  <c r="BL42" i="21"/>
  <c r="BA41" i="21"/>
  <c r="BS42" i="21"/>
  <c r="BO42" i="21"/>
  <c r="BF42" i="21"/>
  <c r="BR42" i="21"/>
  <c r="BI42" i="21"/>
  <c r="BE42" i="21"/>
  <c r="BU42" i="21"/>
  <c r="BQ42" i="21"/>
  <c r="BH42" i="21"/>
  <c r="BD42" i="21"/>
  <c r="BP42" i="21"/>
  <c r="BC42" i="21"/>
  <c r="BT42" i="21"/>
  <c r="BG42" i="21"/>
  <c r="AZ43" i="21"/>
  <c r="E72" i="5"/>
  <c r="D82" i="5"/>
  <c r="D46" i="5"/>
  <c r="M5" i="5"/>
  <c r="R5" i="5"/>
  <c r="E77" i="5"/>
  <c r="F174" i="5"/>
  <c r="E45" i="5"/>
  <c r="F172" i="5"/>
  <c r="E74" i="5"/>
  <c r="F40" i="5"/>
  <c r="F170" i="5"/>
  <c r="F163" i="5"/>
  <c r="E79" i="5"/>
  <c r="E75" i="5"/>
  <c r="E76" i="5"/>
  <c r="F169" i="5"/>
  <c r="E80" i="5"/>
  <c r="E174" i="5"/>
  <c r="F161" i="5"/>
  <c r="F162" i="5"/>
  <c r="F158" i="5"/>
  <c r="F165" i="5"/>
  <c r="E81" i="5"/>
  <c r="F42" i="5"/>
  <c r="F160" i="5"/>
  <c r="F43" i="5"/>
  <c r="F156" i="5"/>
  <c r="F39" i="5"/>
  <c r="F159" i="5"/>
  <c r="F38" i="5"/>
  <c r="F173" i="5"/>
  <c r="F45" i="5"/>
  <c r="F154" i="5"/>
  <c r="F168" i="5"/>
  <c r="F155" i="5"/>
  <c r="F152" i="5"/>
  <c r="F153" i="5"/>
  <c r="F41" i="5"/>
  <c r="F157" i="5"/>
  <c r="F167" i="5"/>
  <c r="F37" i="5"/>
  <c r="F44" i="5"/>
  <c r="F164" i="5"/>
  <c r="F166" i="5"/>
  <c r="F171" i="5"/>
  <c r="E78" i="5"/>
  <c r="A90" i="23" l="1"/>
  <c r="A91" i="23" s="1"/>
  <c r="BN43" i="21"/>
  <c r="BM43" i="21"/>
  <c r="CL44" i="21"/>
  <c r="CM44" i="21"/>
  <c r="BX43" i="21"/>
  <c r="BW45" i="21"/>
  <c r="CR45" i="21" s="1"/>
  <c r="CC44" i="21"/>
  <c r="BZ44" i="21"/>
  <c r="CB44" i="21"/>
  <c r="CA44" i="21"/>
  <c r="BL43" i="21"/>
  <c r="BK43" i="21"/>
  <c r="BJ43" i="21"/>
  <c r="BA42" i="21"/>
  <c r="BU43" i="21"/>
  <c r="BQ43" i="21"/>
  <c r="BH43" i="21"/>
  <c r="BD43" i="21"/>
  <c r="BT43" i="21"/>
  <c r="BP43" i="21"/>
  <c r="BG43" i="21"/>
  <c r="BC43" i="21"/>
  <c r="BS43" i="21"/>
  <c r="BO43" i="21"/>
  <c r="BF43" i="21"/>
  <c r="BR43" i="21"/>
  <c r="BI43" i="21"/>
  <c r="BE43" i="21"/>
  <c r="AZ44" i="21"/>
  <c r="F36" i="5"/>
  <c r="F73" i="5" s="1"/>
  <c r="F110" i="5" s="1"/>
  <c r="E111" i="5"/>
  <c r="E112" i="5"/>
  <c r="E113" i="5"/>
  <c r="E114" i="5"/>
  <c r="E115" i="5"/>
  <c r="E116" i="5"/>
  <c r="E117" i="5"/>
  <c r="E109" i="5"/>
  <c r="G35" i="5"/>
  <c r="F72" i="5"/>
  <c r="E118" i="5"/>
  <c r="D83" i="5"/>
  <c r="D47" i="5"/>
  <c r="M2" i="5"/>
  <c r="W4" i="5"/>
  <c r="R4" i="5"/>
  <c r="H4" i="5"/>
  <c r="AB22" i="5"/>
  <c r="AB21" i="5"/>
  <c r="AB24" i="5"/>
  <c r="AB23" i="5"/>
  <c r="G171" i="5"/>
  <c r="G153" i="5"/>
  <c r="G158" i="5"/>
  <c r="H21" i="5"/>
  <c r="G45" i="5"/>
  <c r="G170" i="5"/>
  <c r="G164" i="5"/>
  <c r="G172" i="5"/>
  <c r="E82" i="5"/>
  <c r="G159" i="5"/>
  <c r="G173" i="5"/>
  <c r="G41" i="5"/>
  <c r="F76" i="5"/>
  <c r="G155" i="5"/>
  <c r="G160" i="5"/>
  <c r="G161" i="5"/>
  <c r="G162" i="5"/>
  <c r="F75" i="5"/>
  <c r="H22" i="5"/>
  <c r="H24" i="5"/>
  <c r="G43" i="5"/>
  <c r="M25" i="5"/>
  <c r="G42" i="5"/>
  <c r="G169" i="5"/>
  <c r="F82" i="5"/>
  <c r="G165" i="5"/>
  <c r="G167" i="5"/>
  <c r="F79" i="5"/>
  <c r="G154" i="5"/>
  <c r="G168" i="5"/>
  <c r="H23" i="5"/>
  <c r="G40" i="5"/>
  <c r="F46" i="5"/>
  <c r="G46" i="5"/>
  <c r="G175" i="5"/>
  <c r="F80" i="5"/>
  <c r="F81" i="5"/>
  <c r="G174" i="5"/>
  <c r="F78" i="5"/>
  <c r="G152" i="5"/>
  <c r="G37" i="5"/>
  <c r="G156" i="5"/>
  <c r="G163" i="5"/>
  <c r="G38" i="5"/>
  <c r="M21" i="5"/>
  <c r="G166" i="5"/>
  <c r="G44" i="5"/>
  <c r="E175" i="5"/>
  <c r="E46" i="5"/>
  <c r="H25" i="5"/>
  <c r="F74" i="5"/>
  <c r="F175" i="5"/>
  <c r="G39" i="5"/>
  <c r="G157" i="5"/>
  <c r="F77" i="5"/>
  <c r="A92" i="23" l="1"/>
  <c r="A93" i="23" s="1"/>
  <c r="BN44" i="21"/>
  <c r="BM44" i="21"/>
  <c r="R2" i="5"/>
  <c r="W2" i="5" s="1"/>
  <c r="AB2" i="5" s="1"/>
  <c r="AG2" i="5" s="1"/>
  <c r="CL45" i="21"/>
  <c r="CM45" i="21"/>
  <c r="BX44" i="21"/>
  <c r="BW46" i="21"/>
  <c r="CR46" i="21" s="1"/>
  <c r="CC45" i="21"/>
  <c r="CB45" i="21"/>
  <c r="CA45" i="21"/>
  <c r="BZ45" i="21"/>
  <c r="BL44" i="21"/>
  <c r="BJ44" i="21"/>
  <c r="BK44" i="21"/>
  <c r="BA43" i="21"/>
  <c r="BS44" i="21"/>
  <c r="BO44" i="21"/>
  <c r="BF44" i="21"/>
  <c r="BR44" i="21"/>
  <c r="BI44" i="21"/>
  <c r="BE44" i="21"/>
  <c r="BU44" i="21"/>
  <c r="BQ44" i="21"/>
  <c r="BH44" i="21"/>
  <c r="BD44" i="21"/>
  <c r="BT44" i="21"/>
  <c r="BP44" i="21"/>
  <c r="BG44" i="21"/>
  <c r="BC44" i="21"/>
  <c r="AZ45" i="21"/>
  <c r="G36" i="5"/>
  <c r="G73" i="5" s="1"/>
  <c r="G110" i="5" s="1"/>
  <c r="F111" i="5"/>
  <c r="F112" i="5"/>
  <c r="F113" i="5"/>
  <c r="F114" i="5"/>
  <c r="F115" i="5"/>
  <c r="F116" i="5"/>
  <c r="F117" i="5"/>
  <c r="F118" i="5"/>
  <c r="H35" i="5"/>
  <c r="G72" i="5"/>
  <c r="F109" i="5"/>
  <c r="F119" i="5"/>
  <c r="E119" i="5"/>
  <c r="D84" i="5"/>
  <c r="D48" i="5"/>
  <c r="M22" i="5"/>
  <c r="H41" i="5"/>
  <c r="G83" i="5"/>
  <c r="H40" i="5"/>
  <c r="H171" i="5"/>
  <c r="H153" i="5"/>
  <c r="F176" i="5"/>
  <c r="G81" i="5"/>
  <c r="E83" i="5"/>
  <c r="G79" i="5"/>
  <c r="G82" i="5"/>
  <c r="H175" i="5"/>
  <c r="H162" i="5"/>
  <c r="G75" i="5"/>
  <c r="H44" i="5"/>
  <c r="H167" i="5"/>
  <c r="H164" i="5"/>
  <c r="H155" i="5"/>
  <c r="H43" i="5"/>
  <c r="H168" i="5"/>
  <c r="H174" i="5"/>
  <c r="F47" i="5"/>
  <c r="G176" i="5"/>
  <c r="H172" i="5"/>
  <c r="G74" i="5"/>
  <c r="E47" i="5"/>
  <c r="H152" i="5"/>
  <c r="H166" i="5"/>
  <c r="H169" i="5"/>
  <c r="H160" i="5"/>
  <c r="H165" i="5"/>
  <c r="G47" i="5"/>
  <c r="H156" i="5"/>
  <c r="H163" i="5"/>
  <c r="F83" i="5"/>
  <c r="H39" i="5"/>
  <c r="M24" i="5"/>
  <c r="H37" i="5"/>
  <c r="H176" i="5"/>
  <c r="G78" i="5"/>
  <c r="H45" i="5"/>
  <c r="E176" i="5"/>
  <c r="H173" i="5"/>
  <c r="H154" i="5"/>
  <c r="G76" i="5"/>
  <c r="H46" i="5"/>
  <c r="H161" i="5"/>
  <c r="G77" i="5"/>
  <c r="H38" i="5"/>
  <c r="G80" i="5"/>
  <c r="H157" i="5"/>
  <c r="H158" i="5"/>
  <c r="H47" i="5"/>
  <c r="H159" i="5"/>
  <c r="H42" i="5"/>
  <c r="H170" i="5"/>
  <c r="M23" i="5"/>
  <c r="A94" i="23" l="1"/>
  <c r="BN45" i="21"/>
  <c r="BM45" i="21"/>
  <c r="CL46" i="21"/>
  <c r="CM46" i="21"/>
  <c r="BX45" i="21"/>
  <c r="BW47" i="21"/>
  <c r="CR47" i="21" s="1"/>
  <c r="CC46" i="21"/>
  <c r="BZ46" i="21"/>
  <c r="CB46" i="21"/>
  <c r="CA46" i="21"/>
  <c r="BK45" i="21"/>
  <c r="BJ45" i="21"/>
  <c r="BL45" i="21"/>
  <c r="BA44" i="21"/>
  <c r="BU45" i="21"/>
  <c r="BQ45" i="21"/>
  <c r="BH45" i="21"/>
  <c r="BD45" i="21"/>
  <c r="BT45" i="21"/>
  <c r="BP45" i="21"/>
  <c r="BG45" i="21"/>
  <c r="BC45" i="21"/>
  <c r="BS45" i="21"/>
  <c r="BO45" i="21"/>
  <c r="BF45" i="21"/>
  <c r="BE45" i="21"/>
  <c r="BR45" i="21"/>
  <c r="BI45" i="21"/>
  <c r="AZ46" i="21"/>
  <c r="H36" i="5"/>
  <c r="H73" i="5" s="1"/>
  <c r="H110" i="5" s="1"/>
  <c r="G111" i="5"/>
  <c r="G112" i="5"/>
  <c r="G113" i="5"/>
  <c r="G114" i="5"/>
  <c r="G115" i="5"/>
  <c r="G116" i="5"/>
  <c r="G117" i="5"/>
  <c r="G118" i="5"/>
  <c r="G119" i="5"/>
  <c r="G109" i="5"/>
  <c r="H72" i="5"/>
  <c r="I35" i="5"/>
  <c r="F120" i="5"/>
  <c r="E120" i="5"/>
  <c r="G120" i="5"/>
  <c r="D85" i="5"/>
  <c r="D49" i="5"/>
  <c r="R24" i="5"/>
  <c r="I159" i="5"/>
  <c r="I164" i="5"/>
  <c r="I40" i="5"/>
  <c r="I154" i="5"/>
  <c r="I170" i="5"/>
  <c r="H79" i="5"/>
  <c r="I47" i="5"/>
  <c r="H77" i="5"/>
  <c r="I152" i="5"/>
  <c r="I158" i="5"/>
  <c r="F84" i="5"/>
  <c r="I153" i="5"/>
  <c r="I169" i="5"/>
  <c r="I157" i="5"/>
  <c r="H83" i="5"/>
  <c r="H80" i="5"/>
  <c r="I166" i="5"/>
  <c r="I177" i="5"/>
  <c r="F177" i="5"/>
  <c r="H84" i="5"/>
  <c r="I162" i="5"/>
  <c r="I172" i="5"/>
  <c r="I39" i="5"/>
  <c r="I165" i="5"/>
  <c r="F48" i="5"/>
  <c r="H74" i="5"/>
  <c r="I173" i="5"/>
  <c r="G84" i="5"/>
  <c r="I41" i="5"/>
  <c r="G48" i="5"/>
  <c r="I37" i="5"/>
  <c r="H76" i="5"/>
  <c r="I168" i="5"/>
  <c r="I171" i="5"/>
  <c r="I155" i="5"/>
  <c r="E48" i="5"/>
  <c r="E84" i="5"/>
  <c r="R22" i="5"/>
  <c r="I163" i="5"/>
  <c r="I48" i="5"/>
  <c r="E177" i="5"/>
  <c r="I156" i="5"/>
  <c r="I174" i="5"/>
  <c r="R21" i="5"/>
  <c r="I161" i="5"/>
  <c r="I175" i="5"/>
  <c r="I43" i="5"/>
  <c r="I42" i="5"/>
  <c r="R25" i="5"/>
  <c r="I167" i="5"/>
  <c r="I46" i="5"/>
  <c r="I38" i="5"/>
  <c r="I160" i="5"/>
  <c r="I45" i="5"/>
  <c r="G177" i="5"/>
  <c r="H75" i="5"/>
  <c r="H177" i="5"/>
  <c r="I44" i="5"/>
  <c r="R23" i="5"/>
  <c r="I176" i="5"/>
  <c r="H82" i="5"/>
  <c r="H81" i="5"/>
  <c r="H78" i="5"/>
  <c r="H48" i="5"/>
  <c r="A95" i="23" l="1"/>
  <c r="A96" i="23" s="1"/>
  <c r="A97" i="23" s="1"/>
  <c r="A98" i="23" s="1"/>
  <c r="BN46" i="21"/>
  <c r="BM46" i="21"/>
  <c r="BX46" i="21"/>
  <c r="CL47" i="21"/>
  <c r="CM47" i="21"/>
  <c r="BW48" i="21"/>
  <c r="CR48" i="21" s="1"/>
  <c r="CC47" i="21"/>
  <c r="CB47" i="21"/>
  <c r="CA47" i="21"/>
  <c r="BZ47" i="21"/>
  <c r="BJ46" i="21"/>
  <c r="BL46" i="21"/>
  <c r="BK46" i="21"/>
  <c r="BA45" i="21"/>
  <c r="BS46" i="21"/>
  <c r="BO46" i="21"/>
  <c r="BF46" i="21"/>
  <c r="BR46" i="21"/>
  <c r="BI46" i="21"/>
  <c r="BE46" i="21"/>
  <c r="BU46" i="21"/>
  <c r="BQ46" i="21"/>
  <c r="BH46" i="21"/>
  <c r="BD46" i="21"/>
  <c r="BC46" i="21"/>
  <c r="BP46" i="21"/>
  <c r="BG46" i="21"/>
  <c r="BT46" i="21"/>
  <c r="AZ47" i="21"/>
  <c r="I36" i="5"/>
  <c r="I73" i="5" s="1"/>
  <c r="I110" i="5" s="1"/>
  <c r="H111" i="5"/>
  <c r="H112" i="5"/>
  <c r="H113" i="5"/>
  <c r="H114" i="5"/>
  <c r="H115" i="5"/>
  <c r="H116" i="5"/>
  <c r="H117" i="5"/>
  <c r="H118" i="5"/>
  <c r="H119" i="5"/>
  <c r="H120" i="5"/>
  <c r="H109" i="5"/>
  <c r="I72" i="5"/>
  <c r="J35" i="5"/>
  <c r="F121" i="5"/>
  <c r="H121" i="5"/>
  <c r="G121" i="5"/>
  <c r="E121" i="5"/>
  <c r="D86" i="5"/>
  <c r="D50" i="5"/>
  <c r="W3" i="5"/>
  <c r="V7" i="10"/>
  <c r="V6" i="10"/>
  <c r="N7" i="10"/>
  <c r="I77" i="5"/>
  <c r="W22" i="5"/>
  <c r="J160" i="5"/>
  <c r="J172" i="5"/>
  <c r="J177" i="5"/>
  <c r="J163" i="5"/>
  <c r="I81" i="5"/>
  <c r="W21" i="5"/>
  <c r="J40" i="5"/>
  <c r="I178" i="5"/>
  <c r="I49" i="5"/>
  <c r="I78" i="5"/>
  <c r="W24" i="5"/>
  <c r="G85" i="5"/>
  <c r="J162" i="5"/>
  <c r="I75" i="5"/>
  <c r="J45" i="5"/>
  <c r="J154" i="5"/>
  <c r="J155" i="5"/>
  <c r="J38" i="5"/>
  <c r="W25" i="5"/>
  <c r="J152" i="5"/>
  <c r="I76" i="5"/>
  <c r="J44" i="5"/>
  <c r="I79" i="5"/>
  <c r="J166" i="5"/>
  <c r="I80" i="5"/>
  <c r="J164" i="5"/>
  <c r="I83" i="5"/>
  <c r="J174" i="5"/>
  <c r="F178" i="5"/>
  <c r="G49" i="5"/>
  <c r="H49" i="5"/>
  <c r="I85" i="5"/>
  <c r="J156" i="5"/>
  <c r="J153" i="5"/>
  <c r="J43" i="5"/>
  <c r="J47" i="5"/>
  <c r="J42" i="5"/>
  <c r="J170" i="5"/>
  <c r="F49" i="5"/>
  <c r="E85" i="5"/>
  <c r="J41" i="5"/>
  <c r="J161" i="5"/>
  <c r="J157" i="5"/>
  <c r="I82" i="5"/>
  <c r="H178" i="5"/>
  <c r="J39" i="5"/>
  <c r="J175" i="5"/>
  <c r="J46" i="5"/>
  <c r="J48" i="5"/>
  <c r="J165" i="5"/>
  <c r="J167" i="5"/>
  <c r="E49" i="5"/>
  <c r="J159" i="5"/>
  <c r="G178" i="5"/>
  <c r="I74" i="5"/>
  <c r="J37" i="5"/>
  <c r="F85" i="5"/>
  <c r="J49" i="5"/>
  <c r="J171" i="5"/>
  <c r="I84" i="5"/>
  <c r="E178" i="5"/>
  <c r="W23" i="5"/>
  <c r="J168" i="5"/>
  <c r="J176" i="5"/>
  <c r="H85" i="5"/>
  <c r="J173" i="5"/>
  <c r="J178" i="5"/>
  <c r="J169" i="5"/>
  <c r="J158" i="5"/>
  <c r="A99" i="23" l="1"/>
  <c r="A100" i="23" s="1"/>
  <c r="A101" i="23" s="1"/>
  <c r="A102" i="23" s="1"/>
  <c r="A103" i="23" s="1"/>
  <c r="W7" i="10"/>
  <c r="U7" i="10"/>
  <c r="BN47" i="21"/>
  <c r="BM47" i="21"/>
  <c r="X7" i="10"/>
  <c r="CL48" i="21"/>
  <c r="CM48" i="21"/>
  <c r="BX47" i="21"/>
  <c r="BW49" i="21"/>
  <c r="CR49" i="21" s="1"/>
  <c r="CC48" i="21"/>
  <c r="BZ48" i="21"/>
  <c r="CB48" i="21"/>
  <c r="CA48" i="21"/>
  <c r="BK47" i="21"/>
  <c r="BL47" i="21"/>
  <c r="BJ47" i="21"/>
  <c r="BA46" i="21"/>
  <c r="BU47" i="21"/>
  <c r="BQ47" i="21"/>
  <c r="BH47" i="21"/>
  <c r="BD47" i="21"/>
  <c r="BT47" i="21"/>
  <c r="BP47" i="21"/>
  <c r="BG47" i="21"/>
  <c r="BC47" i="21"/>
  <c r="BS47" i="21"/>
  <c r="BO47" i="21"/>
  <c r="BF47" i="21"/>
  <c r="BE47" i="21"/>
  <c r="BR47" i="21"/>
  <c r="BI47" i="21"/>
  <c r="AZ48" i="21"/>
  <c r="J36" i="5"/>
  <c r="J73" i="5" s="1"/>
  <c r="J110" i="5" s="1"/>
  <c r="E150" i="5"/>
  <c r="I111" i="5"/>
  <c r="I112" i="5"/>
  <c r="I113" i="5"/>
  <c r="I114" i="5"/>
  <c r="I115" i="5"/>
  <c r="I116" i="5"/>
  <c r="I117" i="5"/>
  <c r="I118" i="5"/>
  <c r="I119" i="5"/>
  <c r="I120" i="5"/>
  <c r="I121" i="5"/>
  <c r="J72" i="5"/>
  <c r="K35" i="5"/>
  <c r="I109" i="5"/>
  <c r="E122" i="5"/>
  <c r="I122" i="5"/>
  <c r="G122" i="5"/>
  <c r="F122" i="5"/>
  <c r="H122" i="5"/>
  <c r="D87" i="5"/>
  <c r="D51" i="5"/>
  <c r="P6" i="10"/>
  <c r="J7" i="10"/>
  <c r="K7" i="10"/>
  <c r="I7" i="10"/>
  <c r="P7" i="10"/>
  <c r="L7" i="10"/>
  <c r="N6" i="10"/>
  <c r="V5" i="10"/>
  <c r="N5" i="10"/>
  <c r="W5" i="10" s="1"/>
  <c r="V3" i="10"/>
  <c r="V4" i="10"/>
  <c r="N4" i="10"/>
  <c r="W4" i="10" s="1"/>
  <c r="N3" i="10"/>
  <c r="W3" i="10" s="1"/>
  <c r="V2" i="10"/>
  <c r="W2" i="10"/>
  <c r="J74" i="5"/>
  <c r="K160" i="5"/>
  <c r="K43" i="5"/>
  <c r="E86" i="5"/>
  <c r="K166" i="5"/>
  <c r="J80" i="5"/>
  <c r="K157" i="5"/>
  <c r="K170" i="5"/>
  <c r="K49" i="5"/>
  <c r="E50" i="5"/>
  <c r="K39" i="5"/>
  <c r="G179" i="5"/>
  <c r="J77" i="5"/>
  <c r="F50" i="5"/>
  <c r="J76" i="5"/>
  <c r="K171" i="5"/>
  <c r="J83" i="5"/>
  <c r="J179" i="5"/>
  <c r="K177" i="5"/>
  <c r="K47" i="5"/>
  <c r="K48" i="5"/>
  <c r="G86" i="5"/>
  <c r="E179" i="5"/>
  <c r="K179" i="5"/>
  <c r="J86" i="5"/>
  <c r="H86" i="5"/>
  <c r="K161" i="5"/>
  <c r="J75" i="5"/>
  <c r="K162" i="5"/>
  <c r="H50" i="5"/>
  <c r="F179" i="5"/>
  <c r="K168" i="5"/>
  <c r="K158" i="5"/>
  <c r="K42" i="5"/>
  <c r="K159" i="5"/>
  <c r="K174" i="5"/>
  <c r="I50" i="5"/>
  <c r="K165" i="5"/>
  <c r="J50" i="5"/>
  <c r="F86" i="5"/>
  <c r="K153" i="5"/>
  <c r="K176" i="5"/>
  <c r="J78" i="5"/>
  <c r="K44" i="5"/>
  <c r="K178" i="5"/>
  <c r="K173" i="5"/>
  <c r="K40" i="5"/>
  <c r="K163" i="5"/>
  <c r="H179" i="5"/>
  <c r="K154" i="5"/>
  <c r="K38" i="5"/>
  <c r="J81" i="5"/>
  <c r="K46" i="5"/>
  <c r="J82" i="5"/>
  <c r="K41" i="5"/>
  <c r="K175" i="5"/>
  <c r="K45" i="5"/>
  <c r="K50" i="5"/>
  <c r="K172" i="5"/>
  <c r="J85" i="5"/>
  <c r="K152" i="5"/>
  <c r="J79" i="5"/>
  <c r="K156" i="5"/>
  <c r="K167" i="5"/>
  <c r="K169" i="5"/>
  <c r="K164" i="5"/>
  <c r="I86" i="5"/>
  <c r="J84" i="5"/>
  <c r="K37" i="5"/>
  <c r="I179" i="5"/>
  <c r="G50" i="5"/>
  <c r="K155" i="5"/>
  <c r="A104" i="23" l="1"/>
  <c r="BN48" i="21"/>
  <c r="BM48" i="21"/>
  <c r="K2" i="21"/>
  <c r="CL49" i="21"/>
  <c r="CM49" i="21"/>
  <c r="BX48" i="21"/>
  <c r="BW50" i="21"/>
  <c r="CR50" i="21" s="1"/>
  <c r="CC49" i="21"/>
  <c r="BZ49" i="21"/>
  <c r="CB49" i="21"/>
  <c r="CA49" i="21"/>
  <c r="BL48" i="21"/>
  <c r="BK48" i="21"/>
  <c r="BJ48" i="21"/>
  <c r="BA47" i="21"/>
  <c r="BS48" i="21"/>
  <c r="BO48" i="21"/>
  <c r="BF48" i="21"/>
  <c r="BR48" i="21"/>
  <c r="BI48" i="21"/>
  <c r="BE48" i="21"/>
  <c r="BU48" i="21"/>
  <c r="BQ48" i="21"/>
  <c r="BH48" i="21"/>
  <c r="BD48" i="21"/>
  <c r="BG48" i="21"/>
  <c r="BC48" i="21"/>
  <c r="BT48" i="21"/>
  <c r="BP48" i="21"/>
  <c r="AZ49" i="21"/>
  <c r="K36" i="5"/>
  <c r="K73" i="5" s="1"/>
  <c r="K110" i="5" s="1"/>
  <c r="E151" i="5"/>
  <c r="F150" i="5"/>
  <c r="J111" i="5"/>
  <c r="J112" i="5"/>
  <c r="J113" i="5"/>
  <c r="J114" i="5"/>
  <c r="J115" i="5"/>
  <c r="J116" i="5"/>
  <c r="J117" i="5"/>
  <c r="J118" i="5"/>
  <c r="J119" i="5"/>
  <c r="J120" i="5"/>
  <c r="J121" i="5"/>
  <c r="J122" i="5"/>
  <c r="K72" i="5"/>
  <c r="L35" i="5"/>
  <c r="J109" i="5"/>
  <c r="H123" i="5"/>
  <c r="E123" i="5"/>
  <c r="F123" i="5"/>
  <c r="J123" i="5"/>
  <c r="I123" i="5"/>
  <c r="G123" i="5"/>
  <c r="D88" i="5"/>
  <c r="D52" i="5"/>
  <c r="P4" i="10"/>
  <c r="P3" i="10"/>
  <c r="P5" i="10"/>
  <c r="I2" i="10"/>
  <c r="L2" i="10"/>
  <c r="K2" i="10"/>
  <c r="J2" i="10"/>
  <c r="W6" i="10"/>
  <c r="U6" i="10"/>
  <c r="J6" i="10"/>
  <c r="L6" i="10"/>
  <c r="I6" i="10"/>
  <c r="K6" i="10"/>
  <c r="X6" i="10"/>
  <c r="J5" i="10"/>
  <c r="L5" i="10"/>
  <c r="I5" i="10"/>
  <c r="K5" i="10"/>
  <c r="X5" i="10"/>
  <c r="U5" i="10"/>
  <c r="J4" i="10"/>
  <c r="I4" i="10"/>
  <c r="L4" i="10"/>
  <c r="K4" i="10"/>
  <c r="U4" i="10"/>
  <c r="X4" i="10"/>
  <c r="L3" i="10"/>
  <c r="K3" i="10"/>
  <c r="J3" i="10"/>
  <c r="I3" i="10"/>
  <c r="X3" i="10"/>
  <c r="U3" i="10"/>
  <c r="X2" i="10"/>
  <c r="U2" i="10"/>
  <c r="H51" i="5"/>
  <c r="L176" i="5"/>
  <c r="E87" i="5"/>
  <c r="L152" i="5"/>
  <c r="K77" i="5"/>
  <c r="L166" i="5"/>
  <c r="K81" i="5"/>
  <c r="K75" i="5"/>
  <c r="E180" i="5"/>
  <c r="I87" i="5"/>
  <c r="L42" i="5"/>
  <c r="L153" i="5"/>
  <c r="K83" i="5"/>
  <c r="L45" i="5"/>
  <c r="K86" i="5"/>
  <c r="K180" i="5"/>
  <c r="L156" i="5"/>
  <c r="L165" i="5"/>
  <c r="G87" i="5"/>
  <c r="L157" i="5"/>
  <c r="L172" i="5"/>
  <c r="L46" i="5"/>
  <c r="L163" i="5"/>
  <c r="L41" i="5"/>
  <c r="L160" i="5"/>
  <c r="L51" i="5"/>
  <c r="L178" i="5"/>
  <c r="E51" i="5"/>
  <c r="K85" i="5"/>
  <c r="J51" i="5"/>
  <c r="L47" i="5"/>
  <c r="K82" i="5"/>
  <c r="L161" i="5"/>
  <c r="L50" i="5"/>
  <c r="L164" i="5"/>
  <c r="H180" i="5"/>
  <c r="L37" i="5"/>
  <c r="L40" i="5"/>
  <c r="L155" i="5"/>
  <c r="L49" i="5"/>
  <c r="L158" i="5"/>
  <c r="K51" i="5"/>
  <c r="K78" i="5"/>
  <c r="L39" i="5"/>
  <c r="K80" i="5"/>
  <c r="J87" i="5"/>
  <c r="L173" i="5"/>
  <c r="L170" i="5"/>
  <c r="K76" i="5"/>
  <c r="H87" i="5"/>
  <c r="L44" i="5"/>
  <c r="L38" i="5"/>
  <c r="L43" i="5"/>
  <c r="L174" i="5"/>
  <c r="J180" i="5"/>
  <c r="K87" i="5"/>
  <c r="L175" i="5"/>
  <c r="L162" i="5"/>
  <c r="L171" i="5"/>
  <c r="L159" i="5"/>
  <c r="G180" i="5"/>
  <c r="L180" i="5"/>
  <c r="I51" i="5"/>
  <c r="K84" i="5"/>
  <c r="F87" i="5"/>
  <c r="K74" i="5"/>
  <c r="L169" i="5"/>
  <c r="K79" i="5"/>
  <c r="F51" i="5"/>
  <c r="F180" i="5"/>
  <c r="L154" i="5"/>
  <c r="L179" i="5"/>
  <c r="L167" i="5"/>
  <c r="G51" i="5"/>
  <c r="L168" i="5"/>
  <c r="I180" i="5"/>
  <c r="L177" i="5"/>
  <c r="L48" i="5"/>
  <c r="A105" i="23" l="1"/>
  <c r="BN49" i="21"/>
  <c r="BM49" i="21"/>
  <c r="N2" i="21"/>
  <c r="B13" i="21"/>
  <c r="B10" i="21"/>
  <c r="CL50" i="21"/>
  <c r="CM50" i="21"/>
  <c r="BX49" i="21"/>
  <c r="BW51" i="21"/>
  <c r="CR51" i="21" s="1"/>
  <c r="CC50" i="21"/>
  <c r="CB50" i="21"/>
  <c r="CA50" i="21"/>
  <c r="BZ50" i="21"/>
  <c r="BK49" i="21"/>
  <c r="BJ49" i="21"/>
  <c r="BL49" i="21"/>
  <c r="BA48" i="21"/>
  <c r="BU49" i="21"/>
  <c r="BQ49" i="21"/>
  <c r="BH49" i="21"/>
  <c r="BD49" i="21"/>
  <c r="BT49" i="21"/>
  <c r="BP49" i="21"/>
  <c r="BG49" i="21"/>
  <c r="BC49" i="21"/>
  <c r="BS49" i="21"/>
  <c r="BO49" i="21"/>
  <c r="BF49" i="21"/>
  <c r="BI49" i="21"/>
  <c r="BR49" i="21"/>
  <c r="BE49" i="21"/>
  <c r="AZ50" i="21"/>
  <c r="L36" i="5"/>
  <c r="L73" i="5" s="1"/>
  <c r="L110" i="5" s="1"/>
  <c r="F151" i="5"/>
  <c r="G150" i="5"/>
  <c r="K111" i="5"/>
  <c r="K112" i="5"/>
  <c r="K113" i="5"/>
  <c r="K114" i="5"/>
  <c r="K115" i="5"/>
  <c r="K116" i="5"/>
  <c r="K117" i="5"/>
  <c r="K118" i="5"/>
  <c r="K119" i="5"/>
  <c r="K120" i="5"/>
  <c r="K121" i="5"/>
  <c r="K122" i="5"/>
  <c r="K123" i="5"/>
  <c r="M35" i="5"/>
  <c r="L72" i="5"/>
  <c r="K109" i="5"/>
  <c r="F124" i="5"/>
  <c r="J124" i="5"/>
  <c r="G124" i="5"/>
  <c r="E124" i="5"/>
  <c r="K124" i="5"/>
  <c r="H124" i="5"/>
  <c r="I124" i="5"/>
  <c r="D89" i="5"/>
  <c r="D53" i="5"/>
  <c r="M166" i="5"/>
  <c r="M180" i="5"/>
  <c r="M164" i="5"/>
  <c r="G88" i="5"/>
  <c r="F88" i="5"/>
  <c r="M175" i="5"/>
  <c r="M171" i="5"/>
  <c r="L74" i="5"/>
  <c r="K88" i="5"/>
  <c r="M38" i="5"/>
  <c r="H181" i="5"/>
  <c r="J88" i="5"/>
  <c r="I181" i="5"/>
  <c r="F181" i="5"/>
  <c r="M157" i="5"/>
  <c r="J181" i="5"/>
  <c r="M167" i="5"/>
  <c r="M156" i="5"/>
  <c r="M176" i="5"/>
  <c r="L84" i="5"/>
  <c r="L75" i="5"/>
  <c r="M49" i="5"/>
  <c r="L79" i="5"/>
  <c r="L77" i="5"/>
  <c r="K52" i="5"/>
  <c r="M52" i="5"/>
  <c r="M40" i="5"/>
  <c r="M162" i="5"/>
  <c r="M50" i="5"/>
  <c r="M161" i="5"/>
  <c r="K181" i="5"/>
  <c r="M51" i="5"/>
  <c r="M152" i="5"/>
  <c r="M37" i="5"/>
  <c r="M174" i="5"/>
  <c r="L86" i="5"/>
  <c r="M158" i="5"/>
  <c r="M165" i="5"/>
  <c r="L82" i="5"/>
  <c r="M153" i="5"/>
  <c r="H88" i="5"/>
  <c r="M42" i="5"/>
  <c r="E181" i="5"/>
  <c r="M41" i="5"/>
  <c r="M43" i="5"/>
  <c r="M46" i="5"/>
  <c r="I52" i="5"/>
  <c r="L87" i="5"/>
  <c r="M155" i="5"/>
  <c r="L83" i="5"/>
  <c r="M39" i="5"/>
  <c r="L181" i="5"/>
  <c r="L85" i="5"/>
  <c r="G52" i="5"/>
  <c r="M177" i="5"/>
  <c r="M178" i="5"/>
  <c r="M173" i="5"/>
  <c r="L76" i="5"/>
  <c r="M163" i="5"/>
  <c r="M181" i="5"/>
  <c r="M172" i="5"/>
  <c r="M168" i="5"/>
  <c r="E52" i="5"/>
  <c r="J52" i="5"/>
  <c r="M160" i="5"/>
  <c r="M47" i="5"/>
  <c r="M179" i="5"/>
  <c r="H52" i="5"/>
  <c r="M45" i="5"/>
  <c r="L80" i="5"/>
  <c r="E88" i="5"/>
  <c r="L88" i="5"/>
  <c r="M170" i="5"/>
  <c r="M159" i="5"/>
  <c r="L81" i="5"/>
  <c r="L52" i="5"/>
  <c r="M48" i="5"/>
  <c r="I88" i="5"/>
  <c r="F52" i="5"/>
  <c r="M154" i="5"/>
  <c r="M169" i="5"/>
  <c r="M44" i="5"/>
  <c r="G181" i="5"/>
  <c r="L78" i="5"/>
  <c r="A106" i="23" l="1"/>
  <c r="BN50" i="21"/>
  <c r="BM50" i="21"/>
  <c r="B12" i="21"/>
  <c r="Q2" i="21"/>
  <c r="O2" i="21"/>
  <c r="P2" i="21"/>
  <c r="AF2" i="21" s="1"/>
  <c r="CL51" i="21"/>
  <c r="CM51" i="21"/>
  <c r="BX50" i="21"/>
  <c r="BW52" i="21"/>
  <c r="CR52" i="21" s="1"/>
  <c r="CC51" i="21"/>
  <c r="CB51" i="21"/>
  <c r="CA51" i="21"/>
  <c r="BZ51" i="21"/>
  <c r="BJ50" i="21"/>
  <c r="BL50" i="21"/>
  <c r="BK50" i="21"/>
  <c r="BA49" i="21"/>
  <c r="BS50" i="21"/>
  <c r="BO50" i="21"/>
  <c r="BF50" i="21"/>
  <c r="BR50" i="21"/>
  <c r="BI50" i="21"/>
  <c r="BE50" i="21"/>
  <c r="BU50" i="21"/>
  <c r="BQ50" i="21"/>
  <c r="BH50" i="21"/>
  <c r="BD50" i="21"/>
  <c r="BT50" i="21"/>
  <c r="BP50" i="21"/>
  <c r="BC50" i="21"/>
  <c r="BG50" i="21"/>
  <c r="AZ51" i="21"/>
  <c r="M36" i="5"/>
  <c r="M73" i="5" s="1"/>
  <c r="M110" i="5" s="1"/>
  <c r="H150" i="5"/>
  <c r="G151" i="5"/>
  <c r="L111" i="5"/>
  <c r="L112" i="5"/>
  <c r="L113" i="5"/>
  <c r="L114" i="5"/>
  <c r="L115" i="5"/>
  <c r="L116" i="5"/>
  <c r="L117" i="5"/>
  <c r="L118" i="5"/>
  <c r="L119" i="5"/>
  <c r="L120" i="5"/>
  <c r="L121" i="5"/>
  <c r="L122" i="5"/>
  <c r="L123" i="5"/>
  <c r="L124" i="5"/>
  <c r="L109" i="5"/>
  <c r="M72" i="5"/>
  <c r="N35" i="5"/>
  <c r="I125" i="5"/>
  <c r="H125" i="5"/>
  <c r="L125" i="5"/>
  <c r="F125" i="5"/>
  <c r="J125" i="5"/>
  <c r="G125" i="5"/>
  <c r="E125" i="5"/>
  <c r="K125" i="5"/>
  <c r="D90" i="5"/>
  <c r="D54" i="5"/>
  <c r="H27" i="5"/>
  <c r="H6" i="5" s="1"/>
  <c r="M27" i="5"/>
  <c r="N158" i="5"/>
  <c r="N167" i="5"/>
  <c r="N41" i="5"/>
  <c r="J89" i="5"/>
  <c r="G182" i="5"/>
  <c r="N180" i="5"/>
  <c r="N160" i="5"/>
  <c r="L53" i="5"/>
  <c r="J182" i="5"/>
  <c r="N177" i="5"/>
  <c r="M53" i="5"/>
  <c r="H89" i="5"/>
  <c r="N166" i="5"/>
  <c r="M76" i="5"/>
  <c r="N50" i="5"/>
  <c r="N154" i="5"/>
  <c r="M78" i="5"/>
  <c r="N159" i="5"/>
  <c r="N162" i="5"/>
  <c r="M79" i="5"/>
  <c r="I89" i="5"/>
  <c r="M88" i="5"/>
  <c r="N178" i="5"/>
  <c r="N47" i="5"/>
  <c r="M87" i="5"/>
  <c r="M83" i="5"/>
  <c r="N169" i="5"/>
  <c r="N174" i="5"/>
  <c r="N45" i="5"/>
  <c r="N157" i="5"/>
  <c r="G53" i="5"/>
  <c r="N175" i="5"/>
  <c r="M82" i="5"/>
  <c r="K89" i="5"/>
  <c r="N49" i="5"/>
  <c r="N172" i="5"/>
  <c r="N164" i="5"/>
  <c r="N171" i="5"/>
  <c r="N48" i="5"/>
  <c r="N181" i="5"/>
  <c r="M81" i="5"/>
  <c r="N161" i="5"/>
  <c r="M84" i="5"/>
  <c r="N53" i="5"/>
  <c r="K53" i="5"/>
  <c r="N156" i="5"/>
  <c r="L89" i="5"/>
  <c r="N168" i="5"/>
  <c r="N39" i="5"/>
  <c r="M85" i="5"/>
  <c r="N165" i="5"/>
  <c r="N43" i="5"/>
  <c r="N52" i="5"/>
  <c r="J53" i="5"/>
  <c r="N46" i="5"/>
  <c r="I182" i="5"/>
  <c r="M75" i="5"/>
  <c r="I53" i="5"/>
  <c r="F89" i="5"/>
  <c r="L182" i="5"/>
  <c r="N37" i="5"/>
  <c r="K182" i="5"/>
  <c r="N163" i="5"/>
  <c r="N38" i="5"/>
  <c r="N152" i="5"/>
  <c r="N40" i="5"/>
  <c r="N170" i="5"/>
  <c r="F182" i="5"/>
  <c r="N179" i="5"/>
  <c r="M89" i="5"/>
  <c r="G89" i="5"/>
  <c r="E53" i="5"/>
  <c r="M182" i="5"/>
  <c r="E182" i="5"/>
  <c r="N42" i="5"/>
  <c r="M74" i="5"/>
  <c r="N51" i="5"/>
  <c r="E89" i="5"/>
  <c r="N155" i="5"/>
  <c r="M77" i="5"/>
  <c r="F53" i="5"/>
  <c r="H182" i="5"/>
  <c r="N153" i="5"/>
  <c r="N176" i="5"/>
  <c r="N44" i="5"/>
  <c r="H53" i="5"/>
  <c r="N182" i="5"/>
  <c r="N173" i="5"/>
  <c r="M80" i="5"/>
  <c r="M86" i="5"/>
  <c r="A107" i="23" l="1"/>
  <c r="A108" i="23" s="1"/>
  <c r="AC2" i="21"/>
  <c r="BN51" i="21"/>
  <c r="BM51" i="21"/>
  <c r="X2" i="21"/>
  <c r="AD2" i="21"/>
  <c r="Z2" i="21"/>
  <c r="AE2" i="21"/>
  <c r="V2" i="21"/>
  <c r="U2" i="21"/>
  <c r="AA2" i="21"/>
  <c r="W2" i="21"/>
  <c r="T2" i="21"/>
  <c r="AB2" i="21"/>
  <c r="AG2" i="21"/>
  <c r="Y2" i="21"/>
  <c r="R2" i="21"/>
  <c r="CL52" i="21"/>
  <c r="CM52" i="21"/>
  <c r="BX51" i="21"/>
  <c r="BW53" i="21"/>
  <c r="CR53" i="21" s="1"/>
  <c r="CC52" i="21"/>
  <c r="CB52" i="21"/>
  <c r="CA52" i="21"/>
  <c r="BZ52" i="21"/>
  <c r="BL51" i="21"/>
  <c r="BK51" i="21"/>
  <c r="BJ51" i="21"/>
  <c r="BA50" i="21"/>
  <c r="BU51" i="21"/>
  <c r="BQ51" i="21"/>
  <c r="BH51" i="21"/>
  <c r="BD51" i="21"/>
  <c r="BT51" i="21"/>
  <c r="BP51" i="21"/>
  <c r="BG51" i="21"/>
  <c r="BC51" i="21"/>
  <c r="BS51" i="21"/>
  <c r="BO51" i="21"/>
  <c r="BF51" i="21"/>
  <c r="BR51" i="21"/>
  <c r="BI51" i="21"/>
  <c r="BE51" i="21"/>
  <c r="AZ52" i="21"/>
  <c r="N36" i="5"/>
  <c r="N73" i="5" s="1"/>
  <c r="N110" i="5" s="1"/>
  <c r="H151" i="5"/>
  <c r="I150" i="5"/>
  <c r="M111" i="5"/>
  <c r="M112" i="5"/>
  <c r="M113" i="5"/>
  <c r="M114" i="5"/>
  <c r="M115" i="5"/>
  <c r="M116" i="5"/>
  <c r="M117" i="5"/>
  <c r="M118" i="5"/>
  <c r="M119" i="5"/>
  <c r="M120" i="5"/>
  <c r="M121" i="5"/>
  <c r="M122" i="5"/>
  <c r="M123" i="5"/>
  <c r="M124" i="5"/>
  <c r="M125" i="5"/>
  <c r="O35" i="5"/>
  <c r="N72" i="5"/>
  <c r="M109" i="5"/>
  <c r="G126" i="5"/>
  <c r="L126" i="5"/>
  <c r="E126" i="5"/>
  <c r="K126" i="5"/>
  <c r="I126" i="5"/>
  <c r="M126" i="5"/>
  <c r="F126" i="5"/>
  <c r="H126" i="5"/>
  <c r="J126" i="5"/>
  <c r="D91" i="5"/>
  <c r="D55" i="5"/>
  <c r="H7" i="5"/>
  <c r="M17" i="5"/>
  <c r="M18" i="5" s="1"/>
  <c r="M12" i="5"/>
  <c r="M19" i="5"/>
  <c r="M20" i="5" s="1"/>
  <c r="M13" i="5"/>
  <c r="M14" i="5" s="1"/>
  <c r="M15" i="5"/>
  <c r="M16" i="5" s="1"/>
  <c r="M11" i="5"/>
  <c r="M6" i="5"/>
  <c r="M7" i="5" s="1"/>
  <c r="H19" i="5"/>
  <c r="H20" i="5" s="1"/>
  <c r="H13" i="5"/>
  <c r="H14" i="5" s="1"/>
  <c r="H12" i="5"/>
  <c r="H11" i="5"/>
  <c r="H15" i="5"/>
  <c r="H16" i="5" s="1"/>
  <c r="H17" i="5"/>
  <c r="H18" i="5" s="1"/>
  <c r="Z26" i="5"/>
  <c r="U26" i="5"/>
  <c r="N81" i="5"/>
  <c r="O49" i="5"/>
  <c r="F54" i="5"/>
  <c r="N183" i="5"/>
  <c r="G90" i="5"/>
  <c r="O165" i="5"/>
  <c r="O166" i="5"/>
  <c r="O181" i="5"/>
  <c r="O180" i="5"/>
  <c r="O161" i="5"/>
  <c r="O177" i="5"/>
  <c r="O53" i="5"/>
  <c r="N86" i="5"/>
  <c r="J54" i="5"/>
  <c r="M90" i="5"/>
  <c r="F183" i="5"/>
  <c r="E54" i="5"/>
  <c r="E183" i="5"/>
  <c r="H90" i="5"/>
  <c r="N79" i="5"/>
  <c r="O156" i="5"/>
  <c r="O168" i="5"/>
  <c r="O164" i="5"/>
  <c r="O172" i="5"/>
  <c r="O162" i="5"/>
  <c r="O183" i="5"/>
  <c r="N76" i="5"/>
  <c r="I183" i="5"/>
  <c r="O157" i="5"/>
  <c r="L183" i="5"/>
  <c r="O179" i="5"/>
  <c r="N84" i="5"/>
  <c r="O37" i="5"/>
  <c r="O176" i="5"/>
  <c r="M54" i="5"/>
  <c r="O153" i="5"/>
  <c r="O47" i="5"/>
  <c r="N77" i="5"/>
  <c r="O46" i="5"/>
  <c r="L54" i="5"/>
  <c r="O41" i="5"/>
  <c r="N90" i="5"/>
  <c r="H54" i="5"/>
  <c r="L90" i="5"/>
  <c r="K54" i="5"/>
  <c r="O44" i="5"/>
  <c r="O43" i="5"/>
  <c r="N89" i="5"/>
  <c r="O42" i="5"/>
  <c r="O160" i="5"/>
  <c r="K183" i="5"/>
  <c r="G54" i="5"/>
  <c r="O38" i="5"/>
  <c r="O51" i="5"/>
  <c r="O175" i="5"/>
  <c r="O158" i="5"/>
  <c r="I54" i="5"/>
  <c r="O45" i="5"/>
  <c r="N78" i="5"/>
  <c r="O152" i="5"/>
  <c r="O170" i="5"/>
  <c r="O174" i="5"/>
  <c r="J183" i="5"/>
  <c r="N87" i="5"/>
  <c r="O154" i="5"/>
  <c r="O54" i="5"/>
  <c r="N74" i="5"/>
  <c r="O39" i="5"/>
  <c r="O171" i="5"/>
  <c r="O155" i="5"/>
  <c r="N80" i="5"/>
  <c r="G183" i="5"/>
  <c r="N75" i="5"/>
  <c r="O182" i="5"/>
  <c r="F90" i="5"/>
  <c r="O169" i="5"/>
  <c r="O173" i="5"/>
  <c r="N85" i="5"/>
  <c r="J90" i="5"/>
  <c r="M183" i="5"/>
  <c r="O167" i="5"/>
  <c r="O159" i="5"/>
  <c r="N82" i="5"/>
  <c r="I90" i="5"/>
  <c r="N83" i="5"/>
  <c r="O48" i="5"/>
  <c r="K90" i="5"/>
  <c r="O178" i="5"/>
  <c r="H183" i="5"/>
  <c r="E90" i="5"/>
  <c r="N88" i="5"/>
  <c r="N54" i="5"/>
  <c r="O40" i="5"/>
  <c r="O52" i="5"/>
  <c r="O163" i="5"/>
  <c r="O50" i="5"/>
  <c r="A109" i="23" l="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A266" i="23" s="1"/>
  <c r="A267" i="23" s="1"/>
  <c r="A268" i="23" s="1"/>
  <c r="A269" i="23" s="1"/>
  <c r="A270" i="23" s="1"/>
  <c r="A271" i="23" s="1"/>
  <c r="A272" i="23" s="1"/>
  <c r="A273" i="23" s="1"/>
  <c r="A274" i="23" s="1"/>
  <c r="A275" i="23" s="1"/>
  <c r="A276" i="23" s="1"/>
  <c r="A277" i="23" s="1"/>
  <c r="A278" i="23" s="1"/>
  <c r="A279" i="23" s="1"/>
  <c r="A280" i="23" s="1"/>
  <c r="A281" i="23" s="1"/>
  <c r="A282" i="23" s="1"/>
  <c r="A283" i="23" s="1"/>
  <c r="A284" i="23" s="1"/>
  <c r="A285" i="23" s="1"/>
  <c r="A286" i="23" s="1"/>
  <c r="A287" i="23" s="1"/>
  <c r="A288" i="23" s="1"/>
  <c r="A289" i="23" s="1"/>
  <c r="A290" i="23" s="1"/>
  <c r="A291" i="23" s="1"/>
  <c r="A292" i="23" s="1"/>
  <c r="A293" i="23" s="1"/>
  <c r="A294" i="23" s="1"/>
  <c r="A295" i="23" s="1"/>
  <c r="A296" i="23" s="1"/>
  <c r="A297" i="23" s="1"/>
  <c r="A298" i="23" s="1"/>
  <c r="A299" i="23" s="1"/>
  <c r="A300" i="23" s="1"/>
  <c r="A301" i="23" s="1"/>
  <c r="A302" i="23" s="1"/>
  <c r="A303" i="23" s="1"/>
  <c r="A304" i="23" s="1"/>
  <c r="A305" i="23" s="1"/>
  <c r="A306" i="23" s="1"/>
  <c r="A307" i="23" s="1"/>
  <c r="A308" i="23" s="1"/>
  <c r="A309" i="23" s="1"/>
  <c r="A310" i="23" s="1"/>
  <c r="A311" i="23" s="1"/>
  <c r="A312" i="23" s="1"/>
  <c r="A313" i="23" s="1"/>
  <c r="A314" i="23" s="1"/>
  <c r="A315" i="23" s="1"/>
  <c r="A316" i="23" s="1"/>
  <c r="A317" i="23" s="1"/>
  <c r="A318" i="23" s="1"/>
  <c r="A319" i="23" s="1"/>
  <c r="A320" i="23" s="1"/>
  <c r="A321" i="23" s="1"/>
  <c r="A322" i="23" s="1"/>
  <c r="A323" i="23" s="1"/>
  <c r="A324" i="23" s="1"/>
  <c r="A325" i="23" s="1"/>
  <c r="A326" i="23" s="1"/>
  <c r="A327" i="23" s="1"/>
  <c r="A328" i="23" s="1"/>
  <c r="A329" i="23" s="1"/>
  <c r="A330" i="23" s="1"/>
  <c r="A331" i="23" s="1"/>
  <c r="A332" i="23" s="1"/>
  <c r="A333" i="23" s="1"/>
  <c r="A334" i="23" s="1"/>
  <c r="A335" i="23" s="1"/>
  <c r="A336" i="23" s="1"/>
  <c r="A337" i="23" s="1"/>
  <c r="A338" i="23" s="1"/>
  <c r="A339" i="23" s="1"/>
  <c r="A340" i="23" s="1"/>
  <c r="A341" i="23" s="1"/>
  <c r="A342" i="23" s="1"/>
  <c r="A343" i="23" s="1"/>
  <c r="A344" i="23" s="1"/>
  <c r="A345" i="23" s="1"/>
  <c r="A346" i="23" s="1"/>
  <c r="A347" i="23" s="1"/>
  <c r="A348" i="23" s="1"/>
  <c r="A349" i="23" s="1"/>
  <c r="A350" i="23" s="1"/>
  <c r="A351" i="23" s="1"/>
  <c r="A352" i="23" s="1"/>
  <c r="A353" i="23" s="1"/>
  <c r="A354" i="23" s="1"/>
  <c r="A355" i="23" s="1"/>
  <c r="A356" i="23" s="1"/>
  <c r="A357" i="23" s="1"/>
  <c r="A358" i="23" s="1"/>
  <c r="A359" i="23" s="1"/>
  <c r="A360" i="23" s="1"/>
  <c r="A361" i="23" s="1"/>
  <c r="A362" i="23" s="1"/>
  <c r="A363" i="23" s="1"/>
  <c r="A364" i="23" s="1"/>
  <c r="A365" i="23" s="1"/>
  <c r="A366" i="23" s="1"/>
  <c r="A367" i="23" s="1"/>
  <c r="A368" i="23" s="1"/>
  <c r="A369" i="23" s="1"/>
  <c r="A370" i="23" s="1"/>
  <c r="A371" i="23" s="1"/>
  <c r="A372" i="23" s="1"/>
  <c r="A373" i="23" s="1"/>
  <c r="A374" i="23" s="1"/>
  <c r="A375" i="23" s="1"/>
  <c r="A376" i="23" s="1"/>
  <c r="A377" i="23" s="1"/>
  <c r="A378" i="23" s="1"/>
  <c r="A379" i="23" s="1"/>
  <c r="A380" i="23" s="1"/>
  <c r="A381" i="23" s="1"/>
  <c r="A382" i="23" s="1"/>
  <c r="A383" i="23" s="1"/>
  <c r="A384" i="23" s="1"/>
  <c r="A385" i="23" s="1"/>
  <c r="A386" i="23" s="1"/>
  <c r="A387" i="23" s="1"/>
  <c r="A388" i="23" s="1"/>
  <c r="A389" i="23" s="1"/>
  <c r="A390" i="23" s="1"/>
  <c r="A391" i="23" s="1"/>
  <c r="A392" i="23" s="1"/>
  <c r="A393" i="23" s="1"/>
  <c r="A394" i="23" s="1"/>
  <c r="A395" i="23" s="1"/>
  <c r="A396" i="23" s="1"/>
  <c r="A397" i="23" s="1"/>
  <c r="A398" i="23" s="1"/>
  <c r="A399" i="23" s="1"/>
  <c r="A400" i="23" s="1"/>
  <c r="A401" i="23" s="1"/>
  <c r="A402" i="23" s="1"/>
  <c r="A403" i="23" s="1"/>
  <c r="A404" i="23" s="1"/>
  <c r="A405" i="23" s="1"/>
  <c r="A406" i="23" s="1"/>
  <c r="A407" i="23" s="1"/>
  <c r="A408" i="23" s="1"/>
  <c r="A409" i="23" s="1"/>
  <c r="A410" i="23" s="1"/>
  <c r="A411" i="23" s="1"/>
  <c r="A412" i="23" s="1"/>
  <c r="A413" i="23" s="1"/>
  <c r="A414" i="23" s="1"/>
  <c r="A415" i="23" s="1"/>
  <c r="A416" i="23" s="1"/>
  <c r="A417" i="23" s="1"/>
  <c r="A418" i="23" s="1"/>
  <c r="A419" i="23" s="1"/>
  <c r="A420" i="23" s="1"/>
  <c r="A421" i="23" s="1"/>
  <c r="A422" i="23" s="1"/>
  <c r="A423" i="23" s="1"/>
  <c r="A424" i="23" s="1"/>
  <c r="A425" i="23" s="1"/>
  <c r="A426" i="23" s="1"/>
  <c r="A427" i="23" s="1"/>
  <c r="A428" i="23" s="1"/>
  <c r="A429" i="23" s="1"/>
  <c r="A430" i="23" s="1"/>
  <c r="A431" i="23" s="1"/>
  <c r="A432" i="23" s="1"/>
  <c r="A433" i="23" s="1"/>
  <c r="A434" i="23" s="1"/>
  <c r="BN52" i="21"/>
  <c r="BM52" i="21"/>
  <c r="CL53" i="21"/>
  <c r="CM53" i="21"/>
  <c r="BX52" i="21"/>
  <c r="BW54" i="21"/>
  <c r="CR54" i="21" s="1"/>
  <c r="CC53" i="21"/>
  <c r="BZ53" i="21"/>
  <c r="CB53" i="21"/>
  <c r="CA53" i="21"/>
  <c r="BL52" i="21"/>
  <c r="BK52" i="21"/>
  <c r="BJ52" i="21"/>
  <c r="BA51" i="21"/>
  <c r="BS52" i="21"/>
  <c r="BO52" i="21"/>
  <c r="BF52" i="21"/>
  <c r="BR52" i="21"/>
  <c r="BI52" i="21"/>
  <c r="BE52" i="21"/>
  <c r="BU52" i="21"/>
  <c r="BQ52" i="21"/>
  <c r="BH52" i="21"/>
  <c r="BD52" i="21"/>
  <c r="BC52" i="21"/>
  <c r="BT52" i="21"/>
  <c r="BP52" i="21"/>
  <c r="BG52" i="21"/>
  <c r="AZ53" i="21"/>
  <c r="O36" i="5"/>
  <c r="O73" i="5" s="1"/>
  <c r="O110" i="5" s="1"/>
  <c r="I151" i="5"/>
  <c r="J150" i="5"/>
  <c r="N111" i="5"/>
  <c r="N112" i="5"/>
  <c r="N113" i="5"/>
  <c r="N114" i="5"/>
  <c r="N115" i="5"/>
  <c r="N116" i="5"/>
  <c r="N117" i="5"/>
  <c r="N118" i="5"/>
  <c r="N119" i="5"/>
  <c r="N120" i="5"/>
  <c r="N121" i="5"/>
  <c r="N122" i="5"/>
  <c r="N123" i="5"/>
  <c r="N124" i="5"/>
  <c r="N125" i="5"/>
  <c r="N126" i="5"/>
  <c r="P35" i="5"/>
  <c r="O72" i="5"/>
  <c r="N109" i="5"/>
  <c r="K127" i="5"/>
  <c r="H127" i="5"/>
  <c r="N127" i="5"/>
  <c r="L127" i="5"/>
  <c r="E127" i="5"/>
  <c r="I127" i="5"/>
  <c r="J127" i="5"/>
  <c r="F127" i="5"/>
  <c r="G127" i="5"/>
  <c r="M127" i="5"/>
  <c r="D92" i="5"/>
  <c r="D56" i="5"/>
  <c r="N34" i="10"/>
  <c r="W34" i="10" s="1"/>
  <c r="N33" i="10"/>
  <c r="N32" i="10"/>
  <c r="W32" i="10" s="1"/>
  <c r="N31" i="10"/>
  <c r="W31" i="10" s="1"/>
  <c r="N30" i="10"/>
  <c r="W30" i="10" s="1"/>
  <c r="N29" i="10"/>
  <c r="X29" i="10" s="1"/>
  <c r="N28" i="10"/>
  <c r="U28" i="10" s="1"/>
  <c r="N27" i="10"/>
  <c r="W27" i="10" s="1"/>
  <c r="N26" i="10"/>
  <c r="W26" i="10" s="1"/>
  <c r="N25" i="10"/>
  <c r="N24" i="10"/>
  <c r="X24" i="10" s="1"/>
  <c r="N23" i="10"/>
  <c r="U23" i="10" s="1"/>
  <c r="N22" i="10"/>
  <c r="W22" i="10" s="1"/>
  <c r="N21" i="10"/>
  <c r="W21" i="10" s="1"/>
  <c r="N20" i="10"/>
  <c r="W20" i="10" s="1"/>
  <c r="N19" i="10"/>
  <c r="W19" i="10" s="1"/>
  <c r="N18" i="10"/>
  <c r="X18" i="10" s="1"/>
  <c r="N17" i="10"/>
  <c r="X17" i="10" s="1"/>
  <c r="N36" i="10"/>
  <c r="X36" i="10" s="1"/>
  <c r="U35" i="10"/>
  <c r="U25" i="10"/>
  <c r="W24" i="10"/>
  <c r="W58" i="10"/>
  <c r="W57" i="10"/>
  <c r="W56" i="10"/>
  <c r="W55" i="10"/>
  <c r="W54" i="10"/>
  <c r="W53" i="10"/>
  <c r="W52" i="10"/>
  <c r="W51" i="10"/>
  <c r="W50" i="10"/>
  <c r="W49" i="10"/>
  <c r="W48" i="10"/>
  <c r="W47" i="10"/>
  <c r="W46" i="10"/>
  <c r="W45" i="10"/>
  <c r="W44" i="10"/>
  <c r="W43" i="10"/>
  <c r="W42" i="10"/>
  <c r="W41" i="10"/>
  <c r="W40" i="10"/>
  <c r="W39" i="10"/>
  <c r="W38" i="10"/>
  <c r="W35" i="10"/>
  <c r="X58" i="10"/>
  <c r="V58" i="10"/>
  <c r="U58" i="10"/>
  <c r="L58" i="10"/>
  <c r="K58" i="10"/>
  <c r="J58" i="10"/>
  <c r="I58" i="10"/>
  <c r="X57" i="10"/>
  <c r="V57" i="10"/>
  <c r="U57" i="10"/>
  <c r="L57" i="10"/>
  <c r="K57" i="10"/>
  <c r="J57" i="10"/>
  <c r="I57" i="10"/>
  <c r="X56" i="10"/>
  <c r="V56" i="10"/>
  <c r="U56" i="10"/>
  <c r="L56" i="10"/>
  <c r="K56" i="10"/>
  <c r="J56" i="10"/>
  <c r="I56" i="10"/>
  <c r="X55" i="10"/>
  <c r="V55" i="10"/>
  <c r="U55" i="10"/>
  <c r="L55" i="10"/>
  <c r="K55" i="10"/>
  <c r="J55" i="10"/>
  <c r="I55" i="10"/>
  <c r="X54" i="10"/>
  <c r="V54" i="10"/>
  <c r="U54" i="10"/>
  <c r="L54" i="10"/>
  <c r="K54" i="10"/>
  <c r="J54" i="10"/>
  <c r="I54" i="10"/>
  <c r="X53" i="10"/>
  <c r="V53" i="10"/>
  <c r="U53" i="10"/>
  <c r="L53" i="10"/>
  <c r="K53" i="10"/>
  <c r="J53" i="10"/>
  <c r="I53" i="10"/>
  <c r="X52" i="10"/>
  <c r="V52" i="10"/>
  <c r="U52" i="10"/>
  <c r="L52" i="10"/>
  <c r="K52" i="10"/>
  <c r="J52" i="10"/>
  <c r="I52" i="10"/>
  <c r="X51" i="10"/>
  <c r="V51" i="10"/>
  <c r="U51" i="10"/>
  <c r="L51" i="10"/>
  <c r="K51" i="10"/>
  <c r="J51" i="10"/>
  <c r="I51" i="10"/>
  <c r="X50" i="10"/>
  <c r="V50" i="10"/>
  <c r="U50" i="10"/>
  <c r="L50" i="10"/>
  <c r="K50" i="10"/>
  <c r="J50" i="10"/>
  <c r="I50" i="10"/>
  <c r="X49" i="10"/>
  <c r="V49" i="10"/>
  <c r="U49" i="10"/>
  <c r="L49" i="10"/>
  <c r="K49" i="10"/>
  <c r="J49" i="10"/>
  <c r="I49" i="10"/>
  <c r="X48" i="10"/>
  <c r="V48" i="10"/>
  <c r="U48" i="10"/>
  <c r="L48" i="10"/>
  <c r="K48" i="10"/>
  <c r="J48" i="10"/>
  <c r="I48" i="10"/>
  <c r="X47" i="10"/>
  <c r="V47" i="10"/>
  <c r="U47" i="10"/>
  <c r="L47" i="10"/>
  <c r="K47" i="10"/>
  <c r="J47" i="10"/>
  <c r="I47" i="10"/>
  <c r="X46" i="10"/>
  <c r="V46" i="10"/>
  <c r="U46" i="10"/>
  <c r="L46" i="10"/>
  <c r="K46" i="10"/>
  <c r="J46" i="10"/>
  <c r="I46" i="10"/>
  <c r="X45" i="10"/>
  <c r="V45" i="10"/>
  <c r="U45" i="10"/>
  <c r="L45" i="10"/>
  <c r="K45" i="10"/>
  <c r="J45" i="10"/>
  <c r="I45" i="10"/>
  <c r="X44" i="10"/>
  <c r="V44" i="10"/>
  <c r="U44" i="10"/>
  <c r="L44" i="10"/>
  <c r="K44" i="10"/>
  <c r="J44" i="10"/>
  <c r="I44" i="10"/>
  <c r="X43" i="10"/>
  <c r="V43" i="10"/>
  <c r="U43" i="10"/>
  <c r="L43" i="10"/>
  <c r="K43" i="10"/>
  <c r="J43" i="10"/>
  <c r="I43" i="10"/>
  <c r="X42" i="10"/>
  <c r="V42" i="10"/>
  <c r="U42" i="10"/>
  <c r="L42" i="10"/>
  <c r="K42" i="10"/>
  <c r="J42" i="10"/>
  <c r="I42" i="10"/>
  <c r="X41" i="10"/>
  <c r="V41" i="10"/>
  <c r="U41" i="10"/>
  <c r="L41" i="10"/>
  <c r="K41" i="10"/>
  <c r="J41" i="10"/>
  <c r="I41" i="10"/>
  <c r="X40" i="10"/>
  <c r="V40" i="10"/>
  <c r="U40" i="10"/>
  <c r="L40" i="10"/>
  <c r="K40" i="10"/>
  <c r="J40" i="10"/>
  <c r="I40" i="10"/>
  <c r="X39" i="10"/>
  <c r="V39" i="10"/>
  <c r="U39" i="10"/>
  <c r="V18" i="10"/>
  <c r="V19" i="10"/>
  <c r="V20" i="10"/>
  <c r="V21" i="10"/>
  <c r="V22" i="10"/>
  <c r="V23" i="10"/>
  <c r="V24" i="10"/>
  <c r="V25" i="10"/>
  <c r="V26" i="10"/>
  <c r="V27" i="10"/>
  <c r="V28" i="10"/>
  <c r="V29" i="10"/>
  <c r="V30" i="10"/>
  <c r="V31" i="10"/>
  <c r="V32" i="10"/>
  <c r="V33" i="10"/>
  <c r="V34" i="10"/>
  <c r="V35" i="10"/>
  <c r="V36" i="10"/>
  <c r="V17" i="10"/>
  <c r="X35" i="10"/>
  <c r="A1" i="10"/>
  <c r="S37" i="10"/>
  <c r="P54" i="5"/>
  <c r="P157" i="5"/>
  <c r="P40" i="5"/>
  <c r="P55" i="5"/>
  <c r="O75" i="5"/>
  <c r="P41" i="5"/>
  <c r="O77" i="5"/>
  <c r="P164" i="5"/>
  <c r="P179" i="5"/>
  <c r="P173" i="5"/>
  <c r="N55" i="5"/>
  <c r="O78" i="5"/>
  <c r="P183" i="5"/>
  <c r="P48" i="5"/>
  <c r="O80" i="5"/>
  <c r="P156" i="5"/>
  <c r="P172" i="5"/>
  <c r="O81" i="5"/>
  <c r="P177" i="5"/>
  <c r="O88" i="5"/>
  <c r="I55" i="5"/>
  <c r="O86" i="5"/>
  <c r="P159" i="5"/>
  <c r="O91" i="5"/>
  <c r="O76" i="5"/>
  <c r="O90" i="5"/>
  <c r="P168" i="5"/>
  <c r="P50" i="5"/>
  <c r="O74" i="5"/>
  <c r="P44" i="5"/>
  <c r="G91" i="5"/>
  <c r="P153" i="5"/>
  <c r="P174" i="5"/>
  <c r="J91" i="5"/>
  <c r="P38" i="5"/>
  <c r="P166" i="5"/>
  <c r="P170" i="5"/>
  <c r="P162" i="5"/>
  <c r="O79" i="5"/>
  <c r="O82" i="5"/>
  <c r="P47" i="5"/>
  <c r="P180" i="5"/>
  <c r="E55" i="5"/>
  <c r="P167" i="5"/>
  <c r="P154" i="5"/>
  <c r="L55" i="5"/>
  <c r="G55" i="5"/>
  <c r="P155" i="5"/>
  <c r="O87" i="5"/>
  <c r="N91" i="5"/>
  <c r="M91" i="5"/>
  <c r="P39" i="5"/>
  <c r="P171" i="5"/>
  <c r="P175" i="5"/>
  <c r="P46" i="5"/>
  <c r="H91" i="5"/>
  <c r="J55" i="5"/>
  <c r="E91" i="5"/>
  <c r="P45" i="5"/>
  <c r="P160" i="5"/>
  <c r="O83" i="5"/>
  <c r="P43" i="5"/>
  <c r="O84" i="5"/>
  <c r="P178" i="5"/>
  <c r="P53" i="5"/>
  <c r="M55" i="5"/>
  <c r="P52" i="5"/>
  <c r="P161" i="5"/>
  <c r="I91" i="5"/>
  <c r="P181" i="5"/>
  <c r="P49" i="5"/>
  <c r="K55" i="5"/>
  <c r="P169" i="5"/>
  <c r="P163" i="5"/>
  <c r="O85" i="5"/>
  <c r="F55" i="5"/>
  <c r="P182" i="5"/>
  <c r="P165" i="5"/>
  <c r="P51" i="5"/>
  <c r="K91" i="5"/>
  <c r="P42" i="5"/>
  <c r="P152" i="5"/>
  <c r="F91" i="5"/>
  <c r="L91" i="5"/>
  <c r="H55" i="5"/>
  <c r="P176" i="5"/>
  <c r="O89" i="5"/>
  <c r="P37" i="5"/>
  <c r="O55" i="5"/>
  <c r="P158" i="5"/>
  <c r="Z9" i="10" l="1"/>
  <c r="Y9" i="10"/>
  <c r="AA9" i="10" s="1"/>
  <c r="Z8" i="10"/>
  <c r="Y8" i="10"/>
  <c r="AA8" i="10" s="1"/>
  <c r="BN53" i="21"/>
  <c r="BM53" i="21"/>
  <c r="BX53" i="21"/>
  <c r="CL54" i="21"/>
  <c r="CM54" i="21"/>
  <c r="CC54" i="21"/>
  <c r="BZ54" i="21"/>
  <c r="CB54" i="21"/>
  <c r="CA54" i="21"/>
  <c r="BK53" i="21"/>
  <c r="BJ53" i="21"/>
  <c r="BL53" i="21"/>
  <c r="BA52" i="21"/>
  <c r="BU53" i="21"/>
  <c r="BQ53" i="21"/>
  <c r="BH53" i="21"/>
  <c r="BD53" i="21"/>
  <c r="BT53" i="21"/>
  <c r="BP53" i="21"/>
  <c r="BG53" i="21"/>
  <c r="BC53" i="21"/>
  <c r="BS53" i="21"/>
  <c r="BO53" i="21"/>
  <c r="BF53" i="21"/>
  <c r="BE53" i="21"/>
  <c r="BR53" i="21"/>
  <c r="BI53" i="21"/>
  <c r="AZ54" i="21"/>
  <c r="P36" i="5"/>
  <c r="P73" i="5" s="1"/>
  <c r="P110" i="5" s="1"/>
  <c r="J151" i="5"/>
  <c r="K150" i="5"/>
  <c r="O111" i="5"/>
  <c r="O112" i="5"/>
  <c r="O113" i="5"/>
  <c r="O114" i="5"/>
  <c r="O115" i="5"/>
  <c r="O116" i="5"/>
  <c r="O117" i="5"/>
  <c r="O118" i="5"/>
  <c r="O119" i="5"/>
  <c r="O120" i="5"/>
  <c r="O121" i="5"/>
  <c r="O122" i="5"/>
  <c r="O123" i="5"/>
  <c r="O124" i="5"/>
  <c r="O125" i="5"/>
  <c r="O126" i="5"/>
  <c r="O127" i="5"/>
  <c r="O109" i="5"/>
  <c r="Q35" i="5"/>
  <c r="P72" i="5"/>
  <c r="F128" i="5"/>
  <c r="J128" i="5"/>
  <c r="G128" i="5"/>
  <c r="I128" i="5"/>
  <c r="M128" i="5"/>
  <c r="N128" i="5"/>
  <c r="K128" i="5"/>
  <c r="H128" i="5"/>
  <c r="E128" i="5"/>
  <c r="O128" i="5"/>
  <c r="L128" i="5"/>
  <c r="D93" i="5"/>
  <c r="D57" i="5"/>
  <c r="Z7" i="10"/>
  <c r="Y7" i="10"/>
  <c r="AA7" i="10" s="1"/>
  <c r="Z6" i="10"/>
  <c r="Y6" i="10"/>
  <c r="AA6" i="10" s="1"/>
  <c r="Z5" i="10"/>
  <c r="Y5" i="10"/>
  <c r="AA5" i="10" s="1"/>
  <c r="Z4" i="10"/>
  <c r="Y4" i="10"/>
  <c r="AA4" i="10" s="1"/>
  <c r="Z3" i="10"/>
  <c r="Y3" i="10"/>
  <c r="AA3" i="10" s="1"/>
  <c r="Z2" i="10"/>
  <c r="Y2" i="10"/>
  <c r="AA2" i="10" s="1"/>
  <c r="U32" i="10"/>
  <c r="U24" i="10"/>
  <c r="X20" i="10"/>
  <c r="X27" i="10"/>
  <c r="U36" i="10"/>
  <c r="W28" i="10"/>
  <c r="Z18" i="10"/>
  <c r="Z22" i="10"/>
  <c r="Z26" i="10"/>
  <c r="Z30" i="10"/>
  <c r="Z34" i="10"/>
  <c r="Z42" i="10"/>
  <c r="Z46" i="10"/>
  <c r="Z50" i="10"/>
  <c r="Z54" i="10"/>
  <c r="Z58" i="10"/>
  <c r="Z29" i="10"/>
  <c r="Z45" i="10"/>
  <c r="Z57" i="10"/>
  <c r="Z19" i="10"/>
  <c r="Z23" i="10"/>
  <c r="Z27" i="10"/>
  <c r="Z31" i="10"/>
  <c r="Z35" i="10"/>
  <c r="Z39" i="10"/>
  <c r="Z43" i="10"/>
  <c r="Z47" i="10"/>
  <c r="Z51" i="10"/>
  <c r="Z55" i="10"/>
  <c r="Z33" i="10"/>
  <c r="Z37" i="10"/>
  <c r="Z49" i="10"/>
  <c r="Z20" i="10"/>
  <c r="Z24" i="10"/>
  <c r="Z28" i="10"/>
  <c r="Z32" i="10"/>
  <c r="Z36" i="10"/>
  <c r="Z40" i="10"/>
  <c r="Z44" i="10"/>
  <c r="Z48" i="10"/>
  <c r="Z52" i="10"/>
  <c r="Z56" i="10"/>
  <c r="Z21" i="10"/>
  <c r="Z25" i="10"/>
  <c r="Z41" i="10"/>
  <c r="Z53" i="10"/>
  <c r="Y18" i="10"/>
  <c r="AA18" i="10" s="1"/>
  <c r="Z17" i="10"/>
  <c r="W18" i="10"/>
  <c r="W36" i="10"/>
  <c r="U27" i="10"/>
  <c r="X23" i="10"/>
  <c r="X31" i="10"/>
  <c r="U19" i="10"/>
  <c r="U31" i="10"/>
  <c r="X19" i="10"/>
  <c r="W23" i="10"/>
  <c r="W33" i="10"/>
  <c r="U33" i="10"/>
  <c r="X28" i="10"/>
  <c r="X32" i="10"/>
  <c r="U20" i="10"/>
  <c r="U29" i="10"/>
  <c r="X25" i="10"/>
  <c r="X21" i="10"/>
  <c r="U21" i="10"/>
  <c r="X22" i="10"/>
  <c r="U22" i="10"/>
  <c r="U26" i="10"/>
  <c r="U30" i="10"/>
  <c r="U34" i="10"/>
  <c r="X30" i="10"/>
  <c r="X26" i="10"/>
  <c r="U18" i="10"/>
  <c r="X33" i="10"/>
  <c r="W25" i="10"/>
  <c r="W29" i="10"/>
  <c r="X34" i="10"/>
  <c r="U17" i="10"/>
  <c r="W17" i="10"/>
  <c r="V37" i="10"/>
  <c r="Y45" i="10"/>
  <c r="AA45" i="10" s="1"/>
  <c r="Y47" i="10"/>
  <c r="AA47" i="10" s="1"/>
  <c r="Y49" i="10"/>
  <c r="AA49" i="10" s="1"/>
  <c r="Y51" i="10"/>
  <c r="AA51" i="10" s="1"/>
  <c r="Y53" i="10"/>
  <c r="AA53" i="10" s="1"/>
  <c r="Y55" i="10"/>
  <c r="AA55" i="10" s="1"/>
  <c r="Y57" i="10"/>
  <c r="AA57" i="10" s="1"/>
  <c r="Y41" i="10"/>
  <c r="AA41" i="10" s="1"/>
  <c r="J39" i="10"/>
  <c r="I39" i="10"/>
  <c r="L39" i="10"/>
  <c r="K39" i="10"/>
  <c r="Y42" i="10"/>
  <c r="AA42" i="10" s="1"/>
  <c r="Y39" i="10"/>
  <c r="AA39" i="10" s="1"/>
  <c r="Y43" i="10"/>
  <c r="AA43" i="10" s="1"/>
  <c r="Y46" i="10"/>
  <c r="AA46" i="10" s="1"/>
  <c r="Y48" i="10"/>
  <c r="AA48" i="10" s="1"/>
  <c r="Y50" i="10"/>
  <c r="AA50" i="10" s="1"/>
  <c r="Y52" i="10"/>
  <c r="AA52" i="10" s="1"/>
  <c r="Y54" i="10"/>
  <c r="AA54" i="10" s="1"/>
  <c r="Y56" i="10"/>
  <c r="AA56" i="10" s="1"/>
  <c r="Y58" i="10"/>
  <c r="AA58" i="10" s="1"/>
  <c r="Y40" i="10"/>
  <c r="AA40" i="10" s="1"/>
  <c r="Y44" i="10"/>
  <c r="AA44" i="10" s="1"/>
  <c r="Y37" i="10"/>
  <c r="Y36" i="10"/>
  <c r="AA36" i="10" s="1"/>
  <c r="Y33" i="10"/>
  <c r="Y25" i="10"/>
  <c r="Y17" i="10"/>
  <c r="Y32" i="10"/>
  <c r="Y20" i="10"/>
  <c r="Y21" i="10"/>
  <c r="Y24" i="10"/>
  <c r="AA24" i="10" s="1"/>
  <c r="Y35" i="10"/>
  <c r="AA35" i="10" s="1"/>
  <c r="Y31" i="10"/>
  <c r="Y27" i="10"/>
  <c r="Y23" i="10"/>
  <c r="Y19" i="10"/>
  <c r="Y29" i="10"/>
  <c r="AA29" i="10" s="1"/>
  <c r="Y28" i="10"/>
  <c r="Y34" i="10"/>
  <c r="Y30" i="10"/>
  <c r="Y26" i="10"/>
  <c r="Y22" i="10"/>
  <c r="I17" i="10"/>
  <c r="J17" i="10"/>
  <c r="L17" i="10"/>
  <c r="K17" i="10"/>
  <c r="I18" i="10"/>
  <c r="L18" i="10"/>
  <c r="K18" i="10"/>
  <c r="J18" i="10"/>
  <c r="I22" i="10"/>
  <c r="L22" i="10"/>
  <c r="K22" i="10"/>
  <c r="J22" i="10"/>
  <c r="I29" i="10"/>
  <c r="L29" i="10"/>
  <c r="K29" i="10"/>
  <c r="J29" i="10"/>
  <c r="I25" i="10"/>
  <c r="L25" i="10"/>
  <c r="K25" i="10"/>
  <c r="J25" i="10"/>
  <c r="I30" i="10"/>
  <c r="L30" i="10"/>
  <c r="K30" i="10"/>
  <c r="J30" i="10"/>
  <c r="I28" i="10"/>
  <c r="L28" i="10"/>
  <c r="K28" i="10"/>
  <c r="J28" i="10"/>
  <c r="I24" i="10"/>
  <c r="L24" i="10"/>
  <c r="K24" i="10"/>
  <c r="J24" i="10"/>
  <c r="I20" i="10"/>
  <c r="L20" i="10"/>
  <c r="K20" i="10"/>
  <c r="J20" i="10"/>
  <c r="I26" i="10"/>
  <c r="L26" i="10"/>
  <c r="K26" i="10"/>
  <c r="J26" i="10"/>
  <c r="I31" i="10"/>
  <c r="L31" i="10"/>
  <c r="K31" i="10"/>
  <c r="J31" i="10"/>
  <c r="I27" i="10"/>
  <c r="L27" i="10"/>
  <c r="K27" i="10"/>
  <c r="J27" i="10"/>
  <c r="I23" i="10"/>
  <c r="J23" i="10"/>
  <c r="L23" i="10"/>
  <c r="K23" i="10"/>
  <c r="I19" i="10"/>
  <c r="J19" i="10"/>
  <c r="L19" i="10"/>
  <c r="K19" i="10"/>
  <c r="I35" i="10"/>
  <c r="L35" i="10"/>
  <c r="K35" i="10"/>
  <c r="J35" i="10"/>
  <c r="I33" i="10"/>
  <c r="L33" i="10"/>
  <c r="K33" i="10"/>
  <c r="J33" i="10"/>
  <c r="I34" i="10"/>
  <c r="L34" i="10"/>
  <c r="K34" i="10"/>
  <c r="J34" i="10"/>
  <c r="I32" i="10"/>
  <c r="L32" i="10"/>
  <c r="K32" i="10"/>
  <c r="J32" i="10"/>
  <c r="I36" i="10"/>
  <c r="L36" i="10"/>
  <c r="K36" i="10"/>
  <c r="J36" i="10"/>
  <c r="L21" i="10"/>
  <c r="K21" i="10"/>
  <c r="J21" i="10"/>
  <c r="I21" i="10"/>
  <c r="Z25" i="5"/>
  <c r="Z23" i="5"/>
  <c r="Z19" i="5"/>
  <c r="Z17" i="5"/>
  <c r="Z15" i="5"/>
  <c r="Z13" i="5"/>
  <c r="Z11" i="5"/>
  <c r="Z10" i="5"/>
  <c r="Z31" i="5" s="1"/>
  <c r="Z7" i="5"/>
  <c r="U25" i="5"/>
  <c r="U23" i="5"/>
  <c r="U19" i="5"/>
  <c r="U17" i="5"/>
  <c r="U15" i="5"/>
  <c r="U13" i="5"/>
  <c r="U10" i="5"/>
  <c r="J56" i="5"/>
  <c r="G56" i="5"/>
  <c r="H92" i="5"/>
  <c r="Q43" i="5"/>
  <c r="P87" i="5"/>
  <c r="Q45" i="5"/>
  <c r="K56" i="5"/>
  <c r="Q177" i="5"/>
  <c r="Q54" i="5"/>
  <c r="Q41" i="5"/>
  <c r="Q40" i="5"/>
  <c r="P79" i="5"/>
  <c r="Q158" i="5"/>
  <c r="P56" i="5"/>
  <c r="Q157" i="5"/>
  <c r="E56" i="5"/>
  <c r="I92" i="5"/>
  <c r="Q168" i="5"/>
  <c r="Q154" i="5"/>
  <c r="P89" i="5"/>
  <c r="P74" i="5"/>
  <c r="P83" i="5"/>
  <c r="Q37" i="5"/>
  <c r="Q160" i="5"/>
  <c r="Q48" i="5"/>
  <c r="M92" i="5"/>
  <c r="Q171" i="5"/>
  <c r="F56" i="5"/>
  <c r="H56" i="5"/>
  <c r="P84" i="5"/>
  <c r="Q165" i="5"/>
  <c r="Q51" i="5"/>
  <c r="Q163" i="5"/>
  <c r="Q166" i="5"/>
  <c r="P75" i="5"/>
  <c r="Q56" i="5"/>
  <c r="Q183" i="5"/>
  <c r="P76" i="5"/>
  <c r="P78" i="5"/>
  <c r="K92" i="5"/>
  <c r="Q152" i="5"/>
  <c r="I56" i="5"/>
  <c r="P90" i="5"/>
  <c r="P86" i="5"/>
  <c r="Q156" i="5"/>
  <c r="J92" i="5"/>
  <c r="P92" i="5"/>
  <c r="Q181" i="5"/>
  <c r="Q180" i="5"/>
  <c r="Q47" i="5"/>
  <c r="Q164" i="5"/>
  <c r="Q52" i="5"/>
  <c r="E92" i="5"/>
  <c r="Q155" i="5"/>
  <c r="G92" i="5"/>
  <c r="N56" i="5"/>
  <c r="P80" i="5"/>
  <c r="P91" i="5"/>
  <c r="Q175" i="5"/>
  <c r="Q173" i="5"/>
  <c r="Q167" i="5"/>
  <c r="P85" i="5"/>
  <c r="P77" i="5"/>
  <c r="Q38" i="5"/>
  <c r="Q153" i="5"/>
  <c r="L92" i="5"/>
  <c r="Q50" i="5"/>
  <c r="Q55" i="5"/>
  <c r="P82" i="5"/>
  <c r="Q44" i="5"/>
  <c r="F92" i="5"/>
  <c r="Q39" i="5"/>
  <c r="Q46" i="5"/>
  <c r="Q161" i="5"/>
  <c r="Q182" i="5"/>
  <c r="N92" i="5"/>
  <c r="Q162" i="5"/>
  <c r="Q179" i="5"/>
  <c r="Q178" i="5"/>
  <c r="Q159" i="5"/>
  <c r="Q49" i="5"/>
  <c r="L56" i="5"/>
  <c r="P88" i="5"/>
  <c r="Q176" i="5"/>
  <c r="Q170" i="5"/>
  <c r="O92" i="5"/>
  <c r="Q53" i="5"/>
  <c r="O56" i="5"/>
  <c r="Q172" i="5"/>
  <c r="Q42" i="5"/>
  <c r="Q174" i="5"/>
  <c r="Q169" i="5"/>
  <c r="M56" i="5"/>
  <c r="P81" i="5"/>
  <c r="AA20" i="10" l="1"/>
  <c r="BN54" i="21"/>
  <c r="BM54" i="21"/>
  <c r="AA30" i="10"/>
  <c r="AA19" i="10"/>
  <c r="BX54" i="21"/>
  <c r="BJ54" i="21"/>
  <c r="BL54" i="21"/>
  <c r="BK54" i="21"/>
  <c r="BA53" i="21"/>
  <c r="BS54" i="21"/>
  <c r="BO54" i="21"/>
  <c r="BF54" i="21"/>
  <c r="BR54" i="21"/>
  <c r="BI54" i="21"/>
  <c r="BE54" i="21"/>
  <c r="BU54" i="21"/>
  <c r="BQ54" i="21"/>
  <c r="BH54" i="21"/>
  <c r="BD54" i="21"/>
  <c r="BG54" i="21"/>
  <c r="BC54" i="21"/>
  <c r="BT54" i="21"/>
  <c r="BP54" i="21"/>
  <c r="Q36" i="5"/>
  <c r="Q73" i="5" s="1"/>
  <c r="Q110" i="5" s="1"/>
  <c r="L150" i="5"/>
  <c r="K151" i="5"/>
  <c r="P111" i="5"/>
  <c r="P112" i="5"/>
  <c r="P113" i="5"/>
  <c r="P114" i="5"/>
  <c r="P115" i="5"/>
  <c r="P116" i="5"/>
  <c r="P117" i="5"/>
  <c r="P118" i="5"/>
  <c r="P119" i="5"/>
  <c r="P120" i="5"/>
  <c r="P121" i="5"/>
  <c r="P122" i="5"/>
  <c r="P123" i="5"/>
  <c r="P124" i="5"/>
  <c r="P125" i="5"/>
  <c r="P126" i="5"/>
  <c r="P127" i="5"/>
  <c r="P128" i="5"/>
  <c r="Q72" i="5"/>
  <c r="R35" i="5"/>
  <c r="P109" i="5"/>
  <c r="P129" i="5"/>
  <c r="M129" i="5"/>
  <c r="F129" i="5"/>
  <c r="H129" i="5"/>
  <c r="L129" i="5"/>
  <c r="J129" i="5"/>
  <c r="G129" i="5"/>
  <c r="I129" i="5"/>
  <c r="O129" i="5"/>
  <c r="E129" i="5"/>
  <c r="N129" i="5"/>
  <c r="K129" i="5"/>
  <c r="D94" i="5"/>
  <c r="D58" i="5"/>
  <c r="U31" i="5"/>
  <c r="AA27" i="10"/>
  <c r="AA33" i="10"/>
  <c r="AA26" i="10"/>
  <c r="AA31" i="10"/>
  <c r="AA17" i="10"/>
  <c r="AA23" i="10"/>
  <c r="AA22" i="10"/>
  <c r="AA28" i="10"/>
  <c r="AA25" i="10"/>
  <c r="AA21" i="10"/>
  <c r="AA32" i="10"/>
  <c r="W37" i="10"/>
  <c r="U37" i="10"/>
  <c r="X37" i="10" s="1"/>
  <c r="AA37" i="10" s="1"/>
  <c r="AA34" i="10"/>
  <c r="Z29" i="5"/>
  <c r="Z30" i="5"/>
  <c r="Z27" i="5"/>
  <c r="U29" i="5"/>
  <c r="U30" i="5"/>
  <c r="U27" i="5"/>
  <c r="R155" i="5"/>
  <c r="Q87" i="5"/>
  <c r="R161" i="5"/>
  <c r="R54" i="5"/>
  <c r="Q81" i="5"/>
  <c r="G57" i="5"/>
  <c r="K57" i="5"/>
  <c r="O93" i="5"/>
  <c r="R49" i="5"/>
  <c r="M57" i="5"/>
  <c r="R182" i="5"/>
  <c r="E57" i="5"/>
  <c r="Q93" i="5"/>
  <c r="Q92" i="5"/>
  <c r="R57" i="5"/>
  <c r="Q85" i="5"/>
  <c r="R172" i="5"/>
  <c r="R38" i="5"/>
  <c r="R156" i="5"/>
  <c r="R177" i="5"/>
  <c r="Q79" i="5"/>
  <c r="L57" i="5"/>
  <c r="R50" i="5"/>
  <c r="R154" i="5"/>
  <c r="Q91" i="5"/>
  <c r="R173" i="5"/>
  <c r="R164" i="5"/>
  <c r="R41" i="5"/>
  <c r="Q90" i="5"/>
  <c r="R42" i="5"/>
  <c r="H57" i="5"/>
  <c r="R179" i="5"/>
  <c r="O57" i="5"/>
  <c r="R48" i="5"/>
  <c r="Q86" i="5"/>
  <c r="Q75" i="5"/>
  <c r="R170" i="5"/>
  <c r="R55" i="5"/>
  <c r="F57" i="5"/>
  <c r="R56" i="5"/>
  <c r="R52" i="5"/>
  <c r="I93" i="5"/>
  <c r="R169" i="5"/>
  <c r="R47" i="5"/>
  <c r="Q80" i="5"/>
  <c r="R160" i="5"/>
  <c r="R183" i="5"/>
  <c r="N93" i="5"/>
  <c r="I57" i="5"/>
  <c r="H93" i="5"/>
  <c r="N57" i="5"/>
  <c r="Q74" i="5"/>
  <c r="R45" i="5"/>
  <c r="G93" i="5"/>
  <c r="J57" i="5"/>
  <c r="Q82" i="5"/>
  <c r="R162" i="5"/>
  <c r="R37" i="5"/>
  <c r="R178" i="5"/>
  <c r="R51" i="5"/>
  <c r="R43" i="5"/>
  <c r="Q77" i="5"/>
  <c r="Q89" i="5"/>
  <c r="F93" i="5"/>
  <c r="Q83" i="5"/>
  <c r="R168" i="5"/>
  <c r="Q88" i="5"/>
  <c r="R44" i="5"/>
  <c r="R166" i="5"/>
  <c r="P57" i="5"/>
  <c r="R163" i="5"/>
  <c r="K93" i="5"/>
  <c r="R171" i="5"/>
  <c r="R174" i="5"/>
  <c r="R176" i="5"/>
  <c r="M93" i="5"/>
  <c r="R157" i="5"/>
  <c r="R39" i="5"/>
  <c r="Q84" i="5"/>
  <c r="R180" i="5"/>
  <c r="R46" i="5"/>
  <c r="R165" i="5"/>
  <c r="Q78" i="5"/>
  <c r="R181" i="5"/>
  <c r="Q76" i="5"/>
  <c r="R175" i="5"/>
  <c r="R40" i="5"/>
  <c r="R153" i="5"/>
  <c r="E93" i="5"/>
  <c r="R53" i="5"/>
  <c r="Q57" i="5"/>
  <c r="J93" i="5"/>
  <c r="R159" i="5"/>
  <c r="R167" i="5"/>
  <c r="R158" i="5"/>
  <c r="R152" i="5"/>
  <c r="P93" i="5"/>
  <c r="L93" i="5"/>
  <c r="BA54" i="21" l="1"/>
  <c r="R36" i="5"/>
  <c r="R73" i="5" s="1"/>
  <c r="R110" i="5" s="1"/>
  <c r="M150" i="5"/>
  <c r="L151" i="5"/>
  <c r="Q111" i="5"/>
  <c r="Q112" i="5"/>
  <c r="Q113" i="5"/>
  <c r="Q114" i="5"/>
  <c r="Q115" i="5"/>
  <c r="Q116" i="5"/>
  <c r="Q117" i="5"/>
  <c r="Q118" i="5"/>
  <c r="Q119" i="5"/>
  <c r="Q120" i="5"/>
  <c r="Q121" i="5"/>
  <c r="Q122" i="5"/>
  <c r="Q123" i="5"/>
  <c r="Q124" i="5"/>
  <c r="Q125" i="5"/>
  <c r="Q126" i="5"/>
  <c r="Q127" i="5"/>
  <c r="Q128" i="5"/>
  <c r="Q129" i="5"/>
  <c r="S35" i="5"/>
  <c r="R72" i="5"/>
  <c r="Q109" i="5"/>
  <c r="K130" i="5"/>
  <c r="L130" i="5"/>
  <c r="E130" i="5"/>
  <c r="N130" i="5"/>
  <c r="P130" i="5"/>
  <c r="I130" i="5"/>
  <c r="G130" i="5"/>
  <c r="M130" i="5"/>
  <c r="F130" i="5"/>
  <c r="O130" i="5"/>
  <c r="H130" i="5"/>
  <c r="Q130" i="5"/>
  <c r="J130" i="5"/>
  <c r="D95" i="5"/>
  <c r="D59" i="5"/>
  <c r="R27" i="5"/>
  <c r="Z28" i="5"/>
  <c r="AB27" i="5" s="1"/>
  <c r="AB6" i="5" s="1"/>
  <c r="AB7" i="5" s="1"/>
  <c r="U28" i="5"/>
  <c r="W27" i="5" s="1"/>
  <c r="W12" i="5" s="1"/>
  <c r="C4" i="6"/>
  <c r="K13" i="6"/>
  <c r="O13" i="6" s="1"/>
  <c r="K12" i="6"/>
  <c r="O12" i="6" s="1"/>
  <c r="K11" i="6"/>
  <c r="M11" i="6" s="1"/>
  <c r="N11" i="6" s="1"/>
  <c r="K10" i="6"/>
  <c r="M10" i="6" s="1"/>
  <c r="N10" i="6" s="1"/>
  <c r="K9" i="6"/>
  <c r="K8" i="6"/>
  <c r="O8" i="6" s="1"/>
  <c r="K7" i="6"/>
  <c r="M7" i="6" s="1"/>
  <c r="N7" i="6" s="1"/>
  <c r="R5" i="6"/>
  <c r="R7" i="6" s="1"/>
  <c r="R9" i="6" s="1"/>
  <c r="R11" i="6" s="1"/>
  <c r="R13" i="6" s="1"/>
  <c r="Q3" i="6"/>
  <c r="P3" i="6"/>
  <c r="P12" i="6" s="1"/>
  <c r="K6" i="6"/>
  <c r="O6" i="6" s="1"/>
  <c r="R6" i="6"/>
  <c r="R8" i="6" s="1"/>
  <c r="R10" i="6" s="1"/>
  <c r="R12" i="6" s="1"/>
  <c r="R87" i="5"/>
  <c r="G94" i="5"/>
  <c r="S168" i="5"/>
  <c r="R89" i="5"/>
  <c r="F94" i="5"/>
  <c r="R75" i="5"/>
  <c r="Q58" i="5"/>
  <c r="R90" i="5"/>
  <c r="R76" i="5"/>
  <c r="S48" i="5"/>
  <c r="S156" i="5"/>
  <c r="S170" i="5"/>
  <c r="S56" i="5"/>
  <c r="R85" i="5"/>
  <c r="S175" i="5"/>
  <c r="S169" i="5"/>
  <c r="S180" i="5"/>
  <c r="S43" i="5"/>
  <c r="R86" i="5"/>
  <c r="L94" i="5"/>
  <c r="S163" i="5"/>
  <c r="R93" i="5"/>
  <c r="R79" i="5"/>
  <c r="F58" i="5"/>
  <c r="N94" i="5"/>
  <c r="S37" i="5"/>
  <c r="P58" i="5"/>
  <c r="R91" i="5"/>
  <c r="L58" i="5"/>
  <c r="E58" i="5"/>
  <c r="R81" i="5"/>
  <c r="S182" i="5"/>
  <c r="S45" i="5"/>
  <c r="S158" i="5"/>
  <c r="S173" i="5"/>
  <c r="S171" i="5"/>
  <c r="S181" i="5"/>
  <c r="S40" i="5"/>
  <c r="S165" i="5"/>
  <c r="R88" i="5"/>
  <c r="S39" i="5"/>
  <c r="S54" i="5"/>
  <c r="S44" i="5"/>
  <c r="R77" i="5"/>
  <c r="S52" i="5"/>
  <c r="S167" i="5"/>
  <c r="M94" i="5"/>
  <c r="N58" i="5"/>
  <c r="S47" i="5"/>
  <c r="O58" i="5"/>
  <c r="S49" i="5"/>
  <c r="R80" i="5"/>
  <c r="S159" i="5"/>
  <c r="I94" i="5"/>
  <c r="S164" i="5"/>
  <c r="S176" i="5"/>
  <c r="R82" i="5"/>
  <c r="H58" i="5"/>
  <c r="R78" i="5"/>
  <c r="S155" i="5"/>
  <c r="S178" i="5"/>
  <c r="R58" i="5"/>
  <c r="K94" i="5"/>
  <c r="S153" i="5"/>
  <c r="S160" i="5"/>
  <c r="S38" i="5"/>
  <c r="R84" i="5"/>
  <c r="J58" i="5"/>
  <c r="O94" i="5"/>
  <c r="R94" i="5"/>
  <c r="H94" i="5"/>
  <c r="K58" i="5"/>
  <c r="Q94" i="5"/>
  <c r="S166" i="5"/>
  <c r="R83" i="5"/>
  <c r="S51" i="5"/>
  <c r="S162" i="5"/>
  <c r="S174" i="5"/>
  <c r="S55" i="5"/>
  <c r="E94" i="5"/>
  <c r="S183" i="5"/>
  <c r="S157" i="5"/>
  <c r="S41" i="5"/>
  <c r="R92" i="5"/>
  <c r="M58" i="5"/>
  <c r="I58" i="5"/>
  <c r="S57" i="5"/>
  <c r="R74" i="5"/>
  <c r="S53" i="5"/>
  <c r="S42" i="5"/>
  <c r="S154" i="5"/>
  <c r="G58" i="5"/>
  <c r="S172" i="5"/>
  <c r="J94" i="5"/>
  <c r="S46" i="5"/>
  <c r="S152" i="5"/>
  <c r="S50" i="5"/>
  <c r="S179" i="5"/>
  <c r="P94" i="5"/>
  <c r="S177" i="5"/>
  <c r="S161" i="5"/>
  <c r="S58" i="5"/>
  <c r="O10" i="6" l="1"/>
  <c r="M13" i="6"/>
  <c r="N13" i="6" s="1"/>
  <c r="M8" i="6"/>
  <c r="N8" i="6" s="1"/>
  <c r="P8" i="6"/>
  <c r="M6" i="6"/>
  <c r="N6" i="6" s="1"/>
  <c r="O7" i="6"/>
  <c r="P6" i="6"/>
  <c r="Q8" i="6"/>
  <c r="S8" i="6" s="1"/>
  <c r="P9" i="6"/>
  <c r="O11" i="6"/>
  <c r="M12" i="6"/>
  <c r="N12" i="6" s="1"/>
  <c r="W13" i="5"/>
  <c r="W14" i="5" s="1"/>
  <c r="M9" i="6"/>
  <c r="N9" i="6" s="1"/>
  <c r="O9" i="6"/>
  <c r="AB17" i="5"/>
  <c r="AB18" i="5" s="1"/>
  <c r="Q13" i="6"/>
  <c r="Q9" i="6"/>
  <c r="P13" i="6"/>
  <c r="Q11" i="6"/>
  <c r="P7" i="6"/>
  <c r="Q6" i="6"/>
  <c r="P11" i="6"/>
  <c r="Q7" i="6"/>
  <c r="AB15" i="5"/>
  <c r="AB16" i="5" s="1"/>
  <c r="K5" i="6"/>
  <c r="Q12" i="6"/>
  <c r="Q10" i="6"/>
  <c r="P10" i="6"/>
  <c r="S36" i="5"/>
  <c r="S73" i="5" s="1"/>
  <c r="S110" i="5" s="1"/>
  <c r="M151" i="5"/>
  <c r="N150" i="5"/>
  <c r="R111" i="5"/>
  <c r="R112" i="5"/>
  <c r="R113" i="5"/>
  <c r="R114" i="5"/>
  <c r="R115" i="5"/>
  <c r="R116" i="5"/>
  <c r="R117" i="5"/>
  <c r="R118" i="5"/>
  <c r="R119" i="5"/>
  <c r="R120" i="5"/>
  <c r="R121" i="5"/>
  <c r="R122" i="5"/>
  <c r="R123" i="5"/>
  <c r="R124" i="5"/>
  <c r="R125" i="5"/>
  <c r="R126" i="5"/>
  <c r="R127" i="5"/>
  <c r="R128" i="5"/>
  <c r="R129" i="5"/>
  <c r="R130" i="5"/>
  <c r="R109" i="5"/>
  <c r="T35" i="5"/>
  <c r="S72" i="5"/>
  <c r="K131" i="5"/>
  <c r="H131" i="5"/>
  <c r="Q131" i="5"/>
  <c r="N131" i="5"/>
  <c r="O131" i="5"/>
  <c r="L131" i="5"/>
  <c r="E131" i="5"/>
  <c r="R131" i="5"/>
  <c r="J131" i="5"/>
  <c r="P131" i="5"/>
  <c r="I131" i="5"/>
  <c r="F131" i="5"/>
  <c r="G131" i="5"/>
  <c r="M131" i="5"/>
  <c r="D96" i="5"/>
  <c r="D60" i="5"/>
  <c r="W17" i="5"/>
  <c r="W18" i="5" s="1"/>
  <c r="W6" i="5"/>
  <c r="W7" i="5" s="1"/>
  <c r="AB12" i="5"/>
  <c r="AB11" i="5"/>
  <c r="AB13" i="5"/>
  <c r="AB14" i="5" s="1"/>
  <c r="AB19" i="5"/>
  <c r="AB20" i="5" s="1"/>
  <c r="W19" i="5"/>
  <c r="W20" i="5" s="1"/>
  <c r="W15" i="5"/>
  <c r="W16" i="5" s="1"/>
  <c r="W11" i="5"/>
  <c r="C10" i="5"/>
  <c r="C3" i="5" s="1"/>
  <c r="S9" i="6"/>
  <c r="L5" i="6"/>
  <c r="R6" i="5"/>
  <c r="R11" i="5"/>
  <c r="R19" i="5"/>
  <c r="R20" i="5" s="1"/>
  <c r="R15" i="5"/>
  <c r="R16" i="5" s="1"/>
  <c r="R17" i="5"/>
  <c r="R18" i="5" s="1"/>
  <c r="R12" i="5"/>
  <c r="R13" i="5"/>
  <c r="R14" i="5" s="1"/>
  <c r="C27" i="5"/>
  <c r="S89" i="5"/>
  <c r="T159" i="5"/>
  <c r="T47" i="5"/>
  <c r="S88" i="5"/>
  <c r="T169" i="5"/>
  <c r="T56" i="5"/>
  <c r="T57" i="5"/>
  <c r="M59" i="5"/>
  <c r="T38" i="5"/>
  <c r="T54" i="5"/>
  <c r="Q59" i="5"/>
  <c r="T41" i="5"/>
  <c r="S83" i="5"/>
  <c r="J59" i="5"/>
  <c r="T49" i="5"/>
  <c r="P95" i="5"/>
  <c r="T52" i="5"/>
  <c r="T42" i="5"/>
  <c r="T182" i="5"/>
  <c r="T53" i="5"/>
  <c r="T59" i="5"/>
  <c r="S81" i="5"/>
  <c r="S75" i="5"/>
  <c r="I59" i="5"/>
  <c r="T45" i="5"/>
  <c r="T152" i="5"/>
  <c r="S92" i="5"/>
  <c r="S77" i="5"/>
  <c r="T164" i="5"/>
  <c r="L95" i="5"/>
  <c r="E95" i="5"/>
  <c r="R59" i="5"/>
  <c r="T44" i="5"/>
  <c r="T156" i="5"/>
  <c r="T51" i="5"/>
  <c r="S82" i="5"/>
  <c r="O59" i="5"/>
  <c r="T171" i="5"/>
  <c r="K59" i="5"/>
  <c r="T48" i="5"/>
  <c r="T170" i="5"/>
  <c r="H95" i="5"/>
  <c r="T165" i="5"/>
  <c r="S76" i="5"/>
  <c r="P59" i="5"/>
  <c r="L59" i="5"/>
  <c r="T58" i="5"/>
  <c r="S87" i="5"/>
  <c r="T175" i="5"/>
  <c r="T174" i="5"/>
  <c r="S85" i="5"/>
  <c r="T167" i="5"/>
  <c r="G95" i="5"/>
  <c r="T176" i="5"/>
  <c r="F59" i="5"/>
  <c r="T166" i="5"/>
  <c r="T172" i="5"/>
  <c r="O95" i="5"/>
  <c r="T181" i="5"/>
  <c r="N95" i="5"/>
  <c r="G59" i="5"/>
  <c r="T162" i="5"/>
  <c r="S78" i="5"/>
  <c r="S90" i="5"/>
  <c r="T39" i="5"/>
  <c r="T37" i="5"/>
  <c r="T154" i="5"/>
  <c r="T55" i="5"/>
  <c r="T178" i="5"/>
  <c r="S84" i="5"/>
  <c r="T168" i="5"/>
  <c r="Q95" i="5"/>
  <c r="I95" i="5"/>
  <c r="T183" i="5"/>
  <c r="T180" i="5"/>
  <c r="T153" i="5"/>
  <c r="S79" i="5"/>
  <c r="T50" i="5"/>
  <c r="T46" i="5"/>
  <c r="N59" i="5"/>
  <c r="T43" i="5"/>
  <c r="E59" i="5"/>
  <c r="S74" i="5"/>
  <c r="S59" i="5"/>
  <c r="T173" i="5"/>
  <c r="T177" i="5"/>
  <c r="T179" i="5"/>
  <c r="S94" i="5"/>
  <c r="T158" i="5"/>
  <c r="R95" i="5"/>
  <c r="M95" i="5"/>
  <c r="S80" i="5"/>
  <c r="S93" i="5"/>
  <c r="T157" i="5"/>
  <c r="S86" i="5"/>
  <c r="T163" i="5"/>
  <c r="F95" i="5"/>
  <c r="J95" i="5"/>
  <c r="T160" i="5"/>
  <c r="S95" i="5"/>
  <c r="T155" i="5"/>
  <c r="H59" i="5"/>
  <c r="S91" i="5"/>
  <c r="T161" i="5"/>
  <c r="T40" i="5"/>
  <c r="K95" i="5"/>
  <c r="S10" i="6" l="1"/>
  <c r="S12" i="6"/>
  <c r="S7" i="6"/>
  <c r="S13" i="6"/>
  <c r="O5" i="6"/>
  <c r="S11" i="6"/>
  <c r="P5" i="6"/>
  <c r="Q5" i="6"/>
  <c r="M5" i="6"/>
  <c r="S6" i="6"/>
  <c r="N5" i="6"/>
  <c r="R7" i="5"/>
  <c r="C6" i="5"/>
  <c r="C7" i="5" s="1"/>
  <c r="T36" i="5"/>
  <c r="T73" i="5" s="1"/>
  <c r="T110" i="5" s="1"/>
  <c r="N151" i="5"/>
  <c r="O150" i="5"/>
  <c r="S111" i="5"/>
  <c r="S112" i="5"/>
  <c r="S113" i="5"/>
  <c r="S114" i="5"/>
  <c r="S115" i="5"/>
  <c r="S116" i="5"/>
  <c r="S117" i="5"/>
  <c r="S118" i="5"/>
  <c r="S119" i="5"/>
  <c r="S120" i="5"/>
  <c r="S121" i="5"/>
  <c r="S122" i="5"/>
  <c r="S123" i="5"/>
  <c r="S124" i="5"/>
  <c r="S125" i="5"/>
  <c r="S126" i="5"/>
  <c r="S127" i="5"/>
  <c r="S128" i="5"/>
  <c r="S129" i="5"/>
  <c r="S130" i="5"/>
  <c r="S131" i="5"/>
  <c r="S109" i="5"/>
  <c r="U35" i="5"/>
  <c r="T72" i="5"/>
  <c r="Q132" i="5"/>
  <c r="F132" i="5"/>
  <c r="S132" i="5"/>
  <c r="P132" i="5"/>
  <c r="I132" i="5"/>
  <c r="J132" i="5"/>
  <c r="G132" i="5"/>
  <c r="M132" i="5"/>
  <c r="E132" i="5"/>
  <c r="N132" i="5"/>
  <c r="K132" i="5"/>
  <c r="H132" i="5"/>
  <c r="R132" i="5"/>
  <c r="O132" i="5"/>
  <c r="L132" i="5"/>
  <c r="D97" i="5"/>
  <c r="D61" i="5"/>
  <c r="C19" i="5"/>
  <c r="C20" i="5" s="1"/>
  <c r="C15" i="5"/>
  <c r="C16" i="5" s="1"/>
  <c r="C13" i="5"/>
  <c r="C14" i="5" s="1"/>
  <c r="C17" i="5"/>
  <c r="C18" i="5" s="1"/>
  <c r="U159" i="5"/>
  <c r="K96" i="5"/>
  <c r="G60" i="5"/>
  <c r="U154" i="5"/>
  <c r="F60" i="5"/>
  <c r="E96" i="5"/>
  <c r="U60" i="5"/>
  <c r="U48" i="5"/>
  <c r="U50" i="5"/>
  <c r="T86" i="5"/>
  <c r="U51" i="5"/>
  <c r="U160" i="5"/>
  <c r="U57" i="5"/>
  <c r="U176" i="5"/>
  <c r="S60" i="5"/>
  <c r="U40" i="5"/>
  <c r="U37" i="5"/>
  <c r="U152" i="5"/>
  <c r="P96" i="5"/>
  <c r="U156" i="5"/>
  <c r="T78" i="5"/>
  <c r="T60" i="5"/>
  <c r="U174" i="5"/>
  <c r="U168" i="5"/>
  <c r="U173" i="5"/>
  <c r="Q96" i="5"/>
  <c r="O96" i="5"/>
  <c r="T91" i="5"/>
  <c r="T90" i="5"/>
  <c r="U52" i="5"/>
  <c r="R96" i="5"/>
  <c r="T81" i="5"/>
  <c r="U46" i="5"/>
  <c r="T74" i="5"/>
  <c r="U165" i="5"/>
  <c r="U54" i="5"/>
  <c r="T88" i="5"/>
  <c r="J96" i="5"/>
  <c r="K60" i="5"/>
  <c r="U170" i="5"/>
  <c r="U169" i="5"/>
  <c r="U171" i="5"/>
  <c r="U182" i="5"/>
  <c r="N96" i="5"/>
  <c r="U55" i="5"/>
  <c r="Q60" i="5"/>
  <c r="U164" i="5"/>
  <c r="S96" i="5"/>
  <c r="E60" i="5"/>
  <c r="T82" i="5"/>
  <c r="T92" i="5"/>
  <c r="U178" i="5"/>
  <c r="T75" i="5"/>
  <c r="T85" i="5"/>
  <c r="U45" i="5"/>
  <c r="U43" i="5"/>
  <c r="I96" i="5"/>
  <c r="U39" i="5"/>
  <c r="O60" i="5"/>
  <c r="T79" i="5"/>
  <c r="U155" i="5"/>
  <c r="U161" i="5"/>
  <c r="T87" i="5"/>
  <c r="R60" i="5"/>
  <c r="T80" i="5"/>
  <c r="U41" i="5"/>
  <c r="U180" i="5"/>
  <c r="U38" i="5"/>
  <c r="P60" i="5"/>
  <c r="L60" i="5"/>
  <c r="T93" i="5"/>
  <c r="U157" i="5"/>
  <c r="U153" i="5"/>
  <c r="U162" i="5"/>
  <c r="F96" i="5"/>
  <c r="U183" i="5"/>
  <c r="T96" i="5"/>
  <c r="U47" i="5"/>
  <c r="U172" i="5"/>
  <c r="U59" i="5"/>
  <c r="T76" i="5"/>
  <c r="U49" i="5"/>
  <c r="T84" i="5"/>
  <c r="U44" i="5"/>
  <c r="M96" i="5"/>
  <c r="T77" i="5"/>
  <c r="U56" i="5"/>
  <c r="H96" i="5"/>
  <c r="U175" i="5"/>
  <c r="L96" i="5"/>
  <c r="M60" i="5"/>
  <c r="U42" i="5"/>
  <c r="U167" i="5"/>
  <c r="T95" i="5"/>
  <c r="T94" i="5"/>
  <c r="U158" i="5"/>
  <c r="U53" i="5"/>
  <c r="N60" i="5"/>
  <c r="U177" i="5"/>
  <c r="T89" i="5"/>
  <c r="U58" i="5"/>
  <c r="H60" i="5"/>
  <c r="I60" i="5"/>
  <c r="U166" i="5"/>
  <c r="U163" i="5"/>
  <c r="G96" i="5"/>
  <c r="U181" i="5"/>
  <c r="T83" i="5"/>
  <c r="J60" i="5"/>
  <c r="U179" i="5"/>
  <c r="G5" i="6" l="1"/>
  <c r="U36" i="5"/>
  <c r="U73" i="5" s="1"/>
  <c r="U110" i="5" s="1"/>
  <c r="P150" i="5"/>
  <c r="O151" i="5"/>
  <c r="T111" i="5"/>
  <c r="T112" i="5"/>
  <c r="T113" i="5"/>
  <c r="T114" i="5"/>
  <c r="T115" i="5"/>
  <c r="T116" i="5"/>
  <c r="T117" i="5"/>
  <c r="T118" i="5"/>
  <c r="T119" i="5"/>
  <c r="T120" i="5"/>
  <c r="T121" i="5"/>
  <c r="T122" i="5"/>
  <c r="T123" i="5"/>
  <c r="T124" i="5"/>
  <c r="T125" i="5"/>
  <c r="T126" i="5"/>
  <c r="T127" i="5"/>
  <c r="T128" i="5"/>
  <c r="T129" i="5"/>
  <c r="T130" i="5"/>
  <c r="T131" i="5"/>
  <c r="T132" i="5"/>
  <c r="U72" i="5"/>
  <c r="V35" i="5"/>
  <c r="T109" i="5"/>
  <c r="L133" i="5"/>
  <c r="T133" i="5"/>
  <c r="M133" i="5"/>
  <c r="N133" i="5"/>
  <c r="O133" i="5"/>
  <c r="Q133" i="5"/>
  <c r="R133" i="5"/>
  <c r="S133" i="5"/>
  <c r="H133" i="5"/>
  <c r="P133" i="5"/>
  <c r="E133" i="5"/>
  <c r="F133" i="5"/>
  <c r="G133" i="5"/>
  <c r="I133" i="5"/>
  <c r="J133" i="5"/>
  <c r="K133" i="5"/>
  <c r="D98" i="5"/>
  <c r="D62" i="5"/>
  <c r="V162" i="5"/>
  <c r="K61" i="5"/>
  <c r="G97" i="5"/>
  <c r="I97" i="5"/>
  <c r="V181" i="5"/>
  <c r="V53" i="5"/>
  <c r="H97" i="5"/>
  <c r="V61" i="5"/>
  <c r="V52" i="5"/>
  <c r="V41" i="5"/>
  <c r="U74" i="5"/>
  <c r="U82" i="5"/>
  <c r="V57" i="5"/>
  <c r="U87" i="5"/>
  <c r="V175" i="5"/>
  <c r="U90" i="5"/>
  <c r="V43" i="5"/>
  <c r="V179" i="5"/>
  <c r="V51" i="5"/>
  <c r="U75" i="5"/>
  <c r="N97" i="5"/>
  <c r="V169" i="5"/>
  <c r="F97" i="5"/>
  <c r="R61" i="5"/>
  <c r="J61" i="5"/>
  <c r="Q61" i="5"/>
  <c r="V180" i="5"/>
  <c r="V39" i="5"/>
  <c r="V46" i="5"/>
  <c r="V165" i="5"/>
  <c r="K97" i="5"/>
  <c r="H61" i="5"/>
  <c r="V59" i="5"/>
  <c r="V166" i="5"/>
  <c r="V173" i="5"/>
  <c r="S97" i="5"/>
  <c r="V182" i="5"/>
  <c r="V176" i="5"/>
  <c r="U89" i="5"/>
  <c r="V38" i="5"/>
  <c r="U78" i="5"/>
  <c r="V45" i="5"/>
  <c r="U93" i="5"/>
  <c r="V178" i="5"/>
  <c r="V156" i="5"/>
  <c r="V161" i="5"/>
  <c r="V183" i="5"/>
  <c r="V58" i="5"/>
  <c r="U77" i="5"/>
  <c r="V177" i="5"/>
  <c r="V44" i="5"/>
  <c r="S61" i="5"/>
  <c r="F61" i="5"/>
  <c r="U96" i="5"/>
  <c r="I61" i="5"/>
  <c r="V159" i="5"/>
  <c r="V153" i="5"/>
  <c r="U80" i="5"/>
  <c r="M97" i="5"/>
  <c r="V56" i="5"/>
  <c r="U97" i="5"/>
  <c r="V160" i="5"/>
  <c r="U83" i="5"/>
  <c r="L61" i="5"/>
  <c r="L97" i="5"/>
  <c r="V167" i="5"/>
  <c r="J97" i="5"/>
  <c r="U79" i="5"/>
  <c r="V49" i="5"/>
  <c r="V174" i="5"/>
  <c r="V40" i="5"/>
  <c r="U61" i="5"/>
  <c r="V157" i="5"/>
  <c r="V50" i="5"/>
  <c r="U88" i="5"/>
  <c r="V171" i="5"/>
  <c r="N61" i="5"/>
  <c r="U86" i="5"/>
  <c r="V48" i="5"/>
  <c r="R97" i="5"/>
  <c r="V154" i="5"/>
  <c r="V164" i="5"/>
  <c r="V163" i="5"/>
  <c r="V172" i="5"/>
  <c r="V170" i="5"/>
  <c r="P61" i="5"/>
  <c r="V54" i="5"/>
  <c r="U94" i="5"/>
  <c r="U95" i="5"/>
  <c r="O61" i="5"/>
  <c r="V55" i="5"/>
  <c r="E61" i="5"/>
  <c r="V152" i="5"/>
  <c r="V168" i="5"/>
  <c r="U85" i="5"/>
  <c r="O97" i="5"/>
  <c r="V155" i="5"/>
  <c r="U81" i="5"/>
  <c r="M61" i="5"/>
  <c r="U84" i="5"/>
  <c r="Q97" i="5"/>
  <c r="T61" i="5"/>
  <c r="V37" i="5"/>
  <c r="U91" i="5"/>
  <c r="V47" i="5"/>
  <c r="V60" i="5"/>
  <c r="U76" i="5"/>
  <c r="V158" i="5"/>
  <c r="P97" i="5"/>
  <c r="V42" i="5"/>
  <c r="T97" i="5"/>
  <c r="G61" i="5"/>
  <c r="U92" i="5"/>
  <c r="E97" i="5"/>
  <c r="V36" i="5" l="1"/>
  <c r="V73" i="5" s="1"/>
  <c r="V110" i="5" s="1"/>
  <c r="Q150" i="5"/>
  <c r="P151" i="5"/>
  <c r="U111" i="5"/>
  <c r="U112" i="5"/>
  <c r="U113" i="5"/>
  <c r="U114" i="5"/>
  <c r="U115" i="5"/>
  <c r="U116" i="5"/>
  <c r="U117" i="5"/>
  <c r="U118" i="5"/>
  <c r="U119" i="5"/>
  <c r="U120" i="5"/>
  <c r="U121" i="5"/>
  <c r="U122" i="5"/>
  <c r="U123" i="5"/>
  <c r="U124" i="5"/>
  <c r="U125" i="5"/>
  <c r="U126" i="5"/>
  <c r="U127" i="5"/>
  <c r="U128" i="5"/>
  <c r="U129" i="5"/>
  <c r="U130" i="5"/>
  <c r="U131" i="5"/>
  <c r="U132" i="5"/>
  <c r="U133" i="5"/>
  <c r="V72" i="5"/>
  <c r="W35" i="5"/>
  <c r="U109" i="5"/>
  <c r="K134" i="5"/>
  <c r="H134" i="5"/>
  <c r="N134" i="5"/>
  <c r="O134" i="5"/>
  <c r="L134" i="5"/>
  <c r="E134" i="5"/>
  <c r="U134" i="5"/>
  <c r="Q134" i="5"/>
  <c r="R134" i="5"/>
  <c r="S134" i="5"/>
  <c r="P134" i="5"/>
  <c r="I134" i="5"/>
  <c r="F134" i="5"/>
  <c r="J134" i="5"/>
  <c r="G134" i="5"/>
  <c r="T134" i="5"/>
  <c r="M134" i="5"/>
  <c r="D99" i="5"/>
  <c r="D63" i="5"/>
  <c r="W44" i="5"/>
  <c r="W46" i="5"/>
  <c r="W165" i="5"/>
  <c r="E62" i="5"/>
  <c r="E98" i="5"/>
  <c r="J62" i="5"/>
  <c r="W54" i="5"/>
  <c r="W56" i="5"/>
  <c r="K98" i="5"/>
  <c r="V96" i="5"/>
  <c r="W38" i="5"/>
  <c r="W57" i="5"/>
  <c r="V86" i="5"/>
  <c r="W182" i="5"/>
  <c r="V78" i="5"/>
  <c r="V82" i="5"/>
  <c r="W171" i="5"/>
  <c r="S62" i="5"/>
  <c r="W59" i="5"/>
  <c r="V92" i="5"/>
  <c r="W156" i="5"/>
  <c r="W157" i="5"/>
  <c r="V80" i="5"/>
  <c r="G98" i="5"/>
  <c r="W162" i="5"/>
  <c r="V84" i="5"/>
  <c r="U62" i="5"/>
  <c r="V62" i="5"/>
  <c r="V89" i="5"/>
  <c r="F62" i="5"/>
  <c r="W42" i="5"/>
  <c r="W155" i="5"/>
  <c r="W164" i="5"/>
  <c r="R98" i="5"/>
  <c r="V75" i="5"/>
  <c r="O62" i="5"/>
  <c r="V85" i="5"/>
  <c r="G62" i="5"/>
  <c r="T62" i="5"/>
  <c r="P98" i="5"/>
  <c r="H98" i="5"/>
  <c r="W170" i="5"/>
  <c r="W176" i="5"/>
  <c r="W168" i="5"/>
  <c r="K62" i="5"/>
  <c r="V87" i="5"/>
  <c r="I98" i="5"/>
  <c r="W52" i="5"/>
  <c r="W154" i="5"/>
  <c r="W163" i="5"/>
  <c r="V77" i="5"/>
  <c r="W153" i="5"/>
  <c r="W41" i="5"/>
  <c r="U98" i="5"/>
  <c r="V81" i="5"/>
  <c r="V93" i="5"/>
  <c r="W49" i="5"/>
  <c r="Q62" i="5"/>
  <c r="S98" i="5"/>
  <c r="W158" i="5"/>
  <c r="W53" i="5"/>
  <c r="O98" i="5"/>
  <c r="V94" i="5"/>
  <c r="W62" i="5"/>
  <c r="W167" i="5"/>
  <c r="W61" i="5"/>
  <c r="J98" i="5"/>
  <c r="W178" i="5"/>
  <c r="W45" i="5"/>
  <c r="V88" i="5"/>
  <c r="W152" i="5"/>
  <c r="V76" i="5"/>
  <c r="W172" i="5"/>
  <c r="W183" i="5"/>
  <c r="W40" i="5"/>
  <c r="W177" i="5"/>
  <c r="W47" i="5"/>
  <c r="V83" i="5"/>
  <c r="W169" i="5"/>
  <c r="N62" i="5"/>
  <c r="W60" i="5"/>
  <c r="N98" i="5"/>
  <c r="W51" i="5"/>
  <c r="W159" i="5"/>
  <c r="F98" i="5"/>
  <c r="W48" i="5"/>
  <c r="T98" i="5"/>
  <c r="V79" i="5"/>
  <c r="L98" i="5"/>
  <c r="P62" i="5"/>
  <c r="W50" i="5"/>
  <c r="W43" i="5"/>
  <c r="R62" i="5"/>
  <c r="V91" i="5"/>
  <c r="W175" i="5"/>
  <c r="V74" i="5"/>
  <c r="M98" i="5"/>
  <c r="W160" i="5"/>
  <c r="H62" i="5"/>
  <c r="Q98" i="5"/>
  <c r="W173" i="5"/>
  <c r="W58" i="5"/>
  <c r="L62" i="5"/>
  <c r="W55" i="5"/>
  <c r="W166" i="5"/>
  <c r="W180" i="5"/>
  <c r="V97" i="5"/>
  <c r="I62" i="5"/>
  <c r="W39" i="5"/>
  <c r="W37" i="5"/>
  <c r="W181" i="5"/>
  <c r="W179" i="5"/>
  <c r="M62" i="5"/>
  <c r="W174" i="5"/>
  <c r="V95" i="5"/>
  <c r="V98" i="5"/>
  <c r="W161" i="5"/>
  <c r="V90" i="5"/>
  <c r="W36" i="5" l="1"/>
  <c r="W73" i="5" s="1"/>
  <c r="W110" i="5" s="1"/>
  <c r="Q151" i="5"/>
  <c r="R150" i="5"/>
  <c r="V111" i="5"/>
  <c r="V112" i="5"/>
  <c r="V113" i="5"/>
  <c r="V114" i="5"/>
  <c r="V115" i="5"/>
  <c r="V116" i="5"/>
  <c r="V117" i="5"/>
  <c r="V118" i="5"/>
  <c r="V119" i="5"/>
  <c r="V120" i="5"/>
  <c r="V121" i="5"/>
  <c r="V122" i="5"/>
  <c r="V123" i="5"/>
  <c r="V124" i="5"/>
  <c r="V125" i="5"/>
  <c r="V126" i="5"/>
  <c r="V127" i="5"/>
  <c r="V128" i="5"/>
  <c r="V129" i="5"/>
  <c r="V130" i="5"/>
  <c r="V131" i="5"/>
  <c r="V132" i="5"/>
  <c r="V133" i="5"/>
  <c r="V134" i="5"/>
  <c r="X35" i="5"/>
  <c r="W72" i="5"/>
  <c r="V109" i="5"/>
  <c r="F135" i="5"/>
  <c r="S135" i="5"/>
  <c r="I135" i="5"/>
  <c r="J135" i="5"/>
  <c r="G135" i="5"/>
  <c r="T135" i="5"/>
  <c r="Q135" i="5"/>
  <c r="P135" i="5"/>
  <c r="M135" i="5"/>
  <c r="E135" i="5"/>
  <c r="N135" i="5"/>
  <c r="K135" i="5"/>
  <c r="H135" i="5"/>
  <c r="V135" i="5"/>
  <c r="U135" i="5"/>
  <c r="R135" i="5"/>
  <c r="O135" i="5"/>
  <c r="L135" i="5"/>
  <c r="D100" i="5"/>
  <c r="D64" i="5"/>
  <c r="W79" i="5"/>
  <c r="V63" i="5"/>
  <c r="X164" i="5"/>
  <c r="X183" i="5"/>
  <c r="W87" i="5"/>
  <c r="X167" i="5"/>
  <c r="X62" i="5"/>
  <c r="W63" i="5"/>
  <c r="X168" i="5"/>
  <c r="X40" i="5"/>
  <c r="L63" i="5"/>
  <c r="X156" i="5"/>
  <c r="X44" i="5"/>
  <c r="X41" i="5"/>
  <c r="W94" i="5"/>
  <c r="X161" i="5"/>
  <c r="E63" i="5"/>
  <c r="W99" i="5"/>
  <c r="X45" i="5"/>
  <c r="W89" i="5"/>
  <c r="W77" i="5"/>
  <c r="H63" i="5"/>
  <c r="R63" i="5"/>
  <c r="W82" i="5"/>
  <c r="X63" i="5"/>
  <c r="X46" i="5"/>
  <c r="X182" i="5"/>
  <c r="W95" i="5"/>
  <c r="X171" i="5"/>
  <c r="O99" i="5"/>
  <c r="W88" i="5"/>
  <c r="X56" i="5"/>
  <c r="X180" i="5"/>
  <c r="K63" i="5"/>
  <c r="U99" i="5"/>
  <c r="X178" i="5"/>
  <c r="X159" i="5"/>
  <c r="X160" i="5"/>
  <c r="X38" i="5"/>
  <c r="I63" i="5"/>
  <c r="W93" i="5"/>
  <c r="X153" i="5"/>
  <c r="X51" i="5"/>
  <c r="X49" i="5"/>
  <c r="X165" i="5"/>
  <c r="X181" i="5"/>
  <c r="W74" i="5"/>
  <c r="X158" i="5"/>
  <c r="X57" i="5"/>
  <c r="X39" i="5"/>
  <c r="X163" i="5"/>
  <c r="X154" i="5"/>
  <c r="L99" i="5"/>
  <c r="X47" i="5"/>
  <c r="P63" i="5"/>
  <c r="X176" i="5"/>
  <c r="J99" i="5"/>
  <c r="X175" i="5"/>
  <c r="W92" i="5"/>
  <c r="W81" i="5"/>
  <c r="M99" i="5"/>
  <c r="X54" i="5"/>
  <c r="X179" i="5"/>
  <c r="X42" i="5"/>
  <c r="F63" i="5"/>
  <c r="X162" i="5"/>
  <c r="O63" i="5"/>
  <c r="W78" i="5"/>
  <c r="X177" i="5"/>
  <c r="F99" i="5"/>
  <c r="X59" i="5"/>
  <c r="W98" i="5"/>
  <c r="Q63" i="5"/>
  <c r="T99" i="5"/>
  <c r="X53" i="5"/>
  <c r="T63" i="5"/>
  <c r="H99" i="5"/>
  <c r="G63" i="5"/>
  <c r="K99" i="5"/>
  <c r="X152" i="5"/>
  <c r="X173" i="5"/>
  <c r="N99" i="5"/>
  <c r="X52" i="5"/>
  <c r="W97" i="5"/>
  <c r="X37" i="5"/>
  <c r="Q99" i="5"/>
  <c r="U63" i="5"/>
  <c r="X50" i="5"/>
  <c r="W85" i="5"/>
  <c r="X60" i="5"/>
  <c r="R99" i="5"/>
  <c r="W80" i="5"/>
  <c r="W86" i="5"/>
  <c r="S63" i="5"/>
  <c r="X174" i="5"/>
  <c r="W76" i="5"/>
  <c r="I99" i="5"/>
  <c r="X166" i="5"/>
  <c r="M63" i="5"/>
  <c r="E99" i="5"/>
  <c r="P99" i="5"/>
  <c r="X169" i="5"/>
  <c r="X61" i="5"/>
  <c r="X48" i="5"/>
  <c r="X155" i="5"/>
  <c r="W83" i="5"/>
  <c r="W91" i="5"/>
  <c r="N63" i="5"/>
  <c r="X170" i="5"/>
  <c r="W75" i="5"/>
  <c r="S99" i="5"/>
  <c r="V99" i="5"/>
  <c r="X172" i="5"/>
  <c r="G99" i="5"/>
  <c r="W84" i="5"/>
  <c r="W90" i="5"/>
  <c r="J63" i="5"/>
  <c r="X157" i="5"/>
  <c r="W96" i="5"/>
  <c r="X55" i="5"/>
  <c r="X43" i="5"/>
  <c r="X58" i="5"/>
  <c r="X36" i="5" l="1"/>
  <c r="X73" i="5" s="1"/>
  <c r="X110" i="5" s="1"/>
  <c r="R151" i="5"/>
  <c r="S15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09" i="5"/>
  <c r="Y35" i="5"/>
  <c r="X72" i="5"/>
  <c r="I136" i="5"/>
  <c r="R136" i="5"/>
  <c r="O136" i="5"/>
  <c r="L136" i="5"/>
  <c r="T136" i="5"/>
  <c r="M136" i="5"/>
  <c r="F136" i="5"/>
  <c r="V136" i="5"/>
  <c r="S136" i="5"/>
  <c r="H136" i="5"/>
  <c r="Q136" i="5"/>
  <c r="J136" i="5"/>
  <c r="G136" i="5"/>
  <c r="W136" i="5"/>
  <c r="P136" i="5"/>
  <c r="E136" i="5"/>
  <c r="U136" i="5"/>
  <c r="N136" i="5"/>
  <c r="K136" i="5"/>
  <c r="D101" i="5"/>
  <c r="D65" i="5"/>
  <c r="Y169" i="5"/>
  <c r="Y49" i="5"/>
  <c r="X78" i="5"/>
  <c r="X98" i="5"/>
  <c r="Y181" i="5"/>
  <c r="P64" i="5"/>
  <c r="Y157" i="5"/>
  <c r="X97" i="5"/>
  <c r="Y46" i="5"/>
  <c r="E64" i="5"/>
  <c r="Y180" i="5"/>
  <c r="N100" i="5"/>
  <c r="S100" i="5"/>
  <c r="Y173" i="5"/>
  <c r="L100" i="5"/>
  <c r="Y172" i="5"/>
  <c r="Y57" i="5"/>
  <c r="Y166" i="5"/>
  <c r="Y45" i="5"/>
  <c r="Y160" i="5"/>
  <c r="F100" i="5"/>
  <c r="U64" i="5"/>
  <c r="X93" i="5"/>
  <c r="Y158" i="5"/>
  <c r="Y37" i="5"/>
  <c r="X86" i="5"/>
  <c r="Y162" i="5"/>
  <c r="Y50" i="5"/>
  <c r="X95" i="5"/>
  <c r="Y176" i="5"/>
  <c r="Y60" i="5"/>
  <c r="X83" i="5"/>
  <c r="G64" i="5"/>
  <c r="H64" i="5"/>
  <c r="X99" i="5"/>
  <c r="Y177" i="5"/>
  <c r="X81" i="5"/>
  <c r="X91" i="5"/>
  <c r="Q100" i="5"/>
  <c r="G100" i="5"/>
  <c r="V64" i="5"/>
  <c r="X100" i="5"/>
  <c r="X76" i="5"/>
  <c r="Y156" i="5"/>
  <c r="Y54" i="5"/>
  <c r="Y64" i="5"/>
  <c r="O100" i="5"/>
  <c r="M100" i="5"/>
  <c r="Y38" i="5"/>
  <c r="Y165" i="5"/>
  <c r="Y55" i="5"/>
  <c r="Y56" i="5"/>
  <c r="X80" i="5"/>
  <c r="X88" i="5"/>
  <c r="Y178" i="5"/>
  <c r="Y164" i="5"/>
  <c r="X74" i="5"/>
  <c r="T64" i="5"/>
  <c r="Y62" i="5"/>
  <c r="Y43" i="5"/>
  <c r="L64" i="5"/>
  <c r="I100" i="5"/>
  <c r="T100" i="5"/>
  <c r="Y44" i="5"/>
  <c r="Y179" i="5"/>
  <c r="U100" i="5"/>
  <c r="X77" i="5"/>
  <c r="P100" i="5"/>
  <c r="X84" i="5"/>
  <c r="Y39" i="5"/>
  <c r="Y174" i="5"/>
  <c r="Y163" i="5"/>
  <c r="H100" i="5"/>
  <c r="Y155" i="5"/>
  <c r="Y59" i="5"/>
  <c r="X96" i="5"/>
  <c r="J64" i="5"/>
  <c r="X90" i="5"/>
  <c r="Y48" i="5"/>
  <c r="R64" i="5"/>
  <c r="Y63" i="5"/>
  <c r="Y53" i="5"/>
  <c r="X85" i="5"/>
  <c r="Y161" i="5"/>
  <c r="O64" i="5"/>
  <c r="Y61" i="5"/>
  <c r="E100" i="5"/>
  <c r="K64" i="5"/>
  <c r="Y47" i="5"/>
  <c r="X79" i="5"/>
  <c r="X75" i="5"/>
  <c r="N64" i="5"/>
  <c r="Y168" i="5"/>
  <c r="J100" i="5"/>
  <c r="Y153" i="5"/>
  <c r="X89" i="5"/>
  <c r="Y170" i="5"/>
  <c r="X64" i="5"/>
  <c r="W64" i="5"/>
  <c r="X82" i="5"/>
  <c r="Q64" i="5"/>
  <c r="Y152" i="5"/>
  <c r="Y41" i="5"/>
  <c r="W100" i="5"/>
  <c r="X92" i="5"/>
  <c r="R100" i="5"/>
  <c r="Y154" i="5"/>
  <c r="Y183" i="5"/>
  <c r="Y42" i="5"/>
  <c r="V100" i="5"/>
  <c r="Y51" i="5"/>
  <c r="Y58" i="5"/>
  <c r="Y167" i="5"/>
  <c r="Y182" i="5"/>
  <c r="Y52" i="5"/>
  <c r="Y159" i="5"/>
  <c r="Y40" i="5"/>
  <c r="Y171" i="5"/>
  <c r="M64" i="5"/>
  <c r="Y175" i="5"/>
  <c r="K100" i="5"/>
  <c r="X87" i="5"/>
  <c r="S64" i="5"/>
  <c r="I64" i="5"/>
  <c r="F64" i="5"/>
  <c r="X94" i="5"/>
  <c r="Y36" i="5" l="1"/>
  <c r="Y73" i="5" s="1"/>
  <c r="Y110" i="5" s="1"/>
  <c r="T150" i="5"/>
  <c r="S151" i="5"/>
  <c r="X111" i="5"/>
  <c r="X112" i="5"/>
  <c r="X113" i="5"/>
  <c r="X114" i="5"/>
  <c r="X115" i="5"/>
  <c r="X116" i="5"/>
  <c r="X117" i="5"/>
  <c r="X118" i="5"/>
  <c r="X119" i="5"/>
  <c r="X120" i="5"/>
  <c r="X121" i="5"/>
  <c r="X122" i="5"/>
  <c r="X123" i="5"/>
  <c r="X124" i="5"/>
  <c r="X125" i="5"/>
  <c r="X126" i="5"/>
  <c r="X127" i="5"/>
  <c r="X128" i="5"/>
  <c r="X129" i="5"/>
  <c r="X130" i="5"/>
  <c r="X131" i="5"/>
  <c r="X132" i="5"/>
  <c r="X133" i="5"/>
  <c r="X134" i="5"/>
  <c r="X135" i="5"/>
  <c r="X136" i="5"/>
  <c r="Y72" i="5"/>
  <c r="Z35" i="5"/>
  <c r="X109" i="5"/>
  <c r="E137" i="5"/>
  <c r="G137" i="5"/>
  <c r="N137" i="5"/>
  <c r="W137" i="5"/>
  <c r="O137" i="5"/>
  <c r="P137" i="5"/>
  <c r="I137" i="5"/>
  <c r="R137" i="5"/>
  <c r="L137" i="5"/>
  <c r="U137" i="5"/>
  <c r="T137" i="5"/>
  <c r="M137" i="5"/>
  <c r="F137" i="5"/>
  <c r="V137" i="5"/>
  <c r="S137" i="5"/>
  <c r="K137" i="5"/>
  <c r="H137" i="5"/>
  <c r="X137" i="5"/>
  <c r="Q137" i="5"/>
  <c r="J137" i="5"/>
  <c r="D102" i="5"/>
  <c r="D66" i="5"/>
  <c r="Z36" i="5" l="1"/>
  <c r="Z73" i="5" s="1"/>
  <c r="Z110" i="5" s="1"/>
  <c r="T151" i="5"/>
  <c r="U150" i="5"/>
  <c r="AA35" i="5"/>
  <c r="Z72" i="5"/>
  <c r="Y109" i="5"/>
  <c r="D103" i="5"/>
  <c r="D67" i="5"/>
  <c r="AA36" i="5" l="1"/>
  <c r="AA73" i="5" s="1"/>
  <c r="AA110" i="5" s="1"/>
  <c r="U151" i="5"/>
  <c r="V150" i="5"/>
  <c r="Z109" i="5"/>
  <c r="AB35" i="5"/>
  <c r="AA72" i="5"/>
  <c r="D104" i="5"/>
  <c r="D68" i="5"/>
  <c r="AB36" i="5" l="1"/>
  <c r="AB73" i="5" s="1"/>
  <c r="AB110" i="5" s="1"/>
  <c r="V151" i="5"/>
  <c r="W150" i="5"/>
  <c r="AA109" i="5"/>
  <c r="AC35" i="5"/>
  <c r="AB72" i="5"/>
  <c r="D105" i="5"/>
  <c r="AC36" i="5" l="1"/>
  <c r="AC73" i="5" s="1"/>
  <c r="AC110" i="5" s="1"/>
  <c r="X150" i="5"/>
  <c r="W151" i="5"/>
  <c r="AC72" i="5"/>
  <c r="AD35" i="5"/>
  <c r="AB109" i="5"/>
  <c r="AD36" i="5" l="1"/>
  <c r="AD73" i="5" s="1"/>
  <c r="AD110" i="5" s="1"/>
  <c r="Y150" i="5"/>
  <c r="X151" i="5"/>
  <c r="AD72" i="5"/>
  <c r="AE35" i="5"/>
  <c r="AC109" i="5"/>
  <c r="AE36" i="5" l="1"/>
  <c r="AE73" i="5" s="1"/>
  <c r="AE110" i="5" s="1"/>
  <c r="Y151" i="5"/>
  <c r="Z150" i="5"/>
  <c r="AD109" i="5"/>
  <c r="AF35" i="5"/>
  <c r="AE72" i="5"/>
  <c r="AF36" i="5" l="1"/>
  <c r="AF73" i="5" s="1"/>
  <c r="AF110" i="5" s="1"/>
  <c r="Z151" i="5"/>
  <c r="AA150" i="5"/>
  <c r="AE109" i="5"/>
  <c r="AG35" i="5"/>
  <c r="AF72" i="5"/>
  <c r="AG36" i="5" l="1"/>
  <c r="AG73" i="5" s="1"/>
  <c r="AG110" i="5" s="1"/>
  <c r="AB150" i="5"/>
  <c r="AA151" i="5"/>
  <c r="AF109" i="5"/>
  <c r="AG72" i="5"/>
  <c r="AH35" i="5"/>
  <c r="AH36" i="5" l="1"/>
  <c r="AH73" i="5" s="1"/>
  <c r="AH110" i="5" s="1"/>
  <c r="AB151" i="5"/>
  <c r="AC150" i="5"/>
  <c r="AH72" i="5"/>
  <c r="AI35" i="5"/>
  <c r="AG109" i="5"/>
  <c r="AI36" i="5" l="1"/>
  <c r="AI73" i="5" s="1"/>
  <c r="AI110" i="5" s="1"/>
  <c r="AC151" i="5"/>
  <c r="AD150" i="5"/>
  <c r="AJ35" i="5"/>
  <c r="AI72" i="5"/>
  <c r="AH109" i="5"/>
  <c r="AJ36" i="5" l="1"/>
  <c r="AJ73" i="5" s="1"/>
  <c r="AJ110" i="5" s="1"/>
  <c r="AD151" i="5"/>
  <c r="AE150" i="5"/>
  <c r="AI109" i="5"/>
  <c r="AK35" i="5"/>
  <c r="AJ72" i="5"/>
  <c r="AK36" i="5" l="1"/>
  <c r="AK73" i="5" s="1"/>
  <c r="AK110" i="5" s="1"/>
  <c r="AF150" i="5"/>
  <c r="AE151" i="5"/>
  <c r="AJ109" i="5"/>
  <c r="AK72" i="5"/>
  <c r="AL35" i="5"/>
  <c r="AL36" i="5" l="1"/>
  <c r="AL73" i="5" s="1"/>
  <c r="AL110" i="5" s="1"/>
  <c r="AG150" i="5"/>
  <c r="AF151" i="5"/>
  <c r="AL72" i="5"/>
  <c r="AM35" i="5"/>
  <c r="AK109" i="5"/>
  <c r="AM36" i="5" l="1"/>
  <c r="AM73" i="5" s="1"/>
  <c r="AM110" i="5" s="1"/>
  <c r="AG151" i="5"/>
  <c r="AH150" i="5"/>
  <c r="AM72" i="5"/>
  <c r="AN35" i="5"/>
  <c r="AL109" i="5"/>
  <c r="AN36" i="5" l="1"/>
  <c r="AN73" i="5" s="1"/>
  <c r="AN110" i="5" s="1"/>
  <c r="AH151" i="5"/>
  <c r="AI150" i="5"/>
  <c r="AO35" i="5"/>
  <c r="AN72" i="5"/>
  <c r="AM109" i="5"/>
  <c r="AO36" i="5" l="1"/>
  <c r="AO73" i="5" s="1"/>
  <c r="AO110" i="5" s="1"/>
  <c r="AJ150" i="5"/>
  <c r="AI151" i="5"/>
  <c r="AN109" i="5"/>
  <c r="AO72" i="5"/>
  <c r="AJ151" i="5" l="1"/>
  <c r="AK150" i="5"/>
  <c r="AO109" i="5"/>
  <c r="AK151" i="5" l="1"/>
  <c r="AL150" i="5"/>
  <c r="AL151" i="5" l="1"/>
  <c r="AM150" i="5"/>
  <c r="AN150" i="5" l="1"/>
  <c r="AM151" i="5"/>
  <c r="AO150" i="5" l="1"/>
  <c r="AO151" i="5" s="1"/>
  <c r="AN151" i="5"/>
  <c r="R103" i="5"/>
  <c r="AI104" i="5"/>
  <c r="AJ172" i="5"/>
  <c r="AM56" i="5"/>
  <c r="AD176" i="5"/>
  <c r="AC65" i="5"/>
  <c r="AI57" i="5"/>
  <c r="AD181" i="5"/>
  <c r="Z176" i="5"/>
  <c r="H105" i="5"/>
  <c r="J67" i="5"/>
  <c r="Z160" i="5"/>
  <c r="AE169" i="5"/>
  <c r="AB92" i="5"/>
  <c r="AG164" i="5"/>
  <c r="AO100" i="5"/>
  <c r="AB52" i="5"/>
  <c r="AL76" i="5"/>
  <c r="AH172" i="5"/>
  <c r="AA51" i="5"/>
  <c r="AO101" i="5"/>
  <c r="AD46" i="5"/>
  <c r="AM59" i="5"/>
  <c r="AB53" i="5"/>
  <c r="AL82" i="5"/>
  <c r="AI158" i="5"/>
  <c r="AF54" i="5"/>
  <c r="AC42" i="5"/>
  <c r="AG177" i="5"/>
  <c r="Z54" i="5"/>
  <c r="AB80" i="5"/>
  <c r="AO152" i="5"/>
  <c r="AF87" i="5"/>
  <c r="AO179" i="5"/>
  <c r="Z85" i="5"/>
  <c r="AD80" i="5"/>
  <c r="AN175" i="5"/>
  <c r="AJ169" i="5"/>
  <c r="N104" i="5"/>
  <c r="AO91" i="5"/>
  <c r="Z168" i="5"/>
  <c r="AN96" i="5"/>
  <c r="Z65" i="5"/>
  <c r="AB86" i="5"/>
  <c r="AG163" i="5"/>
  <c r="E103" i="5"/>
  <c r="AL167" i="5"/>
  <c r="AA91" i="5"/>
  <c r="K65" i="5"/>
  <c r="AC90" i="5"/>
  <c r="AL102" i="5"/>
  <c r="AJ80" i="5"/>
  <c r="AD171" i="5"/>
  <c r="AF161" i="5"/>
  <c r="AJ155" i="5"/>
  <c r="S104" i="5"/>
  <c r="AN165" i="5"/>
  <c r="AA50" i="5"/>
  <c r="Z178" i="5"/>
  <c r="AL86" i="5"/>
  <c r="V102" i="5"/>
  <c r="AE75" i="5"/>
  <c r="AE101" i="5"/>
  <c r="AF172" i="5"/>
  <c r="AB50" i="5"/>
  <c r="AL163" i="5"/>
  <c r="AL74" i="5"/>
  <c r="AK161" i="5"/>
  <c r="Z83" i="5"/>
  <c r="AE159" i="5"/>
  <c r="AO175" i="5"/>
  <c r="Z158" i="5"/>
  <c r="AC169" i="5"/>
  <c r="AB102" i="5"/>
  <c r="AF180" i="5"/>
  <c r="K105" i="5"/>
  <c r="AJ54" i="5"/>
  <c r="Z157" i="5"/>
  <c r="AK53" i="5"/>
  <c r="AA96" i="5"/>
  <c r="F102" i="5"/>
  <c r="AH58" i="5"/>
  <c r="AI154" i="5"/>
  <c r="AF59" i="5"/>
  <c r="AH101" i="5"/>
  <c r="AK179" i="5"/>
  <c r="AJ100" i="5"/>
  <c r="AB154" i="5"/>
  <c r="AH162" i="5"/>
  <c r="AL75" i="5"/>
  <c r="Y96" i="5"/>
  <c r="AC174" i="5"/>
  <c r="AD51" i="5"/>
  <c r="L67" i="5"/>
  <c r="AA94" i="5"/>
  <c r="AN60" i="5"/>
  <c r="Y65" i="5"/>
  <c r="AJ173" i="5"/>
  <c r="AK93" i="5"/>
  <c r="AI76" i="5"/>
  <c r="AM172" i="5"/>
  <c r="Q104" i="5"/>
  <c r="AH82" i="5"/>
  <c r="AJ48" i="5"/>
  <c r="AK90" i="5"/>
  <c r="AE57" i="5"/>
  <c r="AM63" i="5"/>
  <c r="V104" i="5"/>
  <c r="AG74" i="5"/>
  <c r="AL56" i="5"/>
  <c r="AF79" i="5"/>
  <c r="AI61" i="5"/>
  <c r="AG43" i="5"/>
  <c r="AC92" i="5"/>
  <c r="AB62" i="5"/>
  <c r="AD167" i="5"/>
  <c r="G101" i="5"/>
  <c r="K66" i="5"/>
  <c r="AL94" i="5"/>
  <c r="AM176" i="5"/>
  <c r="P67" i="5"/>
  <c r="AD41" i="5"/>
  <c r="AI40" i="5"/>
  <c r="AF40" i="5"/>
  <c r="AN39" i="5"/>
  <c r="Z80" i="5"/>
  <c r="AF47" i="5"/>
  <c r="AI152" i="5"/>
  <c r="AJ59" i="5"/>
  <c r="AN89" i="5"/>
  <c r="U65" i="5"/>
  <c r="X104" i="5"/>
  <c r="AC47" i="5"/>
  <c r="I101" i="5"/>
  <c r="AH51" i="5"/>
  <c r="AI90" i="5"/>
  <c r="AG65" i="5"/>
  <c r="AO61" i="5"/>
  <c r="R102" i="5"/>
  <c r="AE156" i="5"/>
  <c r="AO63" i="5"/>
  <c r="AE39" i="5"/>
  <c r="AB43" i="5"/>
  <c r="AD90" i="5"/>
  <c r="AL40" i="5"/>
  <c r="AE85" i="5"/>
  <c r="AL170" i="5"/>
  <c r="AH94" i="5"/>
  <c r="AA54" i="5"/>
  <c r="AL181" i="5"/>
  <c r="AC63" i="5"/>
  <c r="AJ175" i="5"/>
  <c r="P102" i="5"/>
  <c r="X101" i="5"/>
  <c r="AO80" i="5"/>
  <c r="AL68" i="5"/>
  <c r="AE41" i="5"/>
  <c r="AH159" i="5"/>
  <c r="AN171" i="5"/>
  <c r="AO47" i="5"/>
  <c r="AL41" i="5"/>
  <c r="AO166" i="5"/>
  <c r="I66" i="5"/>
  <c r="AF52" i="5"/>
  <c r="AB79" i="5"/>
  <c r="X105" i="5"/>
  <c r="AG77" i="5"/>
  <c r="AE61" i="5"/>
  <c r="Y94" i="5"/>
  <c r="K102" i="5"/>
  <c r="AB39" i="5"/>
  <c r="AH174" i="5"/>
  <c r="AC62" i="5"/>
  <c r="AG162" i="5"/>
  <c r="AH104" i="5"/>
  <c r="AF156" i="5"/>
  <c r="AA77" i="5"/>
  <c r="AE172" i="5"/>
  <c r="AO162" i="5"/>
  <c r="AE161" i="5"/>
  <c r="AO81" i="5"/>
  <c r="AH68" i="5"/>
  <c r="AF63" i="5"/>
  <c r="H65" i="5"/>
  <c r="AO93" i="5"/>
  <c r="AK76" i="5"/>
  <c r="AL49" i="5"/>
  <c r="AE77" i="5"/>
  <c r="AF152" i="5"/>
  <c r="Z67" i="5"/>
  <c r="AK181" i="5"/>
  <c r="E101" i="5"/>
  <c r="AA179" i="5"/>
  <c r="Q67" i="5"/>
  <c r="Z75" i="5"/>
  <c r="AB56" i="5"/>
  <c r="AI86" i="5"/>
  <c r="AD85" i="5"/>
  <c r="I104" i="5"/>
  <c r="AC84" i="5"/>
  <c r="AJ57" i="5"/>
  <c r="AA174" i="5"/>
  <c r="AK169" i="5"/>
  <c r="AI81" i="5"/>
  <c r="AE183" i="5"/>
  <c r="AK64" i="5"/>
  <c r="AD175" i="5"/>
  <c r="AJ41" i="5"/>
  <c r="AC57" i="5"/>
  <c r="P101" i="5"/>
  <c r="AE74" i="5"/>
  <c r="AB99" i="5"/>
  <c r="AC75" i="5"/>
  <c r="AG81" i="5"/>
  <c r="AA166" i="5"/>
  <c r="J103" i="5"/>
  <c r="AI47" i="5"/>
  <c r="AK89" i="5"/>
  <c r="AB166" i="5"/>
  <c r="AF169" i="5"/>
  <c r="AJ60" i="5"/>
  <c r="AH180" i="5"/>
  <c r="AI68" i="5"/>
  <c r="H102" i="5"/>
  <c r="AN183" i="5"/>
  <c r="AD172" i="5"/>
  <c r="AH84" i="5"/>
  <c r="AI164" i="5"/>
  <c r="AG90" i="5"/>
  <c r="Z155" i="5"/>
  <c r="AF183" i="5"/>
  <c r="AF175" i="5"/>
  <c r="AM170" i="5"/>
  <c r="AN62" i="5"/>
  <c r="AM44" i="5"/>
  <c r="AB48" i="5"/>
  <c r="AJ53" i="5"/>
  <c r="AA155" i="5"/>
  <c r="AL95" i="5"/>
  <c r="AE89" i="5"/>
  <c r="Z56" i="5"/>
  <c r="AH173" i="5"/>
  <c r="AB81" i="5"/>
  <c r="AB45" i="5"/>
  <c r="AI182" i="5"/>
  <c r="AN67" i="5"/>
  <c r="AN75" i="5"/>
  <c r="AK97" i="5"/>
  <c r="AI38" i="5"/>
  <c r="AH66" i="5"/>
  <c r="AK40" i="5"/>
  <c r="AL166" i="5"/>
  <c r="AJ76" i="5"/>
  <c r="AJ56" i="5"/>
  <c r="AC39" i="5"/>
  <c r="AE40" i="5"/>
  <c r="AJ66" i="5"/>
  <c r="AG101" i="5"/>
  <c r="F103" i="5"/>
  <c r="Z64" i="5"/>
  <c r="AO46" i="5"/>
  <c r="Z53" i="5"/>
  <c r="AI167" i="5"/>
  <c r="Z68" i="5"/>
  <c r="AC154" i="5"/>
  <c r="AF45" i="5"/>
  <c r="AN153" i="5"/>
  <c r="AH153" i="5"/>
  <c r="AK37" i="5"/>
  <c r="AD89" i="5"/>
  <c r="AC91" i="5"/>
  <c r="H104" i="5"/>
  <c r="AD39" i="5"/>
  <c r="AE79" i="5"/>
  <c r="AK162" i="5"/>
  <c r="AG42" i="5"/>
  <c r="I68" i="5"/>
  <c r="AF94" i="5"/>
  <c r="AD98" i="5"/>
  <c r="AL162" i="5"/>
  <c r="G104" i="5"/>
  <c r="AD165" i="5"/>
  <c r="T66" i="5"/>
  <c r="AD61" i="5"/>
  <c r="AC183" i="5"/>
  <c r="M103" i="5"/>
  <c r="AE38" i="5"/>
  <c r="Z48" i="5"/>
  <c r="AN97" i="5"/>
  <c r="AA59" i="5"/>
  <c r="AF53" i="5"/>
  <c r="I103" i="5"/>
  <c r="AA57" i="5"/>
  <c r="AJ96" i="5"/>
  <c r="AB161" i="5"/>
  <c r="AJ182" i="5"/>
  <c r="AH154" i="5"/>
  <c r="G65" i="5"/>
  <c r="AO156" i="5"/>
  <c r="AJ165" i="5"/>
  <c r="AE164" i="5"/>
  <c r="AF85" i="5"/>
  <c r="AJ45" i="5"/>
  <c r="AI100" i="5"/>
  <c r="AC61" i="5"/>
  <c r="AJ50" i="5"/>
  <c r="AH171" i="5"/>
  <c r="AK82" i="5"/>
  <c r="AO62" i="5"/>
  <c r="AH50" i="5"/>
  <c r="AO42" i="5"/>
  <c r="AI62" i="5"/>
  <c r="AF179" i="5"/>
  <c r="AG170" i="5"/>
  <c r="AG153" i="5"/>
  <c r="AH87" i="5"/>
  <c r="Z60" i="5"/>
  <c r="AB46" i="5"/>
  <c r="AB155" i="5"/>
  <c r="AA90" i="5"/>
  <c r="AJ67" i="5"/>
  <c r="AE49" i="5"/>
  <c r="AI58" i="5"/>
  <c r="AL97" i="5"/>
  <c r="AJ166" i="5"/>
  <c r="AI79" i="5"/>
  <c r="AJ180" i="5"/>
  <c r="AM82" i="5"/>
  <c r="AL160" i="5"/>
  <c r="AF37" i="5"/>
  <c r="AA76" i="5"/>
  <c r="AB51" i="5"/>
  <c r="AG58" i="5"/>
  <c r="AM104" i="5"/>
  <c r="Z180" i="5"/>
  <c r="AJ86" i="5"/>
  <c r="AF55" i="5"/>
  <c r="AE46" i="5"/>
  <c r="AI37" i="5"/>
  <c r="Y104" i="5"/>
  <c r="AG105" i="5"/>
  <c r="AE37" i="5"/>
  <c r="AN179" i="5"/>
  <c r="Z40" i="5"/>
  <c r="AD91" i="5"/>
  <c r="AA99" i="5"/>
  <c r="G105" i="5"/>
  <c r="AG92" i="5"/>
  <c r="AB58" i="5"/>
  <c r="AG50" i="5"/>
  <c r="AA80" i="5"/>
  <c r="AL80" i="5"/>
  <c r="AO88" i="5"/>
  <c r="AA67" i="5"/>
  <c r="AN169" i="5"/>
  <c r="AL174" i="5"/>
  <c r="Z169" i="5"/>
  <c r="AL66" i="5"/>
  <c r="AN176" i="5"/>
  <c r="AK44" i="5"/>
  <c r="AL183" i="5"/>
  <c r="I105" i="5"/>
  <c r="AN159" i="5"/>
  <c r="Z79" i="5"/>
  <c r="AK38" i="5"/>
  <c r="AA104" i="5"/>
  <c r="AC54" i="5"/>
  <c r="AF39" i="5"/>
  <c r="AO104" i="5"/>
  <c r="AK104" i="5"/>
  <c r="AE58" i="5"/>
  <c r="Z100" i="5"/>
  <c r="AO68" i="5"/>
  <c r="AA74" i="5"/>
  <c r="AE53" i="5"/>
  <c r="AE88" i="5"/>
  <c r="AC180" i="5"/>
  <c r="AN95" i="5"/>
  <c r="AC53" i="5"/>
  <c r="AK56" i="5"/>
  <c r="AG38" i="5"/>
  <c r="AL154" i="5"/>
  <c r="AM65" i="5"/>
  <c r="AN174" i="5"/>
  <c r="AK83" i="5"/>
  <c r="U102" i="5"/>
  <c r="AO49" i="5"/>
  <c r="AH177" i="5"/>
  <c r="AA181" i="5"/>
  <c r="AK39" i="5"/>
  <c r="AM93" i="5"/>
  <c r="AK100" i="5"/>
  <c r="AB98" i="5"/>
  <c r="AN86" i="5"/>
  <c r="AF92" i="5"/>
  <c r="AK52" i="5"/>
  <c r="Z51" i="5"/>
  <c r="AF67" i="5"/>
  <c r="AE59" i="5"/>
  <c r="AA157" i="5"/>
  <c r="AF89" i="5"/>
  <c r="L104" i="5"/>
  <c r="AA95" i="5"/>
  <c r="AO97" i="5"/>
  <c r="AF160" i="5"/>
  <c r="AH164" i="5"/>
  <c r="AH46" i="5"/>
  <c r="T102" i="5"/>
  <c r="Y83" i="5"/>
  <c r="AE68" i="5"/>
  <c r="AM50" i="5"/>
  <c r="Z59" i="5"/>
  <c r="Z177" i="5"/>
  <c r="AM152" i="5"/>
  <c r="AD58" i="5"/>
  <c r="AJ164" i="5"/>
  <c r="H103" i="5"/>
  <c r="AE56" i="5"/>
  <c r="AN85" i="5"/>
  <c r="AE94" i="5"/>
  <c r="Y92" i="5"/>
  <c r="AN59" i="5"/>
  <c r="AK65" i="5"/>
  <c r="W101" i="5"/>
  <c r="AB41" i="5"/>
  <c r="AG45" i="5"/>
  <c r="AM103" i="5"/>
  <c r="AK156" i="5"/>
  <c r="AK165" i="5"/>
  <c r="AC176" i="5"/>
  <c r="AC152" i="5"/>
  <c r="AH49" i="5"/>
  <c r="AB78" i="5"/>
  <c r="AI178" i="5"/>
  <c r="AD183" i="5"/>
  <c r="AA78" i="5"/>
  <c r="AN88" i="5"/>
  <c r="AA75" i="5"/>
  <c r="AM76" i="5"/>
  <c r="AD157" i="5"/>
  <c r="AF104" i="5"/>
  <c r="Y103" i="5"/>
  <c r="Z97" i="5"/>
  <c r="AN57" i="5"/>
  <c r="P68" i="5"/>
  <c r="AK168" i="5"/>
  <c r="E68" i="5"/>
  <c r="AD101" i="5"/>
  <c r="AE96" i="5"/>
  <c r="Z156" i="5"/>
  <c r="Z43" i="5"/>
  <c r="AK85" i="5"/>
  <c r="AK101" i="5"/>
  <c r="AN82" i="5"/>
  <c r="Z37" i="5"/>
  <c r="AO154" i="5"/>
  <c r="AE63" i="5"/>
  <c r="AE171" i="5"/>
  <c r="AD59" i="5"/>
  <c r="AN51" i="5"/>
  <c r="J66" i="5"/>
  <c r="AE67" i="5"/>
  <c r="M102" i="5"/>
  <c r="F66" i="5"/>
  <c r="AB61" i="5"/>
  <c r="AD160" i="5"/>
  <c r="AD83" i="5"/>
  <c r="AF97" i="5"/>
  <c r="AF65" i="5"/>
  <c r="AD103" i="5"/>
  <c r="AC55" i="5"/>
  <c r="Z87" i="5"/>
  <c r="AA49" i="5"/>
  <c r="AF177" i="5"/>
  <c r="Z94" i="5"/>
  <c r="AI171" i="5"/>
  <c r="AH44" i="5"/>
  <c r="AD77" i="5"/>
  <c r="AI75" i="5"/>
  <c r="AH61" i="5"/>
  <c r="H101" i="5"/>
  <c r="AM75" i="5"/>
  <c r="AN54" i="5"/>
  <c r="AN50" i="5"/>
  <c r="Y82" i="5"/>
  <c r="AF102" i="5"/>
  <c r="AA105" i="5"/>
  <c r="AI99" i="5"/>
  <c r="AJ93" i="5"/>
  <c r="AF51" i="5"/>
  <c r="AJ99" i="5"/>
  <c r="AO174" i="5"/>
  <c r="AL91" i="5"/>
  <c r="Y88" i="5"/>
  <c r="AF93" i="5"/>
  <c r="AN87" i="5"/>
  <c r="AD63" i="5"/>
  <c r="AI94" i="5"/>
  <c r="AM37" i="5"/>
  <c r="AL37" i="5"/>
  <c r="L65" i="5"/>
  <c r="Z86" i="5"/>
  <c r="AE105" i="5"/>
  <c r="AK167" i="5"/>
  <c r="AB67" i="5"/>
  <c r="AB100" i="5"/>
  <c r="AN45" i="5"/>
  <c r="AJ104" i="5"/>
  <c r="AO183" i="5"/>
  <c r="AJ85" i="5"/>
  <c r="AI175" i="5"/>
  <c r="F105" i="5"/>
  <c r="AH166" i="5"/>
  <c r="AG91" i="5"/>
  <c r="AI78" i="5"/>
  <c r="AI56" i="5"/>
  <c r="AI41" i="5"/>
  <c r="AK84" i="5"/>
  <c r="X68" i="5"/>
  <c r="R105" i="5"/>
  <c r="AL84" i="5"/>
  <c r="AJ177" i="5"/>
  <c r="AH156" i="5"/>
  <c r="AB96" i="5"/>
  <c r="AN48" i="5"/>
  <c r="AF43" i="5"/>
  <c r="AJ62" i="5"/>
  <c r="AK55" i="5"/>
  <c r="Z44" i="5"/>
  <c r="AN40" i="5"/>
  <c r="N67" i="5"/>
  <c r="AM159" i="5"/>
  <c r="AE81" i="5"/>
  <c r="Y81" i="5"/>
  <c r="AF173" i="5"/>
  <c r="AG169" i="5"/>
  <c r="AH170" i="5"/>
  <c r="AM42" i="5"/>
  <c r="AE95" i="5"/>
  <c r="AH181" i="5"/>
  <c r="S65" i="5"/>
  <c r="AC178" i="5"/>
  <c r="P66" i="5"/>
  <c r="AC164" i="5"/>
  <c r="Y80" i="5"/>
  <c r="G66" i="5"/>
  <c r="M65" i="5"/>
  <c r="Y84" i="5"/>
  <c r="AO169" i="5"/>
  <c r="AG40" i="5"/>
  <c r="AM183" i="5"/>
  <c r="AH56" i="5"/>
  <c r="U101" i="5"/>
  <c r="AB173" i="5"/>
  <c r="AD152" i="5"/>
  <c r="AB170" i="5"/>
  <c r="AF105" i="5"/>
  <c r="AG47" i="5"/>
  <c r="AD162" i="5"/>
  <c r="AN182" i="5"/>
  <c r="Y75" i="5"/>
  <c r="AJ102" i="5"/>
  <c r="AB37" i="5"/>
  <c r="AH76" i="5"/>
  <c r="AM68" i="5"/>
  <c r="AK60" i="5"/>
  <c r="AK41" i="5"/>
  <c r="AN173" i="5"/>
  <c r="AI53" i="5"/>
  <c r="AM83" i="5"/>
  <c r="AC99" i="5"/>
  <c r="AD49" i="5"/>
  <c r="AK74" i="5"/>
  <c r="AL101" i="5"/>
  <c r="AC182" i="5"/>
  <c r="AM167" i="5"/>
  <c r="AL176" i="5"/>
  <c r="AF80" i="5"/>
  <c r="Z95" i="5"/>
  <c r="AF101" i="5"/>
  <c r="P105" i="5"/>
  <c r="AF165" i="5"/>
  <c r="AJ68" i="5"/>
  <c r="AM92" i="5"/>
  <c r="AB179" i="5"/>
  <c r="AO181" i="5"/>
  <c r="AO75" i="5"/>
  <c r="V68" i="5"/>
  <c r="AF82" i="5"/>
  <c r="AJ84" i="5"/>
  <c r="AB158" i="5"/>
  <c r="AH47" i="5"/>
  <c r="AC49" i="5"/>
  <c r="AA168" i="5"/>
  <c r="AI67" i="5"/>
  <c r="AA68" i="5"/>
  <c r="AJ103" i="5"/>
  <c r="AL44" i="5"/>
  <c r="AA152" i="5"/>
  <c r="AN49" i="5"/>
  <c r="AD92" i="5"/>
  <c r="Y86" i="5"/>
  <c r="AB84" i="5"/>
  <c r="AO43" i="5"/>
  <c r="Q68" i="5"/>
  <c r="AN162" i="5"/>
  <c r="AM80" i="5"/>
  <c r="AA46" i="5"/>
  <c r="AN177" i="5"/>
  <c r="AN56" i="5"/>
  <c r="AK174" i="5"/>
  <c r="AD161" i="5"/>
  <c r="Y97" i="5"/>
  <c r="AF48" i="5"/>
  <c r="AI172" i="5"/>
  <c r="AG179" i="5"/>
  <c r="AG96" i="5"/>
  <c r="AL168" i="5"/>
  <c r="AL157" i="5"/>
  <c r="U104" i="5"/>
  <c r="AM81" i="5"/>
  <c r="Q103" i="5"/>
  <c r="AM60" i="5"/>
  <c r="AH100" i="5"/>
  <c r="AF176" i="5"/>
  <c r="AE165" i="5"/>
  <c r="AD62" i="5"/>
  <c r="AH179" i="5"/>
  <c r="AF100" i="5"/>
  <c r="AN65" i="5"/>
  <c r="AF181" i="5"/>
  <c r="AD163" i="5"/>
  <c r="AE153" i="5"/>
  <c r="AN52" i="5"/>
  <c r="Z84" i="5"/>
  <c r="AD94" i="5"/>
  <c r="AA153" i="5"/>
  <c r="AD37" i="5"/>
  <c r="AF90" i="5"/>
  <c r="AB87" i="5"/>
  <c r="AF182" i="5"/>
  <c r="AO98" i="5"/>
  <c r="K103" i="5"/>
  <c r="AH160" i="5"/>
  <c r="AD164" i="5"/>
  <c r="AG87" i="5"/>
  <c r="AE84" i="5"/>
  <c r="AJ178" i="5"/>
  <c r="AD53" i="5"/>
  <c r="AM162" i="5"/>
  <c r="AM77" i="5"/>
  <c r="AM153" i="5"/>
  <c r="AL177" i="5"/>
  <c r="AJ61" i="5"/>
  <c r="AB95" i="5"/>
  <c r="AB76" i="5"/>
  <c r="AM101" i="5"/>
  <c r="AH37" i="5"/>
  <c r="AI51" i="5"/>
  <c r="AE47" i="5"/>
  <c r="AB83" i="5"/>
  <c r="AN64" i="5"/>
  <c r="AN77" i="5"/>
  <c r="AE174" i="5"/>
  <c r="AN63" i="5"/>
  <c r="AI95" i="5"/>
  <c r="U68" i="5"/>
  <c r="AI101" i="5"/>
  <c r="AC64" i="5"/>
  <c r="AI92" i="5"/>
  <c r="Z38" i="5"/>
  <c r="AL100" i="5"/>
  <c r="AC168" i="5"/>
  <c r="Z47" i="5"/>
  <c r="L101" i="5"/>
  <c r="AF62" i="5"/>
  <c r="AC81" i="5"/>
  <c r="AO94" i="5"/>
  <c r="AI102" i="5"/>
  <c r="AG56" i="5"/>
  <c r="AL50" i="5"/>
  <c r="AE90" i="5"/>
  <c r="AN84" i="5"/>
  <c r="AE83" i="5"/>
  <c r="AM164" i="5"/>
  <c r="AC52" i="5"/>
  <c r="AO52" i="5"/>
  <c r="Y98" i="5"/>
  <c r="AC165" i="5"/>
  <c r="Q65" i="5"/>
  <c r="AG62" i="5"/>
  <c r="AN92" i="5"/>
  <c r="AC60" i="5"/>
  <c r="AG103" i="5"/>
  <c r="V105" i="5"/>
  <c r="AF155" i="5"/>
  <c r="M66" i="5"/>
  <c r="AK163" i="5"/>
  <c r="AB181" i="5"/>
  <c r="AC94" i="5"/>
  <c r="AH85" i="5"/>
  <c r="AC77" i="5"/>
  <c r="AN81" i="5"/>
  <c r="L68" i="5"/>
  <c r="AO59" i="5"/>
  <c r="AK48" i="5"/>
  <c r="AJ81" i="5"/>
  <c r="K68" i="5"/>
  <c r="AN42" i="5"/>
  <c r="AH54" i="5"/>
  <c r="AN154" i="5"/>
  <c r="R101" i="5"/>
  <c r="AC80" i="5"/>
  <c r="AN58" i="5"/>
  <c r="AH88" i="5"/>
  <c r="AM58" i="5"/>
  <c r="AN74" i="5"/>
  <c r="AJ152" i="5"/>
  <c r="S105" i="5"/>
  <c r="AC87" i="5"/>
  <c r="AE158" i="5"/>
  <c r="AC86" i="5"/>
  <c r="AC96" i="5"/>
  <c r="AF153" i="5"/>
  <c r="AK96" i="5"/>
  <c r="AA87" i="5"/>
  <c r="AE65" i="5"/>
  <c r="AL57" i="5"/>
  <c r="AN100" i="5"/>
  <c r="E66" i="5"/>
  <c r="AD97" i="5"/>
  <c r="AG175" i="5"/>
  <c r="AD44" i="5"/>
  <c r="Z61" i="5"/>
  <c r="AK170" i="5"/>
  <c r="T104" i="5"/>
  <c r="P103" i="5"/>
  <c r="AK153" i="5"/>
  <c r="AC175" i="5"/>
  <c r="AJ75" i="5"/>
  <c r="AL67" i="5"/>
  <c r="AG157" i="5"/>
  <c r="AM85" i="5"/>
  <c r="AB49" i="5"/>
  <c r="Y79" i="5"/>
  <c r="AK152" i="5"/>
  <c r="AC173" i="5"/>
  <c r="AH59" i="5"/>
  <c r="AM53" i="5"/>
  <c r="V101" i="5"/>
  <c r="AI84" i="5"/>
  <c r="AC156" i="5"/>
  <c r="AA82" i="5"/>
  <c r="AI98" i="5"/>
  <c r="AH98" i="5"/>
  <c r="AO83" i="5"/>
  <c r="AH99" i="5"/>
  <c r="AG161" i="5"/>
  <c r="AN61" i="5"/>
  <c r="AE42" i="5"/>
  <c r="AG95" i="5"/>
  <c r="AH93" i="5"/>
  <c r="AG64" i="5"/>
  <c r="W105" i="5"/>
  <c r="AJ154" i="5"/>
  <c r="E102" i="5"/>
  <c r="J102" i="5"/>
  <c r="AL39" i="5"/>
  <c r="AM155" i="5"/>
  <c r="AO77" i="5"/>
  <c r="AM182" i="5"/>
  <c r="AO64" i="5"/>
  <c r="AK75" i="5"/>
  <c r="AC105" i="5"/>
  <c r="AK45" i="5"/>
  <c r="AE92" i="5"/>
  <c r="O66" i="5"/>
  <c r="AN43" i="5"/>
  <c r="O68" i="5"/>
  <c r="AB174" i="5"/>
  <c r="AI87" i="5"/>
  <c r="AD42" i="5"/>
  <c r="AL161" i="5"/>
  <c r="G103" i="5"/>
  <c r="AC83" i="5"/>
  <c r="AF96" i="5"/>
  <c r="AB183" i="5"/>
  <c r="AG83" i="5"/>
  <c r="AN172" i="5"/>
  <c r="Z173" i="5"/>
  <c r="AK166" i="5"/>
  <c r="AN170" i="5"/>
  <c r="O102" i="5"/>
  <c r="W104" i="5"/>
  <c r="AC177" i="5"/>
  <c r="Z174" i="5"/>
  <c r="AI181" i="5"/>
  <c r="O103" i="5"/>
  <c r="AM84" i="5"/>
  <c r="AC171" i="5"/>
  <c r="AD102" i="5"/>
  <c r="AO159" i="5"/>
  <c r="AO84" i="5"/>
  <c r="N102" i="5"/>
  <c r="AE80" i="5"/>
  <c r="AG61" i="5"/>
  <c r="AF103" i="5"/>
  <c r="AH89" i="5"/>
  <c r="AG78" i="5"/>
  <c r="AM89" i="5"/>
  <c r="Z88" i="5"/>
  <c r="O65" i="5"/>
  <c r="AH97" i="5"/>
  <c r="AJ77" i="5"/>
  <c r="AK183" i="5"/>
  <c r="AJ52" i="5"/>
  <c r="AN91" i="5"/>
  <c r="AC95" i="5"/>
  <c r="AE182" i="5"/>
  <c r="AM40" i="5"/>
  <c r="S101" i="5"/>
  <c r="AF168" i="5"/>
  <c r="AM52" i="5"/>
  <c r="AB77" i="5"/>
  <c r="AB101" i="5"/>
  <c r="AF99" i="5"/>
  <c r="AA89" i="5"/>
  <c r="Y87" i="5"/>
  <c r="AK177" i="5"/>
  <c r="AL171" i="5"/>
  <c r="AB176" i="5"/>
  <c r="AL88" i="5"/>
  <c r="AL179" i="5"/>
  <c r="AE76" i="5"/>
  <c r="AE64" i="5"/>
  <c r="AI103" i="5"/>
  <c r="AN38" i="5"/>
  <c r="AA56" i="5"/>
  <c r="AM165" i="5"/>
  <c r="T65" i="5"/>
  <c r="Z46" i="5"/>
  <c r="AF158" i="5"/>
  <c r="AA171" i="5"/>
  <c r="AD177" i="5"/>
  <c r="AJ163" i="5"/>
  <c r="AI183" i="5"/>
  <c r="AA45" i="5"/>
  <c r="AG49" i="5"/>
  <c r="E65" i="5"/>
  <c r="AE180" i="5"/>
  <c r="AB65" i="5"/>
  <c r="AB159" i="5"/>
  <c r="AD67" i="5"/>
  <c r="AO155" i="5"/>
  <c r="AH90" i="5"/>
  <c r="AJ87" i="5"/>
  <c r="AB163" i="5"/>
  <c r="Y85" i="5"/>
  <c r="AN47" i="5"/>
  <c r="G67" i="5"/>
  <c r="AM174" i="5"/>
  <c r="AB60" i="5"/>
  <c r="AM90" i="5"/>
  <c r="Z167" i="5"/>
  <c r="AD74" i="5"/>
  <c r="AD168" i="5"/>
  <c r="AI43" i="5"/>
  <c r="AB44" i="5"/>
  <c r="AO177" i="5"/>
  <c r="AE155" i="5"/>
  <c r="AO58" i="5"/>
  <c r="AM86" i="5"/>
  <c r="AO96" i="5"/>
  <c r="AE177" i="5"/>
  <c r="AB104" i="5"/>
  <c r="AI163" i="5"/>
  <c r="AI153" i="5"/>
  <c r="AA38" i="5"/>
  <c r="AF61" i="5"/>
  <c r="AC41" i="5"/>
  <c r="AB182" i="5"/>
  <c r="AO168" i="5"/>
  <c r="AA102" i="5"/>
  <c r="AC102" i="5"/>
  <c r="AG104" i="5"/>
  <c r="AA165" i="5"/>
  <c r="AA64" i="5"/>
  <c r="AN46" i="5"/>
  <c r="AK158" i="5"/>
  <c r="AN157" i="5"/>
  <c r="AM181" i="5"/>
  <c r="AK68" i="5"/>
  <c r="AA61" i="5"/>
  <c r="AE160" i="5"/>
  <c r="AO172" i="5"/>
  <c r="AH64" i="5"/>
  <c r="AG44" i="5"/>
  <c r="X66" i="5"/>
  <c r="AB68" i="5"/>
  <c r="AB103" i="5"/>
  <c r="AJ46" i="5"/>
  <c r="AH75" i="5"/>
  <c r="AC37" i="5"/>
  <c r="AO57" i="5"/>
  <c r="AA79" i="5"/>
  <c r="AA53" i="5"/>
  <c r="Y76" i="5"/>
  <c r="AA83" i="5"/>
  <c r="AN78" i="5"/>
  <c r="S66" i="5"/>
  <c r="AA42" i="5"/>
  <c r="AC100" i="5"/>
  <c r="AE55" i="5"/>
  <c r="AI166" i="5"/>
  <c r="Z101" i="5"/>
  <c r="AJ97" i="5"/>
  <c r="P65" i="5"/>
  <c r="AF167" i="5"/>
  <c r="AJ176" i="5"/>
  <c r="AM98" i="5"/>
  <c r="AK176" i="5"/>
  <c r="AI169" i="5"/>
  <c r="Y95" i="5"/>
  <c r="AH167" i="5"/>
  <c r="AH163" i="5"/>
  <c r="AN76" i="5"/>
  <c r="AF163" i="5"/>
  <c r="X102" i="5"/>
  <c r="AE154" i="5"/>
  <c r="Y93" i="5"/>
  <c r="AN166" i="5"/>
  <c r="R65" i="5"/>
  <c r="AG181" i="5"/>
  <c r="F68" i="5"/>
  <c r="AA85" i="5"/>
  <c r="Z154" i="5"/>
  <c r="AG39" i="5"/>
  <c r="AD38" i="5"/>
  <c r="AB165" i="5"/>
  <c r="AN93" i="5"/>
  <c r="AH78" i="5"/>
  <c r="AB75" i="5"/>
  <c r="E105" i="5"/>
  <c r="AG180" i="5"/>
  <c r="AE103" i="5"/>
  <c r="AM99" i="5"/>
  <c r="F101" i="5"/>
  <c r="J68" i="5"/>
  <c r="AO167" i="5"/>
  <c r="AK98" i="5"/>
  <c r="AN80" i="5"/>
  <c r="AM67" i="5"/>
  <c r="AM39" i="5"/>
  <c r="AK95" i="5"/>
  <c r="AB82" i="5"/>
  <c r="AO51" i="5"/>
  <c r="W66" i="5"/>
  <c r="AO41" i="5"/>
  <c r="AI46" i="5"/>
  <c r="AC103" i="5"/>
  <c r="Z50" i="5"/>
  <c r="F67" i="5"/>
  <c r="AD95" i="5"/>
  <c r="R67" i="5"/>
  <c r="T67" i="5"/>
  <c r="AM179" i="5"/>
  <c r="AO160" i="5"/>
  <c r="AF157" i="5"/>
  <c r="AI44" i="5"/>
  <c r="AC104" i="5"/>
  <c r="AH165" i="5"/>
  <c r="W102" i="5"/>
  <c r="AO37" i="5"/>
  <c r="AH40" i="5"/>
  <c r="AL92" i="5"/>
  <c r="AC50" i="5"/>
  <c r="AH80" i="5"/>
  <c r="AG51" i="5"/>
  <c r="AO158" i="5"/>
  <c r="AE86" i="5"/>
  <c r="AA44" i="5"/>
  <c r="AO67" i="5"/>
  <c r="AD170" i="5"/>
  <c r="AD88" i="5"/>
  <c r="AD66" i="5"/>
  <c r="AL81" i="5"/>
  <c r="AL61" i="5"/>
  <c r="AL165" i="5"/>
  <c r="AC170" i="5"/>
  <c r="AG178" i="5"/>
  <c r="Z74" i="5"/>
  <c r="AK164" i="5"/>
  <c r="AH38" i="5"/>
  <c r="AA176" i="5"/>
  <c r="AL156" i="5"/>
  <c r="AH183" i="5"/>
  <c r="AA58" i="5"/>
  <c r="AO38" i="5"/>
  <c r="AG173" i="5"/>
  <c r="AI85" i="5"/>
  <c r="S103" i="5"/>
  <c r="AG93" i="5"/>
  <c r="AA173" i="5"/>
  <c r="AE179" i="5"/>
  <c r="AC58" i="5"/>
  <c r="AB89" i="5"/>
  <c r="AJ105" i="5"/>
  <c r="AC155" i="5"/>
  <c r="AH57" i="5"/>
  <c r="AK61" i="5"/>
  <c r="AO66" i="5"/>
  <c r="U105" i="5"/>
  <c r="AM64" i="5"/>
  <c r="Z78" i="5"/>
  <c r="AK57" i="5"/>
  <c r="AA159" i="5"/>
  <c r="Z161" i="5"/>
  <c r="AN94" i="5"/>
  <c r="AJ181" i="5"/>
  <c r="Y90" i="5"/>
  <c r="AO157" i="5"/>
  <c r="M101" i="5"/>
  <c r="AI49" i="5"/>
  <c r="AB162" i="5"/>
  <c r="AO90" i="5"/>
  <c r="AL51" i="5"/>
  <c r="W68" i="5"/>
  <c r="AM41" i="5"/>
  <c r="AM154" i="5"/>
  <c r="AL45" i="5"/>
  <c r="AC101" i="5"/>
  <c r="AD96" i="5"/>
  <c r="AN168" i="5"/>
  <c r="AG79" i="5"/>
  <c r="AB63" i="5"/>
  <c r="AN167" i="5"/>
  <c r="AK43" i="5"/>
  <c r="AG155" i="5"/>
  <c r="Y67" i="5"/>
  <c r="AM96" i="5"/>
  <c r="AL155" i="5"/>
  <c r="Z170" i="5"/>
  <c r="AM78" i="5"/>
  <c r="AI59" i="5"/>
  <c r="AH77" i="5"/>
  <c r="Z104" i="5"/>
  <c r="AO103" i="5"/>
  <c r="AK77" i="5"/>
  <c r="AA86" i="5"/>
  <c r="AK160" i="5"/>
  <c r="AG98" i="5"/>
  <c r="AD99" i="5"/>
  <c r="AA177" i="5"/>
  <c r="AC167" i="5"/>
  <c r="AO48" i="5"/>
  <c r="AJ153" i="5"/>
  <c r="AJ94" i="5"/>
  <c r="AG67" i="5"/>
  <c r="AJ64" i="5"/>
  <c r="X67" i="5"/>
  <c r="AG160" i="5"/>
  <c r="AI180" i="5"/>
  <c r="AG41" i="5"/>
  <c r="AI64" i="5"/>
  <c r="V65" i="5"/>
  <c r="AC181" i="5"/>
  <c r="AG159" i="5"/>
  <c r="AO178" i="5"/>
  <c r="AL54" i="5"/>
  <c r="Z159" i="5"/>
  <c r="AE43" i="5"/>
  <c r="AA93" i="5"/>
  <c r="AF74" i="5"/>
  <c r="AC78" i="5"/>
  <c r="AN105" i="5"/>
  <c r="AA182" i="5"/>
  <c r="AI83" i="5"/>
  <c r="AA161" i="5"/>
  <c r="AM105" i="5"/>
  <c r="AK159" i="5"/>
  <c r="AN41" i="5"/>
  <c r="AM169" i="5"/>
  <c r="AI168" i="5"/>
  <c r="I102" i="5"/>
  <c r="AN66" i="5"/>
  <c r="AE181" i="5"/>
  <c r="AC179" i="5"/>
  <c r="AI176" i="5"/>
  <c r="Y102" i="5"/>
  <c r="Z179" i="5"/>
  <c r="AK81" i="5"/>
  <c r="AL46" i="5"/>
  <c r="AG172" i="5"/>
  <c r="AE52" i="5"/>
  <c r="AA40" i="5"/>
  <c r="AM166" i="5"/>
  <c r="AD169" i="5"/>
  <c r="AB164" i="5"/>
  <c r="Y74" i="5"/>
  <c r="AL169" i="5"/>
  <c r="AL93" i="5"/>
  <c r="AH95" i="5"/>
  <c r="AJ83" i="5"/>
  <c r="AE100" i="5"/>
  <c r="AM173" i="5"/>
  <c r="Q101" i="5"/>
  <c r="AC160" i="5"/>
  <c r="AF44" i="5"/>
  <c r="AO99" i="5"/>
  <c r="AK66" i="5"/>
  <c r="Z89" i="5"/>
  <c r="Z90" i="5"/>
  <c r="K104" i="5"/>
  <c r="AM158" i="5"/>
  <c r="AM157" i="5"/>
  <c r="AG68" i="5"/>
  <c r="AK87" i="5"/>
  <c r="AD179" i="5"/>
  <c r="AK94" i="5"/>
  <c r="AC97" i="5"/>
  <c r="AB180" i="5"/>
  <c r="AO95" i="5"/>
  <c r="AK79" i="5"/>
  <c r="AB54" i="5"/>
  <c r="Y77" i="5"/>
  <c r="AA88" i="5"/>
  <c r="AI60" i="5"/>
  <c r="AM100" i="5"/>
  <c r="Z153" i="5"/>
  <c r="AK102" i="5"/>
  <c r="Z181" i="5"/>
  <c r="AE162" i="5"/>
  <c r="AJ79" i="5"/>
  <c r="Z162" i="5"/>
  <c r="AA52" i="5"/>
  <c r="AD174" i="5"/>
  <c r="E104" i="5"/>
  <c r="AB152" i="5"/>
  <c r="T101" i="5"/>
  <c r="AI50" i="5"/>
  <c r="AC45" i="5"/>
  <c r="AM38" i="5"/>
  <c r="AD65" i="5"/>
  <c r="AN53" i="5"/>
  <c r="AA84" i="5"/>
  <c r="AD60" i="5"/>
  <c r="AM79" i="5"/>
  <c r="AC157" i="5"/>
  <c r="AI161" i="5"/>
  <c r="AL153" i="5"/>
  <c r="Z103" i="5"/>
  <c r="AB94" i="5"/>
  <c r="AJ167" i="5"/>
  <c r="AD79" i="5"/>
  <c r="AH91" i="5"/>
  <c r="AM180" i="5"/>
  <c r="AI63" i="5"/>
  <c r="AO82" i="5"/>
  <c r="AL158" i="5"/>
  <c r="AD87" i="5"/>
  <c r="O101" i="5"/>
  <c r="O104" i="5"/>
  <c r="AE62" i="5"/>
  <c r="AD93" i="5"/>
  <c r="AF60" i="5"/>
  <c r="AB160" i="5"/>
  <c r="AN37" i="5"/>
  <c r="Z91" i="5"/>
  <c r="AA169" i="5"/>
  <c r="AJ95" i="5"/>
  <c r="AB93" i="5"/>
  <c r="AJ171" i="5"/>
  <c r="AO171" i="5"/>
  <c r="AH60" i="5"/>
  <c r="AC159" i="5"/>
  <c r="AA160" i="5"/>
  <c r="H66" i="5"/>
  <c r="AK91" i="5"/>
  <c r="AH65" i="5"/>
  <c r="AI52" i="5"/>
  <c r="AH55" i="5"/>
  <c r="AO173" i="5"/>
  <c r="AE91" i="5"/>
  <c r="AH103" i="5"/>
  <c r="AG66" i="5"/>
  <c r="Z77" i="5"/>
  <c r="AH62" i="5"/>
  <c r="AO85" i="5"/>
  <c r="AI91" i="5"/>
  <c r="AK47" i="5"/>
  <c r="AG52" i="5"/>
  <c r="AN83" i="5"/>
  <c r="AJ91" i="5"/>
  <c r="N68" i="5"/>
  <c r="AB167" i="5"/>
  <c r="AB38" i="5"/>
  <c r="AK178" i="5"/>
  <c r="AL182" i="5"/>
  <c r="AA167" i="5"/>
  <c r="T68" i="5"/>
  <c r="J65" i="5"/>
  <c r="AI88" i="5"/>
  <c r="AL60" i="5"/>
  <c r="L66" i="5"/>
  <c r="AH176" i="5"/>
  <c r="AE45" i="5"/>
  <c r="AF41" i="5"/>
  <c r="AM51" i="5"/>
  <c r="AD78" i="5"/>
  <c r="AL180" i="5"/>
  <c r="AL175" i="5"/>
  <c r="AE97" i="5"/>
  <c r="AL103" i="5"/>
  <c r="AG63" i="5"/>
  <c r="AG176" i="5"/>
  <c r="AC98" i="5"/>
  <c r="AL89" i="5"/>
  <c r="N103" i="5"/>
  <c r="AI66" i="5"/>
  <c r="AI74" i="5"/>
  <c r="Z41" i="5"/>
  <c r="AO44" i="5"/>
  <c r="AH152" i="5"/>
  <c r="U103" i="5"/>
  <c r="AI93" i="5"/>
  <c r="X103" i="5"/>
  <c r="AO165" i="5"/>
  <c r="AI155" i="5"/>
  <c r="AO78" i="5"/>
  <c r="AG54" i="5"/>
  <c r="Z99" i="5"/>
  <c r="AH92" i="5"/>
  <c r="AC76" i="5"/>
  <c r="AO92" i="5"/>
  <c r="AN102" i="5"/>
  <c r="AM175" i="5"/>
  <c r="Z58" i="5"/>
  <c r="AG166" i="5"/>
  <c r="W65" i="5"/>
  <c r="AB91" i="5"/>
  <c r="AG53" i="5"/>
  <c r="AD75" i="5"/>
  <c r="AG55" i="5"/>
  <c r="AK58" i="5"/>
  <c r="AN79" i="5"/>
  <c r="AF42" i="5"/>
  <c r="AK105" i="5"/>
  <c r="AH53" i="5"/>
  <c r="AK182" i="5"/>
  <c r="Z105" i="5"/>
  <c r="AG48" i="5"/>
  <c r="AH43" i="5"/>
  <c r="T105" i="5"/>
  <c r="AD81" i="5"/>
  <c r="AI96" i="5"/>
  <c r="H67" i="5"/>
  <c r="G68" i="5"/>
  <c r="AI97" i="5"/>
  <c r="AM66" i="5"/>
  <c r="AK157" i="5"/>
  <c r="Z63" i="5"/>
  <c r="AG75" i="5"/>
  <c r="AD45" i="5"/>
  <c r="AL105" i="5"/>
  <c r="AE152" i="5"/>
  <c r="AN164" i="5"/>
  <c r="AH155" i="5"/>
  <c r="AF76" i="5"/>
  <c r="AE166" i="5"/>
  <c r="AK103" i="5"/>
  <c r="AF56" i="5"/>
  <c r="AL90" i="5"/>
  <c r="V67" i="5"/>
  <c r="AJ183" i="5"/>
  <c r="AD180" i="5"/>
  <c r="AL52" i="5"/>
  <c r="AI179" i="5"/>
  <c r="AM55" i="5"/>
  <c r="AD86" i="5"/>
  <c r="AO56" i="5"/>
  <c r="Y99" i="5"/>
  <c r="Z42" i="5"/>
  <c r="AD155" i="5"/>
  <c r="AL53" i="5"/>
  <c r="AN99" i="5"/>
  <c r="AD159" i="5"/>
  <c r="AN160" i="5"/>
  <c r="AJ58" i="5"/>
  <c r="AI165" i="5"/>
  <c r="AC67" i="5"/>
  <c r="AN161" i="5"/>
  <c r="AF81" i="5"/>
  <c r="AK180" i="5"/>
  <c r="AJ39" i="5"/>
  <c r="AK80" i="5"/>
  <c r="AF95" i="5"/>
  <c r="N65" i="5"/>
  <c r="AK175" i="5"/>
  <c r="R68" i="5"/>
  <c r="AI54" i="5"/>
  <c r="AD105" i="5"/>
  <c r="AF64" i="5"/>
  <c r="Z172" i="5"/>
  <c r="AB168" i="5"/>
  <c r="AB85" i="5"/>
  <c r="AF66" i="5"/>
  <c r="AK49" i="5"/>
  <c r="AF46" i="5"/>
  <c r="AM88" i="5"/>
  <c r="AG94" i="5"/>
  <c r="Z66" i="5"/>
  <c r="AO45" i="5"/>
  <c r="AG156" i="5"/>
  <c r="AL58" i="5"/>
  <c r="AH52" i="5"/>
  <c r="AK63" i="5"/>
  <c r="AA43" i="5"/>
  <c r="AG165" i="5"/>
  <c r="AF159" i="5"/>
  <c r="AO39" i="5"/>
  <c r="Y101" i="5"/>
  <c r="AF83" i="5"/>
  <c r="AE93" i="5"/>
  <c r="AB90" i="5"/>
  <c r="AO176" i="5"/>
  <c r="AG100" i="5"/>
  <c r="AE157" i="5"/>
  <c r="AD55" i="5"/>
  <c r="Z39" i="5"/>
  <c r="AB105" i="5"/>
  <c r="AF171" i="5"/>
  <c r="AD178" i="5"/>
  <c r="AE51" i="5"/>
  <c r="AJ89" i="5"/>
  <c r="AF77" i="5"/>
  <c r="AE102" i="5"/>
  <c r="AG174" i="5"/>
  <c r="AB66" i="5"/>
  <c r="AD156" i="5"/>
  <c r="AN55" i="5"/>
  <c r="AD173" i="5"/>
  <c r="AH42" i="5"/>
  <c r="I67" i="5"/>
  <c r="AE66" i="5"/>
  <c r="AI45" i="5"/>
  <c r="AL43" i="5"/>
  <c r="AA163" i="5"/>
  <c r="AN152" i="5"/>
  <c r="AA97" i="5"/>
  <c r="AD50" i="5"/>
  <c r="AI157" i="5"/>
  <c r="AA172" i="5"/>
  <c r="AF75" i="5"/>
  <c r="AO74" i="5"/>
  <c r="Z57" i="5"/>
  <c r="AC85" i="5"/>
  <c r="AO102" i="5"/>
  <c r="Q105" i="5"/>
  <c r="AJ40" i="5"/>
  <c r="AL87" i="5"/>
  <c r="AH81" i="5"/>
  <c r="AB157" i="5"/>
  <c r="AG97" i="5"/>
  <c r="J104" i="5"/>
  <c r="AA175" i="5"/>
  <c r="AN90" i="5"/>
  <c r="AE178" i="5"/>
  <c r="AI82" i="5"/>
  <c r="Z93" i="5"/>
  <c r="AJ92" i="5"/>
  <c r="AM161" i="5"/>
  <c r="AH102" i="5"/>
  <c r="S67" i="5"/>
  <c r="AC40" i="5"/>
  <c r="V66" i="5"/>
  <c r="AG84" i="5"/>
  <c r="AJ37" i="5"/>
  <c r="AF164" i="5"/>
  <c r="AE60" i="5"/>
  <c r="AH168" i="5"/>
  <c r="AM97" i="5"/>
  <c r="AL47" i="5"/>
  <c r="AJ161" i="5"/>
  <c r="AL79" i="5"/>
  <c r="AG171" i="5"/>
  <c r="AI105" i="5"/>
  <c r="O105" i="5"/>
  <c r="AK155" i="5"/>
  <c r="AM94" i="5"/>
  <c r="L102" i="5"/>
  <c r="AI42" i="5"/>
  <c r="AI159" i="5"/>
  <c r="AB88" i="5"/>
  <c r="AB177" i="5"/>
  <c r="AC88" i="5"/>
  <c r="AA98" i="5"/>
  <c r="AM45" i="5"/>
  <c r="AD76" i="5"/>
  <c r="AE82" i="5"/>
  <c r="Z82" i="5"/>
  <c r="AA154" i="5"/>
  <c r="Z163" i="5"/>
  <c r="AB169" i="5"/>
  <c r="AB59" i="5"/>
  <c r="AC74" i="5"/>
  <c r="N105" i="5"/>
  <c r="AG59" i="5"/>
  <c r="AK99" i="5"/>
  <c r="AB178" i="5"/>
  <c r="Z98" i="5"/>
  <c r="AM48" i="5"/>
  <c r="AA81" i="5"/>
  <c r="N101" i="5"/>
  <c r="AK59" i="5"/>
  <c r="AO153" i="5"/>
  <c r="AE99" i="5"/>
  <c r="AI80" i="5"/>
  <c r="AG99" i="5"/>
  <c r="AL62" i="5"/>
  <c r="AB74" i="5"/>
  <c r="AJ90" i="5"/>
  <c r="AI162" i="5"/>
  <c r="AC59" i="5"/>
  <c r="AA158" i="5"/>
  <c r="Z92" i="5"/>
  <c r="AI177" i="5"/>
  <c r="AO55" i="5"/>
  <c r="L103" i="5"/>
  <c r="AM91" i="5"/>
  <c r="AM156" i="5"/>
  <c r="Z55" i="5"/>
  <c r="AC172" i="5"/>
  <c r="AD158" i="5"/>
  <c r="AJ168" i="5"/>
  <c r="AG37" i="5"/>
  <c r="AN158" i="5"/>
  <c r="AL173" i="5"/>
  <c r="AN98" i="5"/>
  <c r="AD182" i="5"/>
  <c r="S102" i="5"/>
  <c r="AM74" i="5"/>
  <c r="I65" i="5"/>
  <c r="AH48" i="5"/>
  <c r="AA47" i="5"/>
  <c r="AD153" i="5"/>
  <c r="AC153" i="5"/>
  <c r="AA37" i="5"/>
  <c r="AA92" i="5"/>
  <c r="AJ98" i="5"/>
  <c r="AE168" i="5"/>
  <c r="AC93" i="5"/>
  <c r="AE104" i="5"/>
  <c r="AF170" i="5"/>
  <c r="P104" i="5"/>
  <c r="AO170" i="5"/>
  <c r="J105" i="5"/>
  <c r="AA65" i="5"/>
  <c r="AD40" i="5"/>
  <c r="Z49" i="5"/>
  <c r="AL63" i="5"/>
  <c r="AH96" i="5"/>
  <c r="AH67" i="5"/>
  <c r="K67" i="5"/>
  <c r="AJ49" i="5"/>
  <c r="AH178" i="5"/>
  <c r="S68" i="5"/>
  <c r="AM54" i="5"/>
  <c r="AB97" i="5"/>
  <c r="AJ55" i="5"/>
  <c r="AA170" i="5"/>
  <c r="AK67" i="5"/>
  <c r="AM49" i="5"/>
  <c r="AJ158" i="5"/>
  <c r="AF49" i="5"/>
  <c r="W103" i="5"/>
  <c r="AD52" i="5"/>
  <c r="AM171" i="5"/>
  <c r="AN156" i="5"/>
  <c r="AC56" i="5"/>
  <c r="AB64" i="5"/>
  <c r="AH41" i="5"/>
  <c r="Z76" i="5"/>
  <c r="AG88" i="5"/>
  <c r="AA180" i="5"/>
  <c r="AO60" i="5"/>
  <c r="Y66" i="5"/>
  <c r="Z152" i="5"/>
  <c r="AH86" i="5"/>
  <c r="AG86" i="5"/>
  <c r="AI160" i="5"/>
  <c r="AN180" i="5"/>
  <c r="AN104" i="5"/>
  <c r="AK46" i="5"/>
  <c r="AH158" i="5"/>
  <c r="AI173" i="5"/>
  <c r="T103" i="5"/>
  <c r="AJ170" i="5"/>
  <c r="AJ74" i="5"/>
  <c r="AO86" i="5"/>
  <c r="AF98" i="5"/>
  <c r="AC161" i="5"/>
  <c r="AL55" i="5"/>
  <c r="AH39" i="5"/>
  <c r="AK78" i="5"/>
  <c r="AE98" i="5"/>
  <c r="AL159" i="5"/>
  <c r="AC51" i="5"/>
  <c r="AC166" i="5"/>
  <c r="AH45" i="5"/>
  <c r="AB156" i="5"/>
  <c r="AD84" i="5"/>
  <c r="AD47" i="5"/>
  <c r="AO164" i="5"/>
  <c r="AK88" i="5"/>
  <c r="AF91" i="5"/>
  <c r="AA39" i="5"/>
  <c r="AJ43" i="5"/>
  <c r="AA66" i="5"/>
  <c r="AE54" i="5"/>
  <c r="AI170" i="5"/>
  <c r="AJ51" i="5"/>
  <c r="AC163" i="5"/>
  <c r="AD48" i="5"/>
  <c r="G102" i="5"/>
  <c r="AI77" i="5"/>
  <c r="AF68" i="5"/>
  <c r="Z183" i="5"/>
  <c r="AO54" i="5"/>
  <c r="AE176" i="5"/>
  <c r="AC66" i="5"/>
  <c r="AM87" i="5"/>
  <c r="AO53" i="5"/>
  <c r="AG183" i="5"/>
  <c r="AL38" i="5"/>
  <c r="AL178" i="5"/>
  <c r="AM102" i="5"/>
  <c r="Z165" i="5"/>
  <c r="AB171" i="5"/>
  <c r="AG60" i="5"/>
  <c r="AM61" i="5"/>
  <c r="AJ162" i="5"/>
  <c r="Y89" i="5"/>
  <c r="AH169" i="5"/>
  <c r="AJ179" i="5"/>
  <c r="AF50" i="5"/>
  <c r="AE175" i="5"/>
  <c r="AC38" i="5"/>
  <c r="AG182" i="5"/>
  <c r="AO40" i="5"/>
  <c r="Y68" i="5"/>
  <c r="AO76" i="5"/>
  <c r="AG167" i="5"/>
  <c r="AF88" i="5"/>
  <c r="AO79" i="5"/>
  <c r="AA48" i="5"/>
  <c r="AD43" i="5"/>
  <c r="AF58" i="5"/>
  <c r="Z175" i="5"/>
  <c r="AO65" i="5"/>
  <c r="M104" i="5"/>
  <c r="AA103" i="5"/>
  <c r="AH182" i="5"/>
  <c r="AM62" i="5"/>
  <c r="Y78" i="5"/>
  <c r="R66" i="5"/>
  <c r="AL65" i="5"/>
  <c r="AL152" i="5"/>
  <c r="AL104" i="5"/>
  <c r="Q66" i="5"/>
  <c r="AJ63" i="5"/>
  <c r="K101" i="5"/>
  <c r="Z164" i="5"/>
  <c r="M67" i="5"/>
  <c r="AJ78" i="5"/>
  <c r="AK172" i="5"/>
  <c r="AB175" i="5"/>
  <c r="O67" i="5"/>
  <c r="AO182" i="5"/>
  <c r="AC43" i="5"/>
  <c r="AF57" i="5"/>
  <c r="AN155" i="5"/>
  <c r="AL83" i="5"/>
  <c r="AN163" i="5"/>
  <c r="AJ44" i="5"/>
  <c r="AL77" i="5"/>
  <c r="AD57" i="5"/>
  <c r="Z81" i="5"/>
  <c r="AN101" i="5"/>
  <c r="AK62" i="5"/>
  <c r="AD104" i="5"/>
  <c r="Z102" i="5"/>
  <c r="Q102" i="5"/>
  <c r="Z182" i="5"/>
  <c r="AH63" i="5"/>
  <c r="AL78" i="5"/>
  <c r="AB153" i="5"/>
  <c r="AM95" i="5"/>
  <c r="F65" i="5"/>
  <c r="AC162" i="5"/>
  <c r="AC89" i="5"/>
  <c r="AJ160" i="5"/>
  <c r="AA101" i="5"/>
  <c r="X65" i="5"/>
  <c r="AM160" i="5"/>
  <c r="AG154" i="5"/>
  <c r="AD68" i="5"/>
  <c r="AF78" i="5"/>
  <c r="AK42" i="5"/>
  <c r="U66" i="5"/>
  <c r="J101" i="5"/>
  <c r="AA55" i="5"/>
  <c r="AJ159" i="5"/>
  <c r="AC82" i="5"/>
  <c r="AJ101" i="5"/>
  <c r="AH83" i="5"/>
  <c r="M105" i="5"/>
  <c r="AD64" i="5"/>
  <c r="R104" i="5"/>
  <c r="AE170" i="5"/>
  <c r="AG89" i="5"/>
  <c r="AN178" i="5"/>
  <c r="AM163" i="5"/>
  <c r="AG82" i="5"/>
  <c r="AL99" i="5"/>
  <c r="AM46" i="5"/>
  <c r="AM178" i="5"/>
  <c r="AA100" i="5"/>
  <c r="AF86" i="5"/>
  <c r="AN103" i="5"/>
  <c r="AC68" i="5"/>
  <c r="AL48" i="5"/>
  <c r="AO105" i="5"/>
  <c r="AA41" i="5"/>
  <c r="AB40" i="5"/>
  <c r="AN181" i="5"/>
  <c r="AF84" i="5"/>
  <c r="AM177" i="5"/>
  <c r="AM47" i="5"/>
  <c r="AL42" i="5"/>
  <c r="AJ65" i="5"/>
  <c r="AM168" i="5"/>
  <c r="AK171" i="5"/>
  <c r="AA62" i="5"/>
  <c r="AK86" i="5"/>
  <c r="E67" i="5"/>
  <c r="Z52" i="5"/>
  <c r="Y100" i="5"/>
  <c r="N66" i="5"/>
  <c r="AJ88" i="5"/>
  <c r="AJ38" i="5"/>
  <c r="AK92" i="5"/>
  <c r="AM57" i="5"/>
  <c r="AE50" i="5"/>
  <c r="AC48" i="5"/>
  <c r="F104" i="5"/>
  <c r="Z171" i="5"/>
  <c r="Z45" i="5"/>
  <c r="AK50" i="5"/>
  <c r="AG80" i="5"/>
  <c r="AD154" i="5"/>
  <c r="AD56" i="5"/>
  <c r="AA60" i="5"/>
  <c r="AG46" i="5"/>
  <c r="AO50" i="5"/>
  <c r="AD166" i="5"/>
  <c r="AH175" i="5"/>
  <c r="AI55" i="5"/>
  <c r="L105" i="5"/>
  <c r="AN44" i="5"/>
  <c r="AH157" i="5"/>
  <c r="AH74" i="5"/>
  <c r="AB57" i="5"/>
  <c r="AF166" i="5"/>
  <c r="AB55" i="5"/>
  <c r="AA156" i="5"/>
  <c r="AK173" i="5"/>
  <c r="H68" i="5"/>
  <c r="AE87" i="5"/>
  <c r="AE167" i="5"/>
  <c r="AC158" i="5"/>
  <c r="AO87" i="5"/>
  <c r="AJ82" i="5"/>
  <c r="AD54" i="5"/>
  <c r="AJ157" i="5"/>
  <c r="AL59" i="5"/>
  <c r="AC46" i="5"/>
  <c r="AL64" i="5"/>
  <c r="AL98" i="5"/>
  <c r="AM43" i="5"/>
  <c r="AF38" i="5"/>
  <c r="AF174" i="5"/>
  <c r="AL172" i="5"/>
  <c r="AL164" i="5"/>
  <c r="AG168" i="5"/>
  <c r="AH161" i="5"/>
  <c r="AJ174" i="5"/>
  <c r="AO89" i="5"/>
  <c r="AK54" i="5"/>
  <c r="AI48" i="5"/>
  <c r="AO180" i="5"/>
  <c r="AO163" i="5"/>
  <c r="AG57" i="5"/>
  <c r="AE78" i="5"/>
  <c r="AF154" i="5"/>
  <c r="AB47" i="5"/>
  <c r="AC79" i="5"/>
  <c r="Z166" i="5"/>
  <c r="AE48" i="5"/>
  <c r="AJ47" i="5"/>
  <c r="AG102" i="5"/>
  <c r="AI156" i="5"/>
  <c r="V103" i="5"/>
  <c r="AE44" i="5"/>
  <c r="AH105" i="5"/>
  <c r="AI89" i="5"/>
  <c r="AD82" i="5"/>
  <c r="AG158" i="5"/>
  <c r="AB172" i="5"/>
  <c r="AA164" i="5"/>
  <c r="AD100" i="5"/>
  <c r="AL96" i="5"/>
  <c r="M68" i="5"/>
  <c r="AA178" i="5"/>
  <c r="AE163" i="5"/>
  <c r="AI39" i="5"/>
  <c r="U67" i="5"/>
  <c r="Y105" i="5"/>
  <c r="AB42" i="5"/>
  <c r="AA63" i="5"/>
  <c r="Z62" i="5"/>
  <c r="W67" i="5"/>
  <c r="AF178" i="5"/>
  <c r="AN68" i="5"/>
  <c r="AJ156" i="5"/>
  <c r="AO161" i="5"/>
  <c r="Z96" i="5"/>
  <c r="AK154" i="5"/>
  <c r="AF162" i="5"/>
  <c r="Y91" i="5"/>
  <c r="AG76" i="5"/>
  <c r="AE173" i="5"/>
  <c r="AA162" i="5"/>
  <c r="AI174" i="5"/>
  <c r="AK51" i="5"/>
  <c r="AA183" i="5"/>
  <c r="AG85" i="5"/>
  <c r="AL85" i="5"/>
  <c r="AG152" i="5"/>
  <c r="AC44" i="5"/>
  <c r="AI65" i="5"/>
  <c r="AH79" i="5"/>
  <c r="AJ42" i="5"/>
  <c r="AJ116" i="5" l="1"/>
  <c r="AI139" i="5"/>
  <c r="AC118" i="5"/>
  <c r="AK125" i="5"/>
  <c r="Y128" i="5"/>
  <c r="AN142" i="5"/>
  <c r="W141" i="5"/>
  <c r="Z136" i="5"/>
  <c r="AA137" i="5"/>
  <c r="AB116" i="5"/>
  <c r="U141" i="5"/>
  <c r="AI113" i="5"/>
  <c r="M142" i="5"/>
  <c r="AE118" i="5"/>
  <c r="AJ121" i="5"/>
  <c r="AE122" i="5"/>
  <c r="AB121" i="5"/>
  <c r="AG131" i="5"/>
  <c r="AI122" i="5"/>
  <c r="AK128" i="5"/>
  <c r="AF112" i="5"/>
  <c r="AM117" i="5"/>
  <c r="AL138" i="5"/>
  <c r="AC120" i="5"/>
  <c r="AL133" i="5"/>
  <c r="AD128" i="5"/>
  <c r="H142" i="5"/>
  <c r="AB129" i="5"/>
  <c r="AB131" i="5"/>
  <c r="AN118" i="5"/>
  <c r="AI129" i="5"/>
  <c r="AO124" i="5"/>
  <c r="AG120" i="5"/>
  <c r="AA134" i="5"/>
  <c r="AD130" i="5"/>
  <c r="AK124" i="5"/>
  <c r="Z119" i="5"/>
  <c r="AC122" i="5"/>
  <c r="AE124" i="5"/>
  <c r="AM131" i="5"/>
  <c r="AJ112" i="5"/>
  <c r="N140" i="5"/>
  <c r="Y137" i="5"/>
  <c r="Z126" i="5"/>
  <c r="E141" i="5"/>
  <c r="AA136" i="5"/>
  <c r="AJ139" i="5"/>
  <c r="AL116" i="5"/>
  <c r="AM121" i="5"/>
  <c r="AB114" i="5"/>
  <c r="AA115" i="5"/>
  <c r="AL122" i="5"/>
  <c r="AC142" i="5"/>
  <c r="AM120" i="5"/>
  <c r="AD138" i="5"/>
  <c r="AA129" i="5"/>
  <c r="J138" i="5"/>
  <c r="U140" i="5"/>
  <c r="AK116" i="5"/>
  <c r="AD142" i="5"/>
  <c r="X139" i="5"/>
  <c r="F139" i="5"/>
  <c r="AH137" i="5"/>
  <c r="AK136" i="5"/>
  <c r="AD131" i="5"/>
  <c r="AJ118" i="5"/>
  <c r="AF131" i="5"/>
  <c r="AC117" i="5"/>
  <c r="O141" i="5"/>
  <c r="M141" i="5"/>
  <c r="K138" i="5"/>
  <c r="AJ137" i="5"/>
  <c r="Q140" i="5"/>
  <c r="AL139" i="5"/>
  <c r="R140" i="5"/>
  <c r="Y115" i="5"/>
  <c r="AM136" i="5"/>
  <c r="AO139" i="5"/>
  <c r="AF132" i="5"/>
  <c r="AD117" i="5"/>
  <c r="AA122" i="5"/>
  <c r="Y142" i="5"/>
  <c r="AO114" i="5"/>
  <c r="AC112" i="5"/>
  <c r="AF124" i="5"/>
  <c r="Y126" i="5"/>
  <c r="AM135" i="5"/>
  <c r="AG134" i="5"/>
  <c r="AL112" i="5"/>
  <c r="AO127" i="5"/>
  <c r="AC140" i="5"/>
  <c r="AO128" i="5"/>
  <c r="AF142" i="5"/>
  <c r="AD122" i="5"/>
  <c r="AJ125" i="5"/>
  <c r="AE128" i="5"/>
  <c r="AA140" i="5"/>
  <c r="AJ117" i="5"/>
  <c r="AA113" i="5"/>
  <c r="AD121" i="5"/>
  <c r="AH119" i="5"/>
  <c r="AC125" i="5"/>
  <c r="AH113" i="5"/>
  <c r="AL129" i="5"/>
  <c r="AK120" i="5"/>
  <c r="Y140" i="5"/>
  <c r="AO134" i="5"/>
  <c r="AH115" i="5"/>
  <c r="AB138" i="5"/>
  <c r="AC130" i="5"/>
  <c r="AD126" i="5"/>
  <c r="AF123" i="5"/>
  <c r="AM123" i="5"/>
  <c r="AK141" i="5"/>
  <c r="AJ129" i="5"/>
  <c r="AM128" i="5"/>
  <c r="S142" i="5"/>
  <c r="AJ123" i="5"/>
  <c r="K141" i="5"/>
  <c r="AH141" i="5"/>
  <c r="AL137" i="5"/>
  <c r="Z123" i="5"/>
  <c r="AD114" i="5"/>
  <c r="AA139" i="5"/>
  <c r="AA111" i="5"/>
  <c r="AA121" i="5"/>
  <c r="AH122" i="5"/>
  <c r="I139" i="5"/>
  <c r="AG111" i="5"/>
  <c r="Z129" i="5"/>
  <c r="AO129" i="5"/>
  <c r="AC133" i="5"/>
  <c r="AL136" i="5"/>
  <c r="AK133" i="5"/>
  <c r="N138" i="5"/>
  <c r="AM122" i="5"/>
  <c r="AG133" i="5"/>
  <c r="AB133" i="5"/>
  <c r="AM119" i="5"/>
  <c r="AI116" i="5"/>
  <c r="AL121" i="5"/>
  <c r="AE134" i="5"/>
  <c r="AJ111" i="5"/>
  <c r="V140" i="5"/>
  <c r="AC114" i="5"/>
  <c r="S141" i="5"/>
  <c r="AJ114" i="5"/>
  <c r="Z131" i="5"/>
  <c r="AD124" i="5"/>
  <c r="AL117" i="5"/>
  <c r="AI119" i="5"/>
  <c r="AE140" i="5"/>
  <c r="I141" i="5"/>
  <c r="AH116" i="5"/>
  <c r="AN129" i="5"/>
  <c r="AB140" i="5"/>
  <c r="AE125" i="5"/>
  <c r="Z113" i="5"/>
  <c r="AD129" i="5"/>
  <c r="Y138" i="5"/>
  <c r="AO113" i="5"/>
  <c r="AA117" i="5"/>
  <c r="AK137" i="5"/>
  <c r="AH126" i="5"/>
  <c r="AL132" i="5"/>
  <c r="AO119" i="5"/>
  <c r="Z140" i="5"/>
  <c r="AF120" i="5"/>
  <c r="AK123" i="5"/>
  <c r="AF140" i="5"/>
  <c r="AF138" i="5"/>
  <c r="AI128" i="5"/>
  <c r="R142" i="5"/>
  <c r="N139" i="5"/>
  <c r="AJ113" i="5"/>
  <c r="AC141" i="5"/>
  <c r="AJ132" i="5"/>
  <c r="AL127" i="5"/>
  <c r="Z116" i="5"/>
  <c r="Y136" i="5"/>
  <c r="AO130" i="5"/>
  <c r="AM129" i="5"/>
  <c r="AL126" i="5"/>
  <c r="V141" i="5"/>
  <c r="AF130" i="5"/>
  <c r="AD119" i="5"/>
  <c r="Z137" i="5"/>
  <c r="AM140" i="5"/>
  <c r="G142" i="5"/>
  <c r="H141" i="5"/>
  <c r="AH117" i="5"/>
  <c r="AG122" i="5"/>
  <c r="AH127" i="5"/>
  <c r="AF116" i="5"/>
  <c r="AK132" i="5"/>
  <c r="AG129" i="5"/>
  <c r="AG127" i="5"/>
  <c r="W139" i="5"/>
  <c r="Z132" i="5"/>
  <c r="AG128" i="5"/>
  <c r="AO118" i="5"/>
  <c r="Z115" i="5"/>
  <c r="AI140" i="5"/>
  <c r="AG137" i="5"/>
  <c r="AM125" i="5"/>
  <c r="AF115" i="5"/>
  <c r="AE119" i="5"/>
  <c r="L140" i="5"/>
  <c r="AL134" i="5"/>
  <c r="J139" i="5"/>
  <c r="T142" i="5"/>
  <c r="AB112" i="5"/>
  <c r="N142" i="5"/>
  <c r="AG126" i="5"/>
  <c r="AK121" i="5"/>
  <c r="AH136" i="5"/>
  <c r="AG140" i="5"/>
  <c r="AH129" i="5"/>
  <c r="AI126" i="5"/>
  <c r="AH139" i="5"/>
  <c r="H140" i="5"/>
  <c r="AH134" i="5"/>
  <c r="AN111" i="5"/>
  <c r="AF134" i="5"/>
  <c r="AE136" i="5"/>
  <c r="O138" i="5"/>
  <c r="AI137" i="5"/>
  <c r="AD134" i="5"/>
  <c r="AN127" i="5"/>
  <c r="AD139" i="5"/>
  <c r="AM112" i="5"/>
  <c r="AC119" i="5"/>
  <c r="AI124" i="5"/>
  <c r="T138" i="5"/>
  <c r="AA126" i="5"/>
  <c r="AI134" i="5"/>
  <c r="Y114" i="5"/>
  <c r="AB128" i="5"/>
  <c r="AG142" i="5"/>
  <c r="AK140" i="5"/>
  <c r="AF118" i="5"/>
  <c r="Q138" i="5"/>
  <c r="Y111" i="5"/>
  <c r="AA114" i="5"/>
  <c r="AE126" i="5"/>
  <c r="AL120" i="5"/>
  <c r="AN140" i="5"/>
  <c r="AN115" i="5"/>
  <c r="AE117" i="5"/>
  <c r="AL128" i="5"/>
  <c r="V139" i="5"/>
  <c r="AI138" i="5"/>
  <c r="AG115" i="5"/>
  <c r="X141" i="5"/>
  <c r="AJ138" i="5"/>
  <c r="AG141" i="5"/>
  <c r="AO122" i="5"/>
  <c r="AI133" i="5"/>
  <c r="Y141" i="5"/>
  <c r="AK117" i="5"/>
  <c r="AB137" i="5"/>
  <c r="AL119" i="5"/>
  <c r="AM115" i="5"/>
  <c r="W142" i="5"/>
  <c r="AL125" i="5"/>
  <c r="AI123" i="5"/>
  <c r="M138" i="5"/>
  <c r="Y127" i="5"/>
  <c r="AK131" i="5"/>
  <c r="AM138" i="5"/>
  <c r="AO140" i="5"/>
  <c r="AK135" i="5"/>
  <c r="AH131" i="5"/>
  <c r="AC132" i="5"/>
  <c r="AO112" i="5"/>
  <c r="AA132" i="5"/>
  <c r="AH112" i="5"/>
  <c r="AL135" i="5"/>
  <c r="AD140" i="5"/>
  <c r="AO141" i="5"/>
  <c r="AA118" i="5"/>
  <c r="AG125" i="5"/>
  <c r="AC124" i="5"/>
  <c r="AH114" i="5"/>
  <c r="AO111" i="5"/>
  <c r="AI118" i="5"/>
  <c r="T141" i="5"/>
  <c r="R141" i="5"/>
  <c r="F141" i="5"/>
  <c r="Z124" i="5"/>
  <c r="AI120" i="5"/>
  <c r="AO115" i="5"/>
  <c r="W140" i="5"/>
  <c r="AO125" i="5"/>
  <c r="AM113" i="5"/>
  <c r="AM141" i="5"/>
  <c r="J142" i="5"/>
  <c r="F138" i="5"/>
  <c r="AD112" i="5"/>
  <c r="AG113" i="5"/>
  <c r="F142" i="5"/>
  <c r="R139" i="5"/>
  <c r="Y130" i="5"/>
  <c r="Y132" i="5"/>
  <c r="P139" i="5"/>
  <c r="AE129" i="5"/>
  <c r="AA116" i="5"/>
  <c r="S140" i="5"/>
  <c r="Y113" i="5"/>
  <c r="AA127" i="5"/>
  <c r="AO131" i="5"/>
  <c r="AC111" i="5"/>
  <c r="AJ120" i="5"/>
  <c r="AB142" i="5"/>
  <c r="X140" i="5"/>
  <c r="AG118" i="5"/>
  <c r="AH138" i="5"/>
  <c r="AA135" i="5"/>
  <c r="AK142" i="5"/>
  <c r="AN120" i="5"/>
  <c r="AA138" i="5"/>
  <c r="AC115" i="5"/>
  <c r="AF135" i="5"/>
  <c r="AA112" i="5"/>
  <c r="AO132" i="5"/>
  <c r="AB118" i="5"/>
  <c r="AI117" i="5"/>
  <c r="AB134" i="5"/>
  <c r="G141" i="5"/>
  <c r="AN121" i="5"/>
  <c r="Y122" i="5"/>
  <c r="AD141" i="5"/>
  <c r="AB139" i="5"/>
  <c r="E139" i="5"/>
  <c r="AG123" i="5"/>
  <c r="AA119" i="5"/>
  <c r="Z120" i="5"/>
  <c r="T139" i="5"/>
  <c r="AA130" i="5"/>
  <c r="AN112" i="5"/>
  <c r="AE138" i="5"/>
  <c r="Y124" i="5"/>
  <c r="AM126" i="5"/>
  <c r="S138" i="5"/>
  <c r="AM114" i="5"/>
  <c r="AJ126" i="5"/>
  <c r="O139" i="5"/>
  <c r="AG135" i="5"/>
  <c r="AD116" i="5"/>
  <c r="O142" i="5"/>
  <c r="AN117" i="5"/>
  <c r="O140" i="5"/>
  <c r="AK119" i="5"/>
  <c r="AO138" i="5"/>
  <c r="AL113" i="5"/>
  <c r="AG138" i="5"/>
  <c r="AE116" i="5"/>
  <c r="AN135" i="5"/>
  <c r="V138" i="5"/>
  <c r="AM127" i="5"/>
  <c r="AH133" i="5"/>
  <c r="Y116" i="5"/>
  <c r="AB123" i="5"/>
  <c r="AL141" i="5"/>
  <c r="Z135" i="5"/>
  <c r="AD118" i="5"/>
  <c r="E140" i="5"/>
  <c r="AL131" i="5"/>
  <c r="AE139" i="5"/>
  <c r="AM132" i="5"/>
  <c r="AN132" i="5"/>
  <c r="R138" i="5"/>
  <c r="AH128" i="5"/>
  <c r="AN116" i="5"/>
  <c r="K142" i="5"/>
  <c r="AK122" i="5"/>
  <c r="AO133" i="5"/>
  <c r="L142" i="5"/>
  <c r="M140" i="5"/>
  <c r="AC134" i="5"/>
  <c r="AG136" i="5"/>
  <c r="Q139" i="5"/>
  <c r="Y135" i="5"/>
  <c r="AO126" i="5"/>
  <c r="AC126" i="5"/>
  <c r="AL124" i="5"/>
  <c r="AG130" i="5"/>
  <c r="AF136" i="5"/>
  <c r="L138" i="5"/>
  <c r="Z121" i="5"/>
  <c r="Z112" i="5"/>
  <c r="AC138" i="5"/>
  <c r="U142" i="5"/>
  <c r="AN137" i="5"/>
  <c r="AN138" i="5"/>
  <c r="AE121" i="5"/>
  <c r="AI125" i="5"/>
  <c r="AH111" i="5"/>
  <c r="AJ135" i="5"/>
  <c r="AD127" i="5"/>
  <c r="AD111" i="5"/>
  <c r="AN126" i="5"/>
  <c r="AN139" i="5"/>
  <c r="AD136" i="5"/>
  <c r="AM134" i="5"/>
  <c r="AF122" i="5"/>
  <c r="Y134" i="5"/>
  <c r="AN130" i="5"/>
  <c r="AA120" i="5"/>
  <c r="Q142" i="5"/>
  <c r="AO117" i="5"/>
  <c r="Y123" i="5"/>
  <c r="AN123" i="5"/>
  <c r="AL118" i="5"/>
  <c r="AA142" i="5"/>
  <c r="AI141" i="5"/>
  <c r="AC123" i="5"/>
  <c r="AH121" i="5"/>
  <c r="V142" i="5"/>
  <c r="AJ142" i="5"/>
  <c r="AD123" i="5"/>
  <c r="AI127" i="5"/>
  <c r="AK115" i="5"/>
  <c r="AK134" i="5"/>
  <c r="AM142" i="5"/>
  <c r="AB111" i="5"/>
  <c r="Y112" i="5"/>
  <c r="AG121" i="5"/>
  <c r="U138" i="5"/>
  <c r="AH130" i="5"/>
  <c r="AG114" i="5"/>
  <c r="Y121" i="5"/>
  <c r="M139" i="5"/>
  <c r="G140" i="5"/>
  <c r="Y117" i="5"/>
  <c r="P140" i="5"/>
  <c r="S139" i="5"/>
  <c r="AM116" i="5"/>
  <c r="Y118" i="5"/>
  <c r="N141" i="5"/>
  <c r="AN114" i="5"/>
  <c r="Z118" i="5"/>
  <c r="AK129" i="5"/>
  <c r="AJ136" i="5"/>
  <c r="AF117" i="5"/>
  <c r="AN122" i="5"/>
  <c r="X142" i="5"/>
  <c r="AI115" i="5"/>
  <c r="AI130" i="5"/>
  <c r="AN119" i="5"/>
  <c r="AB141" i="5"/>
  <c r="L139" i="5"/>
  <c r="AL111" i="5"/>
  <c r="AM111" i="5"/>
  <c r="AD137" i="5"/>
  <c r="Y125" i="5"/>
  <c r="AF125" i="5"/>
  <c r="Y119" i="5"/>
  <c r="AN124" i="5"/>
  <c r="AN128" i="5"/>
  <c r="H138" i="5"/>
  <c r="AH135" i="5"/>
  <c r="AH118" i="5"/>
  <c r="AA123" i="5"/>
  <c r="AC129" i="5"/>
  <c r="AF139" i="5"/>
  <c r="AB135" i="5"/>
  <c r="F140" i="5"/>
  <c r="AE141" i="5"/>
  <c r="J140" i="5"/>
  <c r="AN125" i="5"/>
  <c r="AD133" i="5"/>
  <c r="AE137" i="5"/>
  <c r="Z111" i="5"/>
  <c r="Z117" i="5"/>
  <c r="E142" i="5"/>
  <c r="P142" i="5"/>
  <c r="AN131" i="5"/>
  <c r="AH123" i="5"/>
  <c r="AG119" i="5"/>
  <c r="AB115" i="5"/>
  <c r="W138" i="5"/>
  <c r="AK139" i="5"/>
  <c r="AN133" i="5"/>
  <c r="Y129" i="5"/>
  <c r="AE130" i="5"/>
  <c r="AD132" i="5"/>
  <c r="Z133" i="5"/>
  <c r="AM124" i="5"/>
  <c r="AE142" i="5"/>
  <c r="Y120" i="5"/>
  <c r="AH120" i="5"/>
  <c r="AE133" i="5"/>
  <c r="AF141" i="5"/>
  <c r="Z125" i="5"/>
  <c r="AK126" i="5"/>
  <c r="AK113" i="5"/>
  <c r="AO123" i="5"/>
  <c r="AM139" i="5"/>
  <c r="AG112" i="5"/>
  <c r="AK130" i="5"/>
  <c r="AC127" i="5"/>
  <c r="AE127" i="5"/>
  <c r="AO142" i="5"/>
  <c r="AE132" i="5"/>
  <c r="AF113" i="5"/>
  <c r="AC128" i="5"/>
  <c r="AK112" i="5"/>
  <c r="AK118" i="5"/>
  <c r="AL140" i="5"/>
  <c r="AA141" i="5"/>
  <c r="AG124" i="5"/>
  <c r="AB132" i="5"/>
  <c r="Z114" i="5"/>
  <c r="AE111" i="5"/>
  <c r="AI111" i="5"/>
  <c r="AE120" i="5"/>
  <c r="AF129" i="5"/>
  <c r="AG132" i="5"/>
  <c r="AB125" i="5"/>
  <c r="AF111" i="5"/>
  <c r="AI132" i="5"/>
  <c r="AE123" i="5"/>
  <c r="AJ141" i="5"/>
  <c r="AB120" i="5"/>
  <c r="Z134" i="5"/>
  <c r="AI136" i="5"/>
  <c r="AO116" i="5"/>
  <c r="AH124" i="5"/>
  <c r="AO136" i="5"/>
  <c r="AJ124" i="5"/>
  <c r="AC135" i="5"/>
  <c r="AJ119" i="5"/>
  <c r="G139" i="5"/>
  <c r="AA131" i="5"/>
  <c r="AF127" i="5"/>
  <c r="AA133" i="5"/>
  <c r="Z122" i="5"/>
  <c r="AE112" i="5"/>
  <c r="AD135" i="5"/>
  <c r="T140" i="5"/>
  <c r="I142" i="5"/>
  <c r="AG116" i="5"/>
  <c r="AD113" i="5"/>
  <c r="AK111" i="5"/>
  <c r="AF119" i="5"/>
  <c r="Z142" i="5"/>
  <c r="Z127" i="5"/>
  <c r="AO120" i="5"/>
  <c r="Z138" i="5"/>
  <c r="AJ140" i="5"/>
  <c r="AE114" i="5"/>
  <c r="AC113" i="5"/>
  <c r="AJ130" i="5"/>
  <c r="AK114" i="5"/>
  <c r="AH140" i="5"/>
  <c r="AI112" i="5"/>
  <c r="AN141" i="5"/>
  <c r="AB119" i="5"/>
  <c r="Z130" i="5"/>
  <c r="AJ127" i="5"/>
  <c r="AB122" i="5"/>
  <c r="AM118" i="5"/>
  <c r="AN136" i="5"/>
  <c r="AI142" i="5"/>
  <c r="AJ134" i="5"/>
  <c r="AI121" i="5"/>
  <c r="P138" i="5"/>
  <c r="AC131" i="5"/>
  <c r="AJ115" i="5"/>
  <c r="AK138" i="5"/>
  <c r="AJ131" i="5"/>
  <c r="AB130" i="5"/>
  <c r="Q141" i="5"/>
  <c r="E138" i="5"/>
  <c r="Z141" i="5"/>
  <c r="AL123" i="5"/>
  <c r="H139" i="5"/>
  <c r="AF137" i="5"/>
  <c r="AH142" i="5"/>
  <c r="AC136" i="5"/>
  <c r="AB113" i="5"/>
  <c r="Y131" i="5"/>
  <c r="AE135" i="5"/>
  <c r="AF126" i="5"/>
  <c r="I140" i="5"/>
  <c r="AL115" i="5"/>
  <c r="AO121" i="5"/>
  <c r="AE115" i="5"/>
  <c r="AL142" i="5"/>
  <c r="X138" i="5"/>
  <c r="AC137" i="5"/>
  <c r="AA128" i="5"/>
  <c r="AL114" i="5"/>
  <c r="AB117" i="5"/>
  <c r="AE113" i="5"/>
  <c r="AO137" i="5"/>
  <c r="AO135" i="5"/>
  <c r="AG139" i="5"/>
  <c r="AH125" i="5"/>
  <c r="I138" i="5"/>
  <c r="AC121" i="5"/>
  <c r="U139" i="5"/>
  <c r="AJ133" i="5"/>
  <c r="AF121" i="5"/>
  <c r="AN113" i="5"/>
  <c r="AF114" i="5"/>
  <c r="AI114" i="5"/>
  <c r="AD115" i="5"/>
  <c r="P141" i="5"/>
  <c r="K140" i="5"/>
  <c r="G138" i="5"/>
  <c r="AB136" i="5"/>
  <c r="AG117" i="5"/>
  <c r="AI135" i="5"/>
  <c r="AL130" i="5"/>
  <c r="AM137" i="5"/>
  <c r="AE131" i="5"/>
  <c r="AJ122" i="5"/>
  <c r="Y139" i="5"/>
  <c r="AN134" i="5"/>
  <c r="L141" i="5"/>
  <c r="AD125" i="5"/>
  <c r="Y133" i="5"/>
  <c r="AF133" i="5"/>
  <c r="AH132" i="5"/>
  <c r="AK127" i="5"/>
  <c r="AJ128" i="5"/>
  <c r="AB124" i="5"/>
  <c r="AA124" i="5"/>
  <c r="K139" i="5"/>
  <c r="Z139" i="5"/>
  <c r="Z128" i="5"/>
  <c r="AC116" i="5"/>
  <c r="AF128" i="5"/>
  <c r="AB127" i="5"/>
  <c r="AM133" i="5"/>
  <c r="AD120" i="5"/>
  <c r="AA125" i="5"/>
  <c r="AB126" i="5"/>
  <c r="J141" i="5"/>
  <c r="AI131" i="5"/>
  <c r="AC139" i="5"/>
  <c r="AM130" i="5"/>
  <c r="AI3" i="26"/>
  <c r="AL3" i="26"/>
  <c r="AO3" i="26"/>
  <c r="AJ3" i="26"/>
  <c r="AH3" i="26"/>
  <c r="AK3" i="26"/>
</calcChain>
</file>

<file path=xl/sharedStrings.xml><?xml version="1.0" encoding="utf-8"?>
<sst xmlns="http://schemas.openxmlformats.org/spreadsheetml/2006/main" count="7069" uniqueCount="766">
  <si>
    <t>Cash</t>
  </si>
  <si>
    <t>B/S</t>
  </si>
  <si>
    <t>Symbol</t>
  </si>
  <si>
    <t>Qty</t>
  </si>
  <si>
    <t>Value</t>
  </si>
  <si>
    <t>Brokerage</t>
  </si>
  <si>
    <t>B</t>
  </si>
  <si>
    <t>CUMMINSIND</t>
  </si>
  <si>
    <t>S</t>
  </si>
  <si>
    <t>GST</t>
  </si>
  <si>
    <t>STT</t>
  </si>
  <si>
    <t>SEBI</t>
  </si>
  <si>
    <t>Stamp</t>
  </si>
  <si>
    <t>a</t>
  </si>
  <si>
    <t>Txn charges</t>
  </si>
  <si>
    <t>C&amp;T Charges</t>
  </si>
  <si>
    <t>APLLTD</t>
  </si>
  <si>
    <t>SL</t>
  </si>
  <si>
    <t>PFC</t>
  </si>
  <si>
    <t>Date</t>
  </si>
  <si>
    <t>Capital</t>
  </si>
  <si>
    <t>Scrip</t>
  </si>
  <si>
    <t>Strike</t>
  </si>
  <si>
    <t>Entry Price</t>
  </si>
  <si>
    <t>Target 1</t>
  </si>
  <si>
    <t>Target 2</t>
  </si>
  <si>
    <t>Target 3</t>
  </si>
  <si>
    <t>Target 4</t>
  </si>
  <si>
    <t>SL%</t>
  </si>
  <si>
    <t>Loss</t>
  </si>
  <si>
    <t>Gain 1</t>
  </si>
  <si>
    <t>Gain 2</t>
  </si>
  <si>
    <t>Gain 3</t>
  </si>
  <si>
    <t>Gain 4</t>
  </si>
  <si>
    <t>Lot</t>
  </si>
  <si>
    <t>Target 1 %</t>
  </si>
  <si>
    <t>Gain 1 %</t>
  </si>
  <si>
    <t>Target 2 %</t>
  </si>
  <si>
    <t>Gain 2 %</t>
  </si>
  <si>
    <t>Target 3 %</t>
  </si>
  <si>
    <t>Gain 3 %</t>
  </si>
  <si>
    <t>Target 4 %</t>
  </si>
  <si>
    <t>Gain 4 %</t>
  </si>
  <si>
    <t>Trade 1</t>
  </si>
  <si>
    <t>Trade 2</t>
  </si>
  <si>
    <t>Trade 3</t>
  </si>
  <si>
    <t>Trade 4</t>
  </si>
  <si>
    <t>Trade 5</t>
  </si>
  <si>
    <t>NIFTY AUG 16650 CE</t>
  </si>
  <si>
    <t>Exit Price</t>
  </si>
  <si>
    <t>Exit Price %</t>
  </si>
  <si>
    <t>Gain</t>
  </si>
  <si>
    <t>Gain %</t>
  </si>
  <si>
    <t>Extra Cost</t>
  </si>
  <si>
    <t>BANKNIFTY AUG 35600 CE</t>
  </si>
  <si>
    <t>Option</t>
  </si>
  <si>
    <t>Zerodha</t>
  </si>
  <si>
    <t>Cash Ledger</t>
  </si>
  <si>
    <t>Reco SL</t>
  </si>
  <si>
    <t>Reco SL%</t>
  </si>
  <si>
    <t>Reco Tar</t>
  </si>
  <si>
    <t>Reco Tar %</t>
  </si>
  <si>
    <t>Reco Price</t>
  </si>
  <si>
    <t>Total Trades</t>
  </si>
  <si>
    <t>Txn Cost</t>
  </si>
  <si>
    <t>Unit gain</t>
  </si>
  <si>
    <t>Funds</t>
  </si>
  <si>
    <t>Available</t>
  </si>
  <si>
    <t>Call OI</t>
  </si>
  <si>
    <t>Call LTP</t>
  </si>
  <si>
    <t>Call Delta</t>
  </si>
  <si>
    <t>IV</t>
  </si>
  <si>
    <t>Put LTP</t>
  </si>
  <si>
    <t>Put Delta</t>
  </si>
  <si>
    <t>Put OI</t>
  </si>
  <si>
    <t>Theta</t>
  </si>
  <si>
    <t>Vega</t>
  </si>
  <si>
    <t>Gamma</t>
  </si>
  <si>
    <t>Expiry</t>
  </si>
  <si>
    <t>Index</t>
  </si>
  <si>
    <t>Prev Close</t>
  </si>
  <si>
    <t>R1</t>
  </si>
  <si>
    <t>R2</t>
  </si>
  <si>
    <t>R3</t>
  </si>
  <si>
    <t>S1</t>
  </si>
  <si>
    <t>S2</t>
  </si>
  <si>
    <t>S3</t>
  </si>
  <si>
    <t>PCR</t>
  </si>
  <si>
    <t>NIFTY 50</t>
  </si>
  <si>
    <t>NIFTY BANK</t>
  </si>
  <si>
    <t>TCS</t>
  </si>
  <si>
    <t>ACC</t>
  </si>
  <si>
    <t>HDFC</t>
  </si>
  <si>
    <t>HINDALCO</t>
  </si>
  <si>
    <t>INFY</t>
  </si>
  <si>
    <t>RELIANCE</t>
  </si>
  <si>
    <t>ASIANPAINT</t>
  </si>
  <si>
    <t>AUROPHARMA</t>
  </si>
  <si>
    <t>AXISBANK</t>
  </si>
  <si>
    <t>BAJAJFINSV</t>
  </si>
  <si>
    <t>BEL</t>
  </si>
  <si>
    <t>COALINDIA</t>
  </si>
  <si>
    <t>ICICIBANK</t>
  </si>
  <si>
    <t>HDFCBANK</t>
  </si>
  <si>
    <t>HINDUNILVR</t>
  </si>
  <si>
    <t>INDUSINDBK</t>
  </si>
  <si>
    <t>KOTAKBANK</t>
  </si>
  <si>
    <t>MGL</t>
  </si>
  <si>
    <t>SBIN</t>
  </si>
  <si>
    <t>ULTRACEMCO</t>
  </si>
  <si>
    <t>PUT STRIKE</t>
  </si>
  <si>
    <t>BAJFINANCE</t>
  </si>
  <si>
    <t>PUT PR</t>
  </si>
  <si>
    <t>LOT</t>
  </si>
  <si>
    <t>X</t>
  </si>
  <si>
    <t>Premium</t>
  </si>
  <si>
    <t>Worstcase funds</t>
  </si>
  <si>
    <t>Margin</t>
  </si>
  <si>
    <t>Prem/Margin</t>
  </si>
  <si>
    <t>Period</t>
  </si>
  <si>
    <t>Annual Rate</t>
  </si>
  <si>
    <t>Price Forecast</t>
  </si>
  <si>
    <t>Margin/Lot</t>
  </si>
  <si>
    <t>DLF</t>
  </si>
  <si>
    <t>DRREDDY</t>
  </si>
  <si>
    <t>IBULHSGFIN</t>
  </si>
  <si>
    <t>IEX</t>
  </si>
  <si>
    <t>LUPIN</t>
  </si>
  <si>
    <t>NAVINFLUOR</t>
  </si>
  <si>
    <t>PFIZER</t>
  </si>
  <si>
    <t>TATAPOWER</t>
  </si>
  <si>
    <t>MUTHOOTFIN</t>
  </si>
  <si>
    <t>JSWSTEEL</t>
  </si>
  <si>
    <t>When to sell CSP</t>
  </si>
  <si>
    <t>When IV is high</t>
  </si>
  <si>
    <t>When Stock dips</t>
  </si>
  <si>
    <t>When spot price is at support level</t>
  </si>
  <si>
    <t>When to sell covered calls</t>
  </si>
  <si>
    <t>When share is at top of wave</t>
  </si>
  <si>
    <t xml:space="preserve">When share is at resistance </t>
  </si>
  <si>
    <t>Shares</t>
  </si>
  <si>
    <t>Management and Goveernance</t>
  </si>
  <si>
    <t>Large Cap</t>
  </si>
  <si>
    <t>Highly Liquid Options</t>
  </si>
  <si>
    <t>Growing trending</t>
  </si>
  <si>
    <t>Div Yield</t>
  </si>
  <si>
    <t>Low Debt</t>
  </si>
  <si>
    <t>Avoid regulated companies</t>
  </si>
  <si>
    <t xml:space="preserve">UNDERLYING                          </t>
  </si>
  <si>
    <t xml:space="preserve">SYMBOL    </t>
  </si>
  <si>
    <t xml:space="preserve">NIFTY BANK                          </t>
  </si>
  <si>
    <t xml:space="preserve">           </t>
  </si>
  <si>
    <t xml:space="preserve">NIFTY 50                            </t>
  </si>
  <si>
    <t xml:space="preserve">NIFTY FINANCIAL SERVICES            </t>
  </si>
  <si>
    <t>Derivatives on Individual Securities</t>
  </si>
  <si>
    <t xml:space="preserve">ACC LIMITED                         </t>
  </si>
  <si>
    <t xml:space="preserve">ADANI PORT &amp; SEZ LTD                </t>
  </si>
  <si>
    <t>ADANIPORTS</t>
  </si>
  <si>
    <t xml:space="preserve">AARTI INDUSTRIES LTD                </t>
  </si>
  <si>
    <t xml:space="preserve">ALKEM LABORATORIES LTD.             </t>
  </si>
  <si>
    <t xml:space="preserve">ASHOK LEYLAND LTD                   </t>
  </si>
  <si>
    <t xml:space="preserve">ASIAN PAINTS LIMITED                </t>
  </si>
  <si>
    <t xml:space="preserve">AXIS BANK LIMITED                   </t>
  </si>
  <si>
    <t xml:space="preserve">ADITYA BIRLA FASHION &amp; RT           </t>
  </si>
  <si>
    <t xml:space="preserve">AMBUJA CEMENTS LTD                  </t>
  </si>
  <si>
    <t xml:space="preserve">APOLLO HOSPITALS ENTER. L           </t>
  </si>
  <si>
    <t>APOLLOHOSP</t>
  </si>
  <si>
    <t xml:space="preserve">BANDHAN BANK LIMITED                </t>
  </si>
  <si>
    <t>BANDHANBNK</t>
  </si>
  <si>
    <t xml:space="preserve">ADANI ENTERPRISES LIMITED           </t>
  </si>
  <si>
    <t xml:space="preserve">BHEL                                </t>
  </si>
  <si>
    <t xml:space="preserve">AMARA RAJA BATTERIES LTD.           </t>
  </si>
  <si>
    <t>AMARAJABAT</t>
  </si>
  <si>
    <t xml:space="preserve">DABUR INDIA LTD                     </t>
  </si>
  <si>
    <t xml:space="preserve">AU SMALL FINANCE BANK LTD           </t>
  </si>
  <si>
    <t xml:space="preserve">AUROBINDO PHARMA LTD                </t>
  </si>
  <si>
    <t xml:space="preserve">DEEPAK NITRITE LTD                  </t>
  </si>
  <si>
    <t xml:space="preserve">BAJAJ AUTO LIMITED                  </t>
  </si>
  <si>
    <t>BAJAJ-AUTO</t>
  </si>
  <si>
    <t xml:space="preserve">BAJAJ FINSERV LTD.                  </t>
  </si>
  <si>
    <t xml:space="preserve">BAJAJ FINANCE LIMITED               </t>
  </si>
  <si>
    <t xml:space="preserve">BANK OF BARODA                      </t>
  </si>
  <si>
    <t>BANKBARODA</t>
  </si>
  <si>
    <t xml:space="preserve">BATA INDIA LTD                      </t>
  </si>
  <si>
    <t xml:space="preserve">GODREJ PROPERTIES LTD               </t>
  </si>
  <si>
    <t>GODREJPROP</t>
  </si>
  <si>
    <t xml:space="preserve">BHARAT ELECTRONICS LTD              </t>
  </si>
  <si>
    <t xml:space="preserve">BHARTI AIRTEL LIMITED               </t>
  </si>
  <si>
    <t>BHARTIARTL</t>
  </si>
  <si>
    <t xml:space="preserve">BHARAT PETROLEUM CORP  LT           </t>
  </si>
  <si>
    <t xml:space="preserve">HINDUSTAN PETROLEUM CORP            </t>
  </si>
  <si>
    <t xml:space="preserve">INTERGLOBE AVIATION LTD             </t>
  </si>
  <si>
    <t xml:space="preserve">CANARA BANK                         </t>
  </si>
  <si>
    <t xml:space="preserve">INDIAN OIL CORP LTD                 </t>
  </si>
  <si>
    <t xml:space="preserve">CIPLA LTD                           </t>
  </si>
  <si>
    <t xml:space="preserve">COAL INDIA LTD                      </t>
  </si>
  <si>
    <t xml:space="preserve">COLGATE PALMOLIVE LTD.              </t>
  </si>
  <si>
    <t xml:space="preserve">JUBILANT FOODWORKS LTD              </t>
  </si>
  <si>
    <t xml:space="preserve">COROMANDEL INTERNTL. LTD            </t>
  </si>
  <si>
    <t>COROMANDEL</t>
  </si>
  <si>
    <t xml:space="preserve">L&amp;T INFOTECH LIMITED                </t>
  </si>
  <si>
    <t xml:space="preserve">CITY UNION BANK LTD                 </t>
  </si>
  <si>
    <t xml:space="preserve">MARICO LIMITED                      </t>
  </si>
  <si>
    <t xml:space="preserve">CUMMINS INDIA LTD                   </t>
  </si>
  <si>
    <t xml:space="preserve">MINDTREE LIMITED                    </t>
  </si>
  <si>
    <t xml:space="preserve">DLF LIMITED                         </t>
  </si>
  <si>
    <t xml:space="preserve">NATIONAL ALUMINIUM CO LTD           </t>
  </si>
  <si>
    <t>NATIONALUM</t>
  </si>
  <si>
    <t xml:space="preserve">ESCORTS INDIA LTD                   </t>
  </si>
  <si>
    <t xml:space="preserve">FEDERAL BANK LTD                    </t>
  </si>
  <si>
    <t>FEDERALBNK</t>
  </si>
  <si>
    <t xml:space="preserve">GLENMARK PHARMACEUTICALS            </t>
  </si>
  <si>
    <t xml:space="preserve">POWER GRID CORP. LTD.               </t>
  </si>
  <si>
    <t xml:space="preserve">GRANULES INDIA LIMITED              </t>
  </si>
  <si>
    <t xml:space="preserve">GUJARAT GAS LIMITED                 </t>
  </si>
  <si>
    <t xml:space="preserve">HCL TECHNOLOGIES LTD                </t>
  </si>
  <si>
    <t xml:space="preserve">HDFC AMC LIMITED                    </t>
  </si>
  <si>
    <t xml:space="preserve">HDFC BANK LTD                       </t>
  </si>
  <si>
    <t xml:space="preserve">HDFC LIFE INS CO LTD                </t>
  </si>
  <si>
    <t xml:space="preserve">HERO MOTOCORP LIMITED               </t>
  </si>
  <si>
    <t>HEROMOTOCO</t>
  </si>
  <si>
    <t xml:space="preserve">HINDALCO  INDUSTRIES  LTD           </t>
  </si>
  <si>
    <t xml:space="preserve">HINDUSTAN UNILEVER LTD.             </t>
  </si>
  <si>
    <t xml:space="preserve">INDIABULLS HSG FIN LTD              </t>
  </si>
  <si>
    <t xml:space="preserve">SRF LTD                             </t>
  </si>
  <si>
    <t xml:space="preserve">ICICI BANK LTD.                     </t>
  </si>
  <si>
    <t xml:space="preserve">ICICI LOMBARD GIC LIMITED           </t>
  </si>
  <si>
    <t xml:space="preserve">ICICI PRU LIFE INS CO LTD           </t>
  </si>
  <si>
    <t>ICICIPRULI</t>
  </si>
  <si>
    <t xml:space="preserve">VODAFONE IDEA LIMITED               </t>
  </si>
  <si>
    <t xml:space="preserve">SUN PHARMACEUTICAL IND L            </t>
  </si>
  <si>
    <t xml:space="preserve">IDFC FIRST BANK LIMITED             </t>
  </si>
  <si>
    <t>IDFCFIRSTB</t>
  </si>
  <si>
    <t xml:space="preserve">THE INDIAN HOTELS CO. LTD           </t>
  </si>
  <si>
    <t xml:space="preserve">INDUSIND BANK LIMITED               </t>
  </si>
  <si>
    <t xml:space="preserve">INFOSYS LIMITED                     </t>
  </si>
  <si>
    <t xml:space="preserve">INDIAN RAIL TOUR CORP LTD           </t>
  </si>
  <si>
    <t xml:space="preserve">ITC LTD                             </t>
  </si>
  <si>
    <t xml:space="preserve">JINDAL STEEL &amp; POWER LTD            </t>
  </si>
  <si>
    <t>JINDALSTEL</t>
  </si>
  <si>
    <t xml:space="preserve">JSW STEEL LIMITED                   </t>
  </si>
  <si>
    <t xml:space="preserve">DR. LAL PATH LABS LTD.              </t>
  </si>
  <si>
    <t>LALPATHLAB</t>
  </si>
  <si>
    <t xml:space="preserve">SUN TV NETWORK LIMITED              </t>
  </si>
  <si>
    <t xml:space="preserve">LIC HOUSING FINANCE LTD             </t>
  </si>
  <si>
    <t xml:space="preserve">LARSEN &amp; TOUBRO LTD.                </t>
  </si>
  <si>
    <t xml:space="preserve">L&amp;T TECHNOLOGY SER. LTD.            </t>
  </si>
  <si>
    <t xml:space="preserve">LUPIN LIMITED                       </t>
  </si>
  <si>
    <t xml:space="preserve">M&amp;M FIN. SERVICES LTD               </t>
  </si>
  <si>
    <t xml:space="preserve">MANAPPURAM FINANCE LTD              </t>
  </si>
  <si>
    <t>MANAPPURAM</t>
  </si>
  <si>
    <t xml:space="preserve">TATA CONSULTANCY SERV LT            </t>
  </si>
  <si>
    <t xml:space="preserve">MARUTI SUZUKI INDIA LTD.            </t>
  </si>
  <si>
    <t xml:space="preserve">UNITED SPIRITS LIMITED              </t>
  </si>
  <si>
    <t>MCDOWELL-N</t>
  </si>
  <si>
    <t xml:space="preserve">TECH MAHINDRA LIMITED               </t>
  </si>
  <si>
    <t xml:space="preserve">METROPOLIS HEALTHCARE LTD           </t>
  </si>
  <si>
    <t>METROPOLIS</t>
  </si>
  <si>
    <t xml:space="preserve">MAX FINANCIAL SERV LTD              </t>
  </si>
  <si>
    <t xml:space="preserve">VEDANTA LIMITED                     </t>
  </si>
  <si>
    <t xml:space="preserve">MAHANAGAR GAS LTD.                  </t>
  </si>
  <si>
    <t xml:space="preserve">ALEMBIC PHARMA LTD                  </t>
  </si>
  <si>
    <t xml:space="preserve">MRF LTD                             </t>
  </si>
  <si>
    <t xml:space="preserve">MUTHOOT FINANCE LIMITED             </t>
  </si>
  <si>
    <t xml:space="preserve">BALKRISHNA IND. LTD                 </t>
  </si>
  <si>
    <t>BALKRISIND</t>
  </si>
  <si>
    <t xml:space="preserve">INFO EDGE (I) LTD                   </t>
  </si>
  <si>
    <t xml:space="preserve">ASTRAL LIMITED                      </t>
  </si>
  <si>
    <t xml:space="preserve">NAVIN FLUORINE INT. LTD             </t>
  </si>
  <si>
    <t xml:space="preserve">NESTLE INDIA LIMITED                </t>
  </si>
  <si>
    <t xml:space="preserve">NMDC LTD.                           </t>
  </si>
  <si>
    <t xml:space="preserve">NTPC LTD                            </t>
  </si>
  <si>
    <t xml:space="preserve">OIL AND NATURAL GAS CORP.           </t>
  </si>
  <si>
    <t xml:space="preserve">PFIZER LTD                          </t>
  </si>
  <si>
    <t xml:space="preserve">PIDILITE INDUSTRIES LTD             </t>
  </si>
  <si>
    <t>PIDILITIND</t>
  </si>
  <si>
    <t xml:space="preserve">PI INDUSTRIES LTD                   </t>
  </si>
  <si>
    <t xml:space="preserve">RBL BANK LIMITED                    </t>
  </si>
  <si>
    <t xml:space="preserve">RELIANCE INDUSTRIES LTD             </t>
  </si>
  <si>
    <t xml:space="preserve">STEEL AUTHORITY OF INDIA            </t>
  </si>
  <si>
    <t xml:space="preserve">SBI LIFE INSURANCE CO LTD           </t>
  </si>
  <si>
    <t xml:space="preserve">STATE BANK OF INDIA                 </t>
  </si>
  <si>
    <t xml:space="preserve">TATA CHEMICALS LTD                  </t>
  </si>
  <si>
    <t xml:space="preserve">TATA MOTORS LIMITED                 </t>
  </si>
  <si>
    <t>TATAMOTORS</t>
  </si>
  <si>
    <t xml:space="preserve">TATA STEEL LIMITED                  </t>
  </si>
  <si>
    <t xml:space="preserve">TITAN COMPANY LIMITED               </t>
  </si>
  <si>
    <t xml:space="preserve">TVS MOTOR COMPANY  LTD              </t>
  </si>
  <si>
    <t xml:space="preserve">DIVI'S LABORATORIES LTD             </t>
  </si>
  <si>
    <t xml:space="preserve">ULTRATECH CEMENT LIMITED            </t>
  </si>
  <si>
    <t xml:space="preserve">ZEE ENTERTAINMENT ENT LTD           </t>
  </si>
  <si>
    <t xml:space="preserve">APOLLO TYRES LTD                    </t>
  </si>
  <si>
    <t>APOLLOTYRE</t>
  </si>
  <si>
    <t xml:space="preserve">BERGER PAINTS (I) LTD               </t>
  </si>
  <si>
    <t>BERGEPAINT</t>
  </si>
  <si>
    <t xml:space="preserve">BIOCON LIMITED.                     </t>
  </si>
  <si>
    <t xml:space="preserve">BOSCH LIMITED                       </t>
  </si>
  <si>
    <t xml:space="preserve">BRITANNIA INDUSTRIES LTD            </t>
  </si>
  <si>
    <t xml:space="preserve">CADILA HEALTHCARE LIMITED           </t>
  </si>
  <si>
    <t xml:space="preserve">GRASIM INDUSTRIES LTD               </t>
  </si>
  <si>
    <t xml:space="preserve">CHOLAMANDALAM IN &amp; FIN CO           </t>
  </si>
  <si>
    <t xml:space="preserve">DR. REDDY'S LABORATORIES            </t>
  </si>
  <si>
    <t xml:space="preserve">EICHER MOTORS LTD                   </t>
  </si>
  <si>
    <t xml:space="preserve">GMR INFRASTRUCTURE LTD.             </t>
  </si>
  <si>
    <t xml:space="preserve">PIRAMAL ENTERPRISES LTD             </t>
  </si>
  <si>
    <t xml:space="preserve">POWER FIN CORP LTD.                 </t>
  </si>
  <si>
    <t xml:space="preserve">INDRAPRASTHA GAS LTD                </t>
  </si>
  <si>
    <t xml:space="preserve">REC LIMITED                         </t>
  </si>
  <si>
    <t xml:space="preserve">NIPPON L I A M LTD                  </t>
  </si>
  <si>
    <t xml:space="preserve">SHREE CEMENT LIMITED                </t>
  </si>
  <si>
    <t xml:space="preserve">STRIDES PHARMA SCI LTD              </t>
  </si>
  <si>
    <t xml:space="preserve">TATA POWER CO LTD                   </t>
  </si>
  <si>
    <t xml:space="preserve">PUNJAB NATIONAL BANK                </t>
  </si>
  <si>
    <t xml:space="preserve">TRENT LTD                           </t>
  </si>
  <si>
    <t xml:space="preserve">SHRIRAM TRANSPORT FIN CO.           </t>
  </si>
  <si>
    <t>SRTRANSFIN</t>
  </si>
  <si>
    <t xml:space="preserve">TATA CONSUMER PRODUCT LTD           </t>
  </si>
  <si>
    <t>TATACONSUM</t>
  </si>
  <si>
    <t xml:space="preserve">TORRENT PHARMACEUTICALS L           </t>
  </si>
  <si>
    <t>TORNTPHARM</t>
  </si>
  <si>
    <t xml:space="preserve">UNITED BREWERIES LTD                </t>
  </si>
  <si>
    <t xml:space="preserve">VOLTAS LTD                          </t>
  </si>
  <si>
    <t xml:space="preserve">BHARAT FORGE LTD                    </t>
  </si>
  <si>
    <t>BHARATFORG</t>
  </si>
  <si>
    <t xml:space="preserve">CONTAINER CORP OF IND LTD           </t>
  </si>
  <si>
    <t xml:space="preserve">GODREJ CONSUMER PRODUCTS            </t>
  </si>
  <si>
    <t xml:space="preserve">HAVELLS INDIA LIMITED               </t>
  </si>
  <si>
    <t xml:space="preserve">INDUS TOWERS LIMITED                </t>
  </si>
  <si>
    <t>INDUSTOWER</t>
  </si>
  <si>
    <t xml:space="preserve">KOTAK MAHINDRA BANK LTD             </t>
  </si>
  <si>
    <t xml:space="preserve">L&amp;T FINANCE HOLDINGS LTD            </t>
  </si>
  <si>
    <t xml:space="preserve">MAHINDRA &amp; MAHINDRA LTD             </t>
  </si>
  <si>
    <t xml:space="preserve">EXIDE INDUSTRIES LTD                </t>
  </si>
  <si>
    <t xml:space="preserve">MPHASIS LIMITED                     </t>
  </si>
  <si>
    <t xml:space="preserve">PETRONET LNG LIMITED                </t>
  </si>
  <si>
    <t xml:space="preserve">PVR LIMITED                         </t>
  </si>
  <si>
    <t xml:space="preserve">SIEMENS LTD                         </t>
  </si>
  <si>
    <t xml:space="preserve">WIPRO LTD                           </t>
  </si>
  <si>
    <t xml:space="preserve">COFORGE LIMITED                     </t>
  </si>
  <si>
    <t xml:space="preserve">GAIL (INDIA) LTD                    </t>
  </si>
  <si>
    <t xml:space="preserve">MOTHERSON SUMI SYSTEMS LT           </t>
  </si>
  <si>
    <t>MOTHERSUMI</t>
  </si>
  <si>
    <t xml:space="preserve">PAGE INDUSTRIES LTD                 </t>
  </si>
  <si>
    <t xml:space="preserve">THE RAMCO CEMENTS LIMITED           </t>
  </si>
  <si>
    <t xml:space="preserve">TORRENT POWER LTD                   </t>
  </si>
  <si>
    <t>TORNTPOWER</t>
  </si>
  <si>
    <t xml:space="preserve">UPL LIMITED                         </t>
  </si>
  <si>
    <t xml:space="preserve">HDFC LTD                            </t>
  </si>
  <si>
    <t xml:space="preserve">CAN FIN HOMES LTD                   </t>
  </si>
  <si>
    <t>CANFINHOME</t>
  </si>
  <si>
    <t xml:space="preserve">DIXON TECHNO (INDIA) LTD            </t>
  </si>
  <si>
    <t xml:space="preserve">HINDUSTAN AERONAUTICS LTD           </t>
  </si>
  <si>
    <t xml:space="preserve">INDIAN ENERGY EXC LTD               </t>
  </si>
  <si>
    <t xml:space="preserve">INDIAMART INTERMESH LTD             </t>
  </si>
  <si>
    <t xml:space="preserve">IPCA LABORATORIES LTD               </t>
  </si>
  <si>
    <t xml:space="preserve">MULTI COMMODITY EXCHANGE            </t>
  </si>
  <si>
    <t xml:space="preserve">ORACLE FIN SERV SOFT LTD.           </t>
  </si>
  <si>
    <t xml:space="preserve">POLYCAB INDIA LIMITED               </t>
  </si>
  <si>
    <t xml:space="preserve">SYNGENE INTERNATIONAL LTD           </t>
  </si>
  <si>
    <t>AARTIIND</t>
  </si>
  <si>
    <t>ALKEM</t>
  </si>
  <si>
    <t>ASHOKLEY</t>
  </si>
  <si>
    <t>ABFRL</t>
  </si>
  <si>
    <t>AMBUJACEM</t>
  </si>
  <si>
    <t>ADANIENT</t>
  </si>
  <si>
    <t>BHEL</t>
  </si>
  <si>
    <t>DABUR</t>
  </si>
  <si>
    <t>AUBANK</t>
  </si>
  <si>
    <t>DEEPAKNTR</t>
  </si>
  <si>
    <t>BATAINDIA</t>
  </si>
  <si>
    <t>BPCL</t>
  </si>
  <si>
    <t>HINDPETRO</t>
  </si>
  <si>
    <t>INDIGO</t>
  </si>
  <si>
    <t>CANBK</t>
  </si>
  <si>
    <t>IOC</t>
  </si>
  <si>
    <t>CIPLA</t>
  </si>
  <si>
    <t>COLPAL</t>
  </si>
  <si>
    <t>JUBLFOOD</t>
  </si>
  <si>
    <t>LTI</t>
  </si>
  <si>
    <t>CUB</t>
  </si>
  <si>
    <t>MARICO</t>
  </si>
  <si>
    <t>MINDTREE</t>
  </si>
  <si>
    <t>ESCORTS</t>
  </si>
  <si>
    <t>GLENMARK</t>
  </si>
  <si>
    <t>POWERGRID</t>
  </si>
  <si>
    <t>GRANULES</t>
  </si>
  <si>
    <t>GUJGASLTD</t>
  </si>
  <si>
    <t>HCLTECH</t>
  </si>
  <si>
    <t>HDFCAMC</t>
  </si>
  <si>
    <t>HDFCLIFE</t>
  </si>
  <si>
    <t>SRF</t>
  </si>
  <si>
    <t>ICICIGI</t>
  </si>
  <si>
    <t>IDEA</t>
  </si>
  <si>
    <t>SUNPHARMA</t>
  </si>
  <si>
    <t>INDHOTEL</t>
  </si>
  <si>
    <t>IRCTC</t>
  </si>
  <si>
    <t>ITC</t>
  </si>
  <si>
    <t>SUNTV</t>
  </si>
  <si>
    <t>LICHSGFIN</t>
  </si>
  <si>
    <t>LT</t>
  </si>
  <si>
    <t>LTTS</t>
  </si>
  <si>
    <t>M&amp;MFIN</t>
  </si>
  <si>
    <t>MARUTI</t>
  </si>
  <si>
    <t>TECHM</t>
  </si>
  <si>
    <t>MFSL</t>
  </si>
  <si>
    <t>VEDL</t>
  </si>
  <si>
    <t>MRF</t>
  </si>
  <si>
    <t>NAUKRI</t>
  </si>
  <si>
    <t>ASTRAL</t>
  </si>
  <si>
    <t>NESTLEIND</t>
  </si>
  <si>
    <t>NMDC</t>
  </si>
  <si>
    <t>NTPC</t>
  </si>
  <si>
    <t>ONGC</t>
  </si>
  <si>
    <t>PIIND</t>
  </si>
  <si>
    <t>RBLBANK</t>
  </si>
  <si>
    <t>SAIL</t>
  </si>
  <si>
    <t>SBILIFE</t>
  </si>
  <si>
    <t>TATACHEM</t>
  </si>
  <si>
    <t>TATASTEEL</t>
  </si>
  <si>
    <t>TITAN</t>
  </si>
  <si>
    <t>TVSMOTOR</t>
  </si>
  <si>
    <t>DIVISLAB</t>
  </si>
  <si>
    <t>ZEEL</t>
  </si>
  <si>
    <t>BIOCON</t>
  </si>
  <si>
    <t>BOSCHLTD</t>
  </si>
  <si>
    <t>BRITANNIA</t>
  </si>
  <si>
    <t>CADILAHC</t>
  </si>
  <si>
    <t>GRASIM</t>
  </si>
  <si>
    <t>CHOLAFIN</t>
  </si>
  <si>
    <t>EICHERMOT</t>
  </si>
  <si>
    <t>GMRINFRA</t>
  </si>
  <si>
    <t>PEL</t>
  </si>
  <si>
    <t>IGL</t>
  </si>
  <si>
    <t>RECLTD</t>
  </si>
  <si>
    <t>NAM-INDIA</t>
  </si>
  <si>
    <t>SHREECEM</t>
  </si>
  <si>
    <t>STAR</t>
  </si>
  <si>
    <t>PNB</t>
  </si>
  <si>
    <t>TRENT</t>
  </si>
  <si>
    <t>UBL</t>
  </si>
  <si>
    <t>VOLTAS</t>
  </si>
  <si>
    <t>CONCOR</t>
  </si>
  <si>
    <t>GODREJCP</t>
  </si>
  <si>
    <t>HAVELLS</t>
  </si>
  <si>
    <t>L&amp;TFH</t>
  </si>
  <si>
    <t>M&amp;M</t>
  </si>
  <si>
    <t>EXIDEIND</t>
  </si>
  <si>
    <t>MPHASIS</t>
  </si>
  <si>
    <t>PETRONET</t>
  </si>
  <si>
    <t>PVR</t>
  </si>
  <si>
    <t>SIEMENS</t>
  </si>
  <si>
    <t>WIPRO</t>
  </si>
  <si>
    <t>COFORGE</t>
  </si>
  <si>
    <t>GAIL</t>
  </si>
  <si>
    <t>PAGEIND</t>
  </si>
  <si>
    <t>RAMCOCEM</t>
  </si>
  <si>
    <t>UPL</t>
  </si>
  <si>
    <t>DIXON</t>
  </si>
  <si>
    <t>HAL</t>
  </si>
  <si>
    <t>INDIAMART</t>
  </si>
  <si>
    <t>IPCALAB</t>
  </si>
  <si>
    <t>MCX</t>
  </si>
  <si>
    <t>OFSS</t>
  </si>
  <si>
    <t>POLYCAB</t>
  </si>
  <si>
    <t>SYNGENE</t>
  </si>
  <si>
    <t>Coments</t>
  </si>
  <si>
    <t>No Liquidity</t>
  </si>
  <si>
    <t>Open</t>
  </si>
  <si>
    <t>High</t>
  </si>
  <si>
    <t>Low</t>
  </si>
  <si>
    <t>Last Traded Price</t>
  </si>
  <si>
    <t>Change</t>
  </si>
  <si>
    <t>%Change</t>
  </si>
  <si>
    <t>Traded Volume(lacs)</t>
  </si>
  <si>
    <t>Traded Value(crs)</t>
  </si>
  <si>
    <t>52 Week High</t>
  </si>
  <si>
    <t>52 Week Low</t>
  </si>
  <si>
    <t>365 Days % Change</t>
  </si>
  <si>
    <t>30 Days % Change</t>
  </si>
  <si>
    <t>Source</t>
  </si>
  <si>
    <t>https://www1.nseindia.com/live_market/dynaContent/live_watch/equities_stock_watch.htm</t>
  </si>
  <si>
    <t>CE</t>
  </si>
  <si>
    <t>PE</t>
  </si>
  <si>
    <t>Contracts</t>
  </si>
  <si>
    <t>Period (Days)</t>
  </si>
  <si>
    <t>LOTS</t>
  </si>
  <si>
    <t>TATAELXSI</t>
  </si>
  <si>
    <t>CMP</t>
  </si>
  <si>
    <t>My Research</t>
  </si>
  <si>
    <t>Industry</t>
  </si>
  <si>
    <t>Price Forecast (1 Yr)</t>
  </si>
  <si>
    <t>Support</t>
  </si>
  <si>
    <t>Resistance</t>
  </si>
  <si>
    <t>145'140'138</t>
  </si>
  <si>
    <t>147'153'161</t>
  </si>
  <si>
    <t>1179'1169'1138</t>
  </si>
  <si>
    <t>685'683,659</t>
  </si>
  <si>
    <t>700'704'707</t>
  </si>
  <si>
    <t>4828'4706</t>
  </si>
  <si>
    <t>4935'4966</t>
  </si>
  <si>
    <t>Delta</t>
  </si>
  <si>
    <t>PUT Strike %</t>
  </si>
  <si>
    <t>NIFTY</t>
  </si>
  <si>
    <t>FV</t>
  </si>
  <si>
    <t>Rate</t>
  </si>
  <si>
    <t>Vol</t>
  </si>
  <si>
    <t>BANKNIFTY</t>
  </si>
  <si>
    <t>NIFTY FINANCIAL SERVICES</t>
  </si>
  <si>
    <t>30 D % CHNG 
 13-Aug-2021</t>
  </si>
  <si>
    <t>BPS #</t>
  </si>
  <si>
    <t>Hstrike</t>
  </si>
  <si>
    <t>Lstrike</t>
  </si>
  <si>
    <t>Max Loss</t>
  </si>
  <si>
    <t>Risk/Reward</t>
  </si>
  <si>
    <t>Actual Credit</t>
  </si>
  <si>
    <t>Desired Contracts</t>
  </si>
  <si>
    <t>Total Margin</t>
  </si>
  <si>
    <t>Total Max Credit</t>
  </si>
  <si>
    <t>Total Max Loss</t>
  </si>
  <si>
    <t>Strike/Underlying</t>
  </si>
  <si>
    <t>Candidates</t>
  </si>
  <si>
    <t>Instrument</t>
  </si>
  <si>
    <t>Current Underlying</t>
  </si>
  <si>
    <t>Desired Monthly Income</t>
  </si>
  <si>
    <t>Max Margin</t>
  </si>
  <si>
    <t>Selected BPS</t>
  </si>
  <si>
    <t>Annual Return</t>
  </si>
  <si>
    <t>Margin Reqs</t>
  </si>
  <si>
    <t>Lots</t>
  </si>
  <si>
    <t>NIFTY DOWN --&gt;</t>
  </si>
  <si>
    <t>Max Profit</t>
  </si>
  <si>
    <t>Exit Strategy</t>
  </si>
  <si>
    <t xml:space="preserve">Max date </t>
  </si>
  <si>
    <t>Underlying Stop Loss Lvl</t>
  </si>
  <si>
    <t>First buy back short put leg</t>
  </si>
  <si>
    <t>Then Sell long put leg</t>
  </si>
  <si>
    <t>Comments</t>
  </si>
  <si>
    <t>Imp Vol</t>
  </si>
  <si>
    <t>.</t>
  </si>
  <si>
    <t>Div</t>
  </si>
  <si>
    <t>Type</t>
  </si>
  <si>
    <t>ongc</t>
  </si>
  <si>
    <t>SBI</t>
  </si>
  <si>
    <t>L/S</t>
  </si>
  <si>
    <t>Max Drawdown</t>
  </si>
  <si>
    <t>Max Drawdown %</t>
  </si>
  <si>
    <t>Total</t>
  </si>
  <si>
    <t>Collateral</t>
  </si>
  <si>
    <t>Underlying</t>
  </si>
  <si>
    <t>ToT</t>
  </si>
  <si>
    <t>5 Day</t>
  </si>
  <si>
    <t>10 Day</t>
  </si>
  <si>
    <t>20 Day</t>
  </si>
  <si>
    <t>50 Day</t>
  </si>
  <si>
    <t>100 Day</t>
  </si>
  <si>
    <t>200 Day</t>
  </si>
  <si>
    <t>Tot</t>
  </si>
  <si>
    <t>Margin (as Prem X)</t>
  </si>
  <si>
    <t>P_low</t>
  </si>
  <si>
    <t>P_high</t>
  </si>
  <si>
    <t>C_Low</t>
  </si>
  <si>
    <t>C_high</t>
  </si>
  <si>
    <t>ATM</t>
  </si>
  <si>
    <t>Distance</t>
  </si>
  <si>
    <t>Val Date</t>
  </si>
  <si>
    <t>Payoff</t>
  </si>
  <si>
    <t>Iron Butterfly Condor -- &gt;</t>
  </si>
  <si>
    <t xml:space="preserve">FIIs DIIs </t>
  </si>
  <si>
    <t xml:space="preserve"> </t>
  </si>
  <si>
    <t xml:space="preserve">If I am an FII, </t>
  </si>
  <si>
    <t xml:space="preserve">I have lots of cash holding of stocks... </t>
  </si>
  <si>
    <t xml:space="preserve">Now I can do multiple things with it, </t>
  </si>
  <si>
    <t xml:space="preserve">In a bullish market- </t>
  </si>
  <si>
    <t xml:space="preserve">1)Keep holding it and hedge them with Index put options...  </t>
  </si>
  <si>
    <t xml:space="preserve">2) Sell out of the money call options and if it goes in risk, exit the holding and pay MTM off... </t>
  </si>
  <si>
    <t xml:space="preserve">In bearish Market- </t>
  </si>
  <si>
    <t xml:space="preserve">1) Keep selling in futures, so that the value decline in cash holdings is offset... </t>
  </si>
  <si>
    <t xml:space="preserve">2) sell in futures and dump the stocks even more and square off at even a lower level, and then again buy stocks... </t>
  </si>
  <si>
    <t xml:space="preserve">In a sideways market- </t>
  </si>
  <si>
    <t xml:space="preserve">1) buy puts, to protect downside... </t>
  </si>
  <si>
    <t xml:space="preserve">2) sell futures offset with cash holdings </t>
  </si>
  <si>
    <t xml:space="preserve">3) buy call options to earn any upside... </t>
  </si>
  <si>
    <t xml:space="preserve">Current scenario is of sideways market... And the data sheet data gets circulated regarding pro fii dii positions, doesnt include their holdings in cash, that's why most of the reading of people is not correct... </t>
  </si>
  <si>
    <t xml:space="preserve">Hope now you will be able to understand that data better... </t>
  </si>
  <si>
    <t xml:space="preserve">If I am a DII- </t>
  </si>
  <si>
    <t xml:space="preserve">Whether I am mutual fund, lic, bank, nbfc, pension fund, </t>
  </si>
  <si>
    <t xml:space="preserve">I am not allowed to take any naked position in derivatives... </t>
  </si>
  <si>
    <t xml:space="preserve">And cash buying and selling will only depend on my investment policy and money inflow or outflow from public on a given day... </t>
  </si>
  <si>
    <t>P1</t>
  </si>
  <si>
    <t>P2</t>
  </si>
  <si>
    <t>P3</t>
  </si>
  <si>
    <t>P4</t>
  </si>
  <si>
    <t>P5</t>
  </si>
  <si>
    <t>P6</t>
  </si>
  <si>
    <t>P7</t>
  </si>
  <si>
    <t>C1</t>
  </si>
  <si>
    <t>C7</t>
  </si>
  <si>
    <t>C6</t>
  </si>
  <si>
    <t>C5</t>
  </si>
  <si>
    <t>C4</t>
  </si>
  <si>
    <t>C3</t>
  </si>
  <si>
    <t>C2</t>
  </si>
  <si>
    <t>User Price</t>
  </si>
  <si>
    <t>OC Price</t>
  </si>
  <si>
    <t>Income</t>
  </si>
  <si>
    <t>Pledge</t>
  </si>
  <si>
    <t>Units</t>
  </si>
  <si>
    <t>Haircut</t>
  </si>
  <si>
    <t>NAV</t>
  </si>
  <si>
    <t>Axis Liquid</t>
  </si>
  <si>
    <t>NIFTY BEES</t>
  </si>
  <si>
    <t>Total Premium</t>
  </si>
  <si>
    <t>ICICI PRU NIFTY</t>
  </si>
  <si>
    <t xml:space="preserve">ICICI PRU CREDIT </t>
  </si>
  <si>
    <t xml:space="preserve">SL </t>
  </si>
  <si>
    <t>INFOEDGE</t>
  </si>
  <si>
    <t>BLUEDART</t>
  </si>
  <si>
    <t>5,412.00</t>
  </si>
  <si>
    <t>2,435.00</t>
  </si>
  <si>
    <t>6,795.00</t>
  </si>
  <si>
    <t>6,097.25</t>
  </si>
  <si>
    <t>4,688.95</t>
  </si>
  <si>
    <t>6,860.00</t>
  </si>
  <si>
    <t>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t>
  </si>
  <si>
    <t>illiquid</t>
  </si>
  <si>
    <t>DivYield</t>
  </si>
  <si>
    <t>MTM</t>
  </si>
  <si>
    <t>MTM %</t>
  </si>
  <si>
    <t>TGT Exit Price</t>
  </si>
  <si>
    <t>Expected Return</t>
  </si>
  <si>
    <t>PLEDGE MARGIN  - &gt;</t>
  </si>
  <si>
    <t>TOTAL MARGIN  -&gt;</t>
  </si>
  <si>
    <t>FUT</t>
  </si>
  <si>
    <t>Target</t>
  </si>
  <si>
    <t>STK</t>
  </si>
  <si>
    <t>IDX</t>
  </si>
  <si>
    <t>Ins</t>
  </si>
  <si>
    <t>Hedge ratio</t>
  </si>
  <si>
    <t>FINNIFTY</t>
  </si>
  <si>
    <t/>
  </si>
  <si>
    <t>IN</t>
  </si>
  <si>
    <t>STO</t>
  </si>
  <si>
    <t>Actual Return</t>
  </si>
  <si>
    <t>ST</t>
  </si>
  <si>
    <t>Future Exposre</t>
  </si>
  <si>
    <t>Column Labels</t>
  </si>
  <si>
    <t>Grand Total</t>
  </si>
  <si>
    <t>Sum of Future Exposre</t>
  </si>
  <si>
    <t>Future Exposure</t>
  </si>
  <si>
    <t>Lacs</t>
  </si>
  <si>
    <t>Overall Gain</t>
  </si>
  <si>
    <t>Monthly Gain</t>
  </si>
  <si>
    <t>Dividend/Defensive</t>
  </si>
  <si>
    <t>Sector</t>
  </si>
  <si>
    <t>EV</t>
  </si>
  <si>
    <t>Rural Demand</t>
  </si>
  <si>
    <t>Middle Class</t>
  </si>
  <si>
    <t>Digital Inclusion</t>
  </si>
  <si>
    <t>Month</t>
  </si>
  <si>
    <t>Positions</t>
  </si>
  <si>
    <t>Entry</t>
  </si>
  <si>
    <t>Call Strike (Upside)</t>
  </si>
  <si>
    <t>Call Yield</t>
  </si>
  <si>
    <t>Put Strike</t>
  </si>
  <si>
    <t>Put Cost</t>
  </si>
  <si>
    <t>Put Funding</t>
  </si>
  <si>
    <t>Net Rent Yield</t>
  </si>
  <si>
    <t>Position Yield</t>
  </si>
  <si>
    <t>Exit</t>
  </si>
  <si>
    <t>Downside Protection</t>
  </si>
  <si>
    <t>Strike (Put Funding)</t>
  </si>
  <si>
    <t>Stock Rental</t>
  </si>
  <si>
    <t>Call Price (Rent)</t>
  </si>
  <si>
    <t>Yield/Return</t>
  </si>
  <si>
    <t>Net Rent</t>
  </si>
  <si>
    <t>Usge</t>
  </si>
  <si>
    <t>Withdrawal</t>
  </si>
  <si>
    <t>Reinvesments</t>
  </si>
  <si>
    <t>Stocks</t>
  </si>
  <si>
    <t>Unwithdrawn</t>
  </si>
  <si>
    <t>PnL (L)</t>
  </si>
  <si>
    <t>LOCALHOST</t>
  </si>
  <si>
    <t>BALRAMCHIN</t>
  </si>
  <si>
    <t>OI</t>
  </si>
  <si>
    <t>CHNG IN OI</t>
  </si>
  <si>
    <t>VOLUME</t>
  </si>
  <si>
    <t>LTP</t>
  </si>
  <si>
    <t>CHNG</t>
  </si>
  <si>
    <t>BID QTY</t>
  </si>
  <si>
    <t>BID PRICE</t>
  </si>
  <si>
    <t>ASK PRICE</t>
  </si>
  <si>
    <t>ASK QTY</t>
  </si>
  <si>
    <t>STRIKE PRICE</t>
  </si>
  <si>
    <t>-</t>
  </si>
  <si>
    <t>Entry Price (P_f)</t>
  </si>
  <si>
    <t>Lot Size, S</t>
  </si>
  <si>
    <t>Lots, N_f</t>
  </si>
  <si>
    <t>Max Loss/Scrip, L</t>
  </si>
  <si>
    <t>Call Price, P_c</t>
  </si>
  <si>
    <t>Call Strike, K_c</t>
  </si>
  <si>
    <t>Call Lots, N_c</t>
  </si>
  <si>
    <t>Put Price, P_p</t>
  </si>
  <si>
    <t>Put Strike, K_p</t>
  </si>
  <si>
    <t>Put Lots, N_p</t>
  </si>
  <si>
    <t>Fut Gain</t>
  </si>
  <si>
    <t>Fut</t>
  </si>
  <si>
    <t>Put Hedge</t>
  </si>
  <si>
    <t>Call Rent</t>
  </si>
  <si>
    <t>Product</t>
  </si>
  <si>
    <t>Qty.</t>
  </si>
  <si>
    <t>Avg.</t>
  </si>
  <si>
    <t>P&amp;L</t>
  </si>
  <si>
    <t>Chg.</t>
  </si>
  <si>
    <t>NRML</t>
  </si>
  <si>
    <t>BALRAMCHIN22JUL370PE</t>
  </si>
  <si>
    <t>BALRAMCHIN22JUL400CE</t>
  </si>
  <si>
    <t>BALRAMCHIN22JULFUT</t>
  </si>
  <si>
    <t>BANKNIFTY22AUGFUT</t>
  </si>
  <si>
    <t>BANKNIFTY22JUL34000PE</t>
  </si>
  <si>
    <t>BANKNIFTY22JUL35000CE</t>
  </si>
  <si>
    <t>BANKNIFTY22JUL36000CE</t>
  </si>
  <si>
    <t>HINDUNILVR22AUGFUT</t>
  </si>
  <si>
    <t>HINDUNILVR22JUL2440CE</t>
  </si>
  <si>
    <t>HINDUNILVR22JUL2480CE</t>
  </si>
  <si>
    <t>IEX22JUL160PE</t>
  </si>
  <si>
    <t>IEX22JUL170CE</t>
  </si>
  <si>
    <t>IEX22JUL172.5CE</t>
  </si>
  <si>
    <t>IEX22JUL175CE</t>
  </si>
  <si>
    <t>IEX22JULFUT</t>
  </si>
  <si>
    <t>LT22AUGFUT</t>
  </si>
  <si>
    <t>LT22JUL1640CE</t>
  </si>
  <si>
    <t>LT22JUL1640PE</t>
  </si>
  <si>
    <t>LT22JUL1700CE</t>
  </si>
  <si>
    <t>NIFTY22JUL15200PE</t>
  </si>
  <si>
    <t>NIFTY22JUL16000PE</t>
  </si>
  <si>
    <t>NIFTY22JUL16500CE</t>
  </si>
  <si>
    <t>NIFTY22JUL16600CE</t>
  </si>
  <si>
    <t>NIFTY22JUL16650CE</t>
  </si>
  <si>
    <t>NIFTY22JULFUT</t>
  </si>
  <si>
    <t>SRF22JUL2300CE</t>
  </si>
  <si>
    <t>SRF22JUL2300PE</t>
  </si>
  <si>
    <t>SRF22JUL2400CE</t>
  </si>
  <si>
    <t>SRF22JUL2500CE</t>
  </si>
  <si>
    <t>SRF22JULFUT</t>
  </si>
  <si>
    <t>TATAMOTORS22AUGFUT</t>
  </si>
  <si>
    <t>TATAMOTORS22JUL430PE</t>
  </si>
  <si>
    <t>TATAMOTORS22JUL450CE</t>
  </si>
  <si>
    <t>TATAMOTORS22JUL460CE</t>
  </si>
  <si>
    <t>TATAPOWER22JUL210PE</t>
  </si>
  <si>
    <t>TATAPOWER22JUL230CE</t>
  </si>
  <si>
    <t>TATAPOWER22JUL235CE</t>
  </si>
  <si>
    <t>TATAPOWER22JULFUT</t>
  </si>
  <si>
    <t>TCS22JUL3200PE</t>
  </si>
  <si>
    <t>TCS22JUL3400CE</t>
  </si>
  <si>
    <t>TCS22JUL3500CE</t>
  </si>
  <si>
    <t>TCS22JULFUT</t>
  </si>
  <si>
    <t>Gross Delta</t>
  </si>
  <si>
    <t>Frac Delta</t>
  </si>
  <si>
    <t>HINDUNILVR22JUL2460PE</t>
  </si>
  <si>
    <t>HINDUNILVR22JUL2540CE</t>
  </si>
  <si>
    <t>LT22JUL1620PE</t>
  </si>
  <si>
    <t>NIFTY22JUL15300PE</t>
  </si>
  <si>
    <t>NIFTY22JUL15400PE</t>
  </si>
  <si>
    <t>CNC</t>
  </si>
  <si>
    <t>JYOTHYLAB</t>
  </si>
  <si>
    <t>VBL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</si>
</sst>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43" formatCode="_ * #,##0.00_ ;_ * \-#,##0.00_ ;_ * &quot;-&quot;??_ ;_ @_ "/>
    <numFmt numFmtId="164" formatCode="[&gt;=10000000]#\,##\,##\,##0.00;[&gt;=100000]#\,##\,##0.00;##,##0.00"/>
    <numFmt numFmtId="165" formatCode="[$-409]d\-mmm\-yy;@"/>
    <numFmt numFmtId="166" formatCode="0.0"/>
    <numFmt numFmtId="167" formatCode="0.000%"/>
    <numFmt numFmtId="168" formatCode="[$-24009]dddd\,\ mmmm\ dd\,\ yyyy;@"/>
    <numFmt numFmtId="169" formatCode="_ * #,##0_ ;_ * \-#,##0_ ;_ * &quot;-&quot;??_ ;_ @_ "/>
    <numFmt numFmtId="170" formatCode="[$-24009]m/d/yy;@"/>
    <numFmt numFmtId="171" formatCode="_ * #,##0.0000000_ ;_ * \-#,##0.0000000_ ;_ * &quot;-&quot;??_ ;_ @_ "/>
    <numFmt numFmtId="172" formatCode="0.0%"/>
    <numFmt numFmtId="173" formatCode="[$-F800]dddd\,\ mmmm\ dd\,\ yyyy"/>
    <numFmt numFmtId="174" formatCode="#,##0.00_ ;[Red]\-#,##0.00\ "/>
  </numFmts>
  <fonts count="14">
    <font>
      <sz val="11"/>
      <color theme="1"/>
      <name val="Calibri"/>
      <family val="2"/>
      <scheme val="minor"/>
    </font>
    <font>
      <sz val="11"/>
      <color theme="1"/>
      <name val="Calibri"/>
      <family val="2"/>
      <scheme val="minor"/>
    </font>
    <font>
      <sz val="10"/>
      <color rgb="FF0070C0"/>
      <name val="Terminal"/>
      <family val="3"/>
      <charset val="255"/>
    </font>
    <font>
      <sz val="10"/>
      <name val="Terminal"/>
      <family val="3"/>
      <charset val="255"/>
    </font>
    <font>
      <b/>
      <sz val="11"/>
      <color theme="0"/>
      <name val="Terminal"/>
      <family val="3"/>
      <charset val="255"/>
    </font>
    <font>
      <b/>
      <sz val="11"/>
      <color theme="0"/>
      <name val="Calibri"/>
      <family val="2"/>
      <scheme val="minor"/>
    </font>
    <font>
      <b/>
      <sz val="12"/>
      <color theme="0"/>
      <name val="Calibri"/>
      <family val="2"/>
      <scheme val="minor"/>
    </font>
    <font>
      <sz val="12"/>
      <color theme="1"/>
      <name val="Calibri"/>
      <family val="2"/>
      <scheme val="minor"/>
    </font>
    <font>
      <b/>
      <sz val="12"/>
      <color theme="1"/>
      <name val="Calibri"/>
      <family val="2"/>
      <scheme val="minor"/>
    </font>
    <font>
      <sz val="11"/>
      <color rgb="FF000000"/>
      <name val="Courier New"/>
      <family val="3"/>
    </font>
    <font>
      <b/>
      <sz val="11"/>
      <name val="Terminal"/>
    </font>
    <font>
      <sz val="11"/>
      <color rgb="FFFF0000"/>
      <name val="Calibri"/>
      <family val="2"/>
      <scheme val="minor"/>
    </font>
    <font>
      <b/>
      <sz val="10"/>
      <color rgb="FF0070C0"/>
      <name val="Terminal"/>
    </font>
    <font>
      <sz val="14"/>
      <color rgb="FFFF0000"/>
      <name val="Calibri"/>
      <family val="2"/>
      <scheme val="minor"/>
    </font>
  </fonts>
  <fills count="21">
    <fill>
      <patternFill patternType="none"/>
    </fill>
    <fill>
      <patternFill patternType="gray125"/>
    </fill>
    <fill>
      <patternFill patternType="solid">
        <fgColor indexed="26"/>
        <bgColor indexed="26"/>
      </patternFill>
    </fill>
    <fill>
      <patternFill patternType="solid">
        <fgColor rgb="FF00B0F0"/>
        <bgColor auto="1"/>
      </patternFill>
    </fill>
    <fill>
      <patternFill patternType="solid">
        <fgColor rgb="FF0070C0"/>
        <bgColor theme="0"/>
      </patternFill>
    </fill>
    <fill>
      <patternFill patternType="solid">
        <fgColor indexed="65"/>
        <bgColor theme="0"/>
      </patternFill>
    </fill>
    <fill>
      <patternFill patternType="solid">
        <fgColor rgb="FFFFFF00"/>
        <bgColor theme="0"/>
      </patternFill>
    </fill>
    <fill>
      <patternFill patternType="solid">
        <fgColor rgb="FF92D050"/>
        <bgColor theme="0"/>
      </patternFill>
    </fill>
    <fill>
      <patternFill patternType="solid">
        <fgColor theme="7"/>
        <bgColor theme="0"/>
      </patternFill>
    </fill>
    <fill>
      <patternFill patternType="solid">
        <fgColor rgb="FFFFFF00"/>
        <bgColor indexed="64"/>
      </patternFill>
    </fill>
    <fill>
      <patternFill patternType="solid">
        <fgColor theme="7" tint="0.59999389629810485"/>
        <bgColor indexed="64"/>
      </patternFill>
    </fill>
    <fill>
      <patternFill patternType="solid">
        <fgColor theme="4" tint="0.39997558519241921"/>
        <bgColor theme="0"/>
      </patternFill>
    </fill>
    <fill>
      <patternFill patternType="solid">
        <fgColor rgb="FFFFC000"/>
        <bgColor indexed="64"/>
      </patternFill>
    </fill>
    <fill>
      <patternFill patternType="solid">
        <fgColor rgb="FF92D050"/>
        <bgColor indexed="64"/>
      </patternFill>
    </fill>
    <fill>
      <patternFill patternType="solid">
        <fgColor theme="2"/>
        <bgColor indexed="64"/>
      </patternFill>
    </fill>
    <fill>
      <patternFill patternType="solid">
        <fgColor theme="7" tint="0.79998168889431442"/>
        <bgColor indexed="64"/>
      </patternFill>
    </fill>
    <fill>
      <patternFill patternType="solid">
        <fgColor theme="7" tint="0.59999389629810485"/>
        <bgColor theme="0"/>
      </patternFill>
    </fill>
    <fill>
      <patternFill patternType="solid">
        <fgColor theme="7" tint="0.39997558519241921"/>
        <bgColor theme="0"/>
      </patternFill>
    </fill>
    <fill>
      <patternFill patternType="solid">
        <fgColor rgb="FFFFFF66"/>
        <bgColor indexed="64"/>
      </patternFill>
    </fill>
    <fill>
      <patternFill patternType="solid">
        <fgColor rgb="FF66FFFF"/>
        <bgColor indexed="64"/>
      </patternFill>
    </fill>
    <fill>
      <patternFill patternType="solid">
        <fgColor rgb="FFFFC000"/>
        <bgColor theme="0"/>
      </patternFill>
    </fill>
  </fills>
  <borders count="18">
    <border>
      <left/>
      <right/>
      <top/>
      <bottom/>
      <diagonal/>
    </border>
    <border>
      <left style="thin">
        <color rgb="FF00B0F0"/>
      </left>
      <right/>
      <top style="thin">
        <color rgb="FF00B0F0"/>
      </top>
      <bottom style="thin">
        <color rgb="FF00B0F0"/>
      </bottom>
      <diagonal/>
    </border>
    <border>
      <left style="thin">
        <color rgb="FF00B0F0"/>
      </left>
      <right style="thin">
        <color rgb="FF00B0F0"/>
      </right>
      <top style="thin">
        <color rgb="FF00B0F0"/>
      </top>
      <bottom style="thin">
        <color rgb="FF00B0F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212">
    <xf numFmtId="0" fontId="0" fillId="0" borderId="0" xfId="0"/>
    <xf numFmtId="164" fontId="2" fillId="2" borderId="1" xfId="0" applyNumberFormat="1" applyFont="1" applyFill="1" applyBorder="1" applyAlignment="1" applyProtection="1">
      <protection locked="0"/>
    </xf>
    <xf numFmtId="164" fontId="3" fillId="2" borderId="2" xfId="0" applyNumberFormat="1" applyFont="1" applyFill="1" applyBorder="1" applyProtection="1">
      <protection locked="0"/>
    </xf>
    <xf numFmtId="164" fontId="2" fillId="2" borderId="1" xfId="0" applyNumberFormat="1" applyFont="1" applyFill="1" applyBorder="1" applyAlignment="1" applyProtection="1">
      <alignment horizontal="center"/>
      <protection locked="0"/>
    </xf>
    <xf numFmtId="164" fontId="2" fillId="2" borderId="1" xfId="0" applyNumberFormat="1" applyFont="1" applyFill="1" applyBorder="1" applyAlignment="1" applyProtection="1">
      <alignment horizontal="left"/>
      <protection locked="0"/>
    </xf>
    <xf numFmtId="164" fontId="4" fillId="3" borderId="2" xfId="0" applyNumberFormat="1" applyFont="1" applyFill="1" applyBorder="1" applyProtection="1"/>
    <xf numFmtId="164" fontId="2" fillId="2" borderId="1" xfId="0" applyNumberFormat="1" applyFont="1" applyFill="1" applyBorder="1" applyAlignment="1" applyProtection="1">
      <alignment horizontal="center" wrapText="1"/>
      <protection locked="0"/>
    </xf>
    <xf numFmtId="9" fontId="0" fillId="0" borderId="0" xfId="0" applyNumberFormat="1"/>
    <xf numFmtId="10" fontId="0" fillId="0" borderId="0" xfId="0" applyNumberFormat="1"/>
    <xf numFmtId="165" fontId="2" fillId="2" borderId="1" xfId="0" applyNumberFormat="1" applyFont="1" applyFill="1" applyBorder="1" applyAlignment="1" applyProtection="1">
      <alignment horizontal="left"/>
      <protection locked="0"/>
    </xf>
    <xf numFmtId="0" fontId="5" fillId="4" borderId="3" xfId="0" applyFont="1" applyFill="1" applyBorder="1" applyAlignment="1"/>
    <xf numFmtId="0" fontId="0" fillId="5" borderId="0" xfId="0" applyFill="1"/>
    <xf numFmtId="0" fontId="0" fillId="6" borderId="3" xfId="0" applyFill="1" applyBorder="1"/>
    <xf numFmtId="0" fontId="0" fillId="5" borderId="3" xfId="0" applyFill="1" applyBorder="1"/>
    <xf numFmtId="10" fontId="0" fillId="8" borderId="3" xfId="0" applyNumberFormat="1" applyFill="1" applyBorder="1"/>
    <xf numFmtId="0" fontId="0" fillId="7" borderId="3" xfId="0" applyFill="1" applyBorder="1" applyAlignment="1">
      <alignment horizontal="center"/>
    </xf>
    <xf numFmtId="0" fontId="0" fillId="8" borderId="3" xfId="0" applyFill="1" applyBorder="1" applyAlignment="1">
      <alignment horizontal="center"/>
    </xf>
    <xf numFmtId="10" fontId="0" fillId="8" borderId="3" xfId="1" applyNumberFormat="1" applyFont="1" applyFill="1" applyBorder="1" applyAlignment="1">
      <alignment horizontal="center"/>
    </xf>
    <xf numFmtId="9" fontId="0" fillId="5" borderId="0" xfId="0" applyNumberFormat="1" applyFill="1"/>
    <xf numFmtId="0" fontId="7" fillId="6" borderId="3" xfId="0" applyFont="1" applyFill="1" applyBorder="1"/>
    <xf numFmtId="0" fontId="7" fillId="5" borderId="3" xfId="0" applyFont="1" applyFill="1" applyBorder="1"/>
    <xf numFmtId="0" fontId="8" fillId="6" borderId="3" xfId="0" applyFont="1" applyFill="1" applyBorder="1"/>
    <xf numFmtId="0" fontId="7" fillId="5" borderId="0" xfId="0" applyFont="1" applyFill="1"/>
    <xf numFmtId="0" fontId="7" fillId="5" borderId="0" xfId="0" applyFont="1" applyFill="1" applyBorder="1"/>
    <xf numFmtId="10" fontId="7" fillId="8" borderId="3" xfId="1" applyNumberFormat="1" applyFont="1" applyFill="1" applyBorder="1"/>
    <xf numFmtId="0" fontId="6" fillId="4" borderId="3" xfId="0" applyFont="1" applyFill="1" applyBorder="1" applyAlignment="1">
      <alignment horizontal="left" vertical="center"/>
    </xf>
    <xf numFmtId="43" fontId="0" fillId="8" borderId="3" xfId="2" applyFont="1" applyFill="1" applyBorder="1"/>
    <xf numFmtId="43" fontId="0" fillId="7" borderId="3" xfId="2" applyFont="1" applyFill="1" applyBorder="1" applyAlignment="1">
      <alignment horizontal="center"/>
    </xf>
    <xf numFmtId="43" fontId="0" fillId="8" borderId="3" xfId="2" applyFont="1" applyFill="1" applyBorder="1" applyAlignment="1">
      <alignment horizontal="center"/>
    </xf>
    <xf numFmtId="43" fontId="7" fillId="8" borderId="3" xfId="2" applyFont="1" applyFill="1" applyBorder="1"/>
    <xf numFmtId="43" fontId="0" fillId="5" borderId="0" xfId="0" applyNumberFormat="1" applyFill="1"/>
    <xf numFmtId="10" fontId="0" fillId="7" borderId="3" xfId="1" applyNumberFormat="1" applyFont="1" applyFill="1" applyBorder="1" applyAlignment="1">
      <alignment horizontal="center"/>
    </xf>
    <xf numFmtId="43" fontId="7" fillId="5" borderId="3" xfId="0" applyNumberFormat="1" applyFont="1" applyFill="1" applyBorder="1"/>
    <xf numFmtId="0" fontId="0" fillId="9" borderId="0" xfId="0" applyFill="1"/>
    <xf numFmtId="43" fontId="0" fillId="0" borderId="0" xfId="2" applyFont="1"/>
    <xf numFmtId="10" fontId="0" fillId="0" borderId="0" xfId="1" applyNumberFormat="1" applyFont="1"/>
    <xf numFmtId="16" fontId="0" fillId="0" borderId="0" xfId="0" applyNumberFormat="1"/>
    <xf numFmtId="14" fontId="0" fillId="0" borderId="0" xfId="0" applyNumberFormat="1"/>
    <xf numFmtId="10" fontId="0" fillId="10" borderId="0" xfId="1" applyNumberFormat="1" applyFont="1" applyFill="1"/>
    <xf numFmtId="17" fontId="0" fillId="0" borderId="0" xfId="0" applyNumberFormat="1"/>
    <xf numFmtId="0" fontId="9" fillId="0" borderId="0" xfId="0" applyFont="1" applyAlignment="1">
      <alignment horizontal="left" vertical="center"/>
    </xf>
    <xf numFmtId="4" fontId="0" fillId="0" borderId="0" xfId="0" applyNumberFormat="1"/>
    <xf numFmtId="43" fontId="0" fillId="7" borderId="3" xfId="0" applyNumberFormat="1" applyFill="1" applyBorder="1" applyAlignment="1">
      <alignment horizontal="center"/>
    </xf>
    <xf numFmtId="16" fontId="0" fillId="9" borderId="0" xfId="0" applyNumberFormat="1" applyFill="1"/>
    <xf numFmtId="43" fontId="0" fillId="9" borderId="0" xfId="2" applyFont="1" applyFill="1"/>
    <xf numFmtId="10" fontId="0" fillId="9" borderId="0" xfId="1" applyNumberFormat="1" applyFont="1" applyFill="1"/>
    <xf numFmtId="43" fontId="0" fillId="9" borderId="0" xfId="0" applyNumberFormat="1" applyFill="1"/>
    <xf numFmtId="0" fontId="0" fillId="0" borderId="0" xfId="0" applyAlignment="1">
      <alignment wrapText="1"/>
    </xf>
    <xf numFmtId="0" fontId="0" fillId="9" borderId="3" xfId="0" applyFill="1" applyBorder="1"/>
    <xf numFmtId="0" fontId="0" fillId="0" borderId="3" xfId="0" applyBorder="1"/>
    <xf numFmtId="17" fontId="0" fillId="0" borderId="3" xfId="0" applyNumberFormat="1" applyBorder="1"/>
    <xf numFmtId="17" fontId="0" fillId="9" borderId="3" xfId="0" applyNumberFormat="1" applyFill="1" applyBorder="1"/>
    <xf numFmtId="43" fontId="0" fillId="0" borderId="0" xfId="2" applyFont="1" applyAlignment="1">
      <alignment wrapText="1"/>
    </xf>
    <xf numFmtId="9" fontId="0" fillId="0" borderId="0" xfId="0" applyNumberFormat="1" applyAlignment="1">
      <alignment wrapText="1"/>
    </xf>
    <xf numFmtId="10" fontId="0" fillId="0" borderId="0" xfId="1" applyNumberFormat="1" applyFont="1" applyAlignment="1">
      <alignment wrapText="1"/>
    </xf>
    <xf numFmtId="3" fontId="0" fillId="9" borderId="0" xfId="0" applyNumberFormat="1" applyFill="1" applyAlignment="1">
      <alignment wrapText="1"/>
    </xf>
    <xf numFmtId="0" fontId="0" fillId="9" borderId="0" xfId="0" applyFill="1" applyAlignment="1">
      <alignment wrapText="1"/>
    </xf>
    <xf numFmtId="164" fontId="10" fillId="2" borderId="2" xfId="0" applyNumberFormat="1" applyFont="1" applyFill="1" applyBorder="1" applyProtection="1">
      <protection locked="0"/>
    </xf>
    <xf numFmtId="166" fontId="0" fillId="9" borderId="0" xfId="0" applyNumberFormat="1" applyFill="1"/>
    <xf numFmtId="15" fontId="0" fillId="6" borderId="3" xfId="0" applyNumberFormat="1" applyFill="1" applyBorder="1"/>
    <xf numFmtId="43" fontId="0" fillId="5" borderId="3" xfId="0" applyNumberFormat="1" applyFill="1" applyBorder="1"/>
    <xf numFmtId="0" fontId="0" fillId="0" borderId="3" xfId="0" applyFill="1" applyBorder="1"/>
    <xf numFmtId="0" fontId="0" fillId="11" borderId="3" xfId="0" applyFill="1" applyBorder="1"/>
    <xf numFmtId="9" fontId="0" fillId="5" borderId="3" xfId="2" applyNumberFormat="1" applyFont="1" applyFill="1" applyBorder="1"/>
    <xf numFmtId="10" fontId="0" fillId="5" borderId="3" xfId="0" applyNumberFormat="1" applyFill="1" applyBorder="1"/>
    <xf numFmtId="0" fontId="0" fillId="0" borderId="0" xfId="0" applyFill="1"/>
    <xf numFmtId="167" fontId="0" fillId="0" borderId="0" xfId="1" applyNumberFormat="1" applyFont="1"/>
    <xf numFmtId="0" fontId="0" fillId="0" borderId="0" xfId="0" applyNumberFormat="1"/>
    <xf numFmtId="9" fontId="0" fillId="0" borderId="3" xfId="0" applyNumberFormat="1" applyFill="1" applyBorder="1"/>
    <xf numFmtId="15" fontId="0" fillId="0" borderId="3" xfId="0" applyNumberFormat="1" applyFill="1" applyBorder="1"/>
    <xf numFmtId="43" fontId="0" fillId="0" borderId="3" xfId="2" applyFont="1" applyFill="1" applyBorder="1"/>
    <xf numFmtId="10" fontId="0" fillId="12" borderId="3" xfId="0" applyNumberFormat="1" applyFill="1" applyBorder="1"/>
    <xf numFmtId="43" fontId="0" fillId="0" borderId="7" xfId="2" applyFont="1" applyBorder="1"/>
    <xf numFmtId="43" fontId="0" fillId="0" borderId="8" xfId="2" applyFont="1" applyBorder="1"/>
    <xf numFmtId="43" fontId="11" fillId="14" borderId="3" xfId="2" applyFont="1" applyFill="1" applyBorder="1" applyAlignment="1">
      <alignment vertical="center" wrapText="1"/>
    </xf>
    <xf numFmtId="10" fontId="11" fillId="14" borderId="3" xfId="1" applyNumberFormat="1" applyFont="1" applyFill="1" applyBorder="1" applyAlignment="1">
      <alignment wrapText="1"/>
    </xf>
    <xf numFmtId="0" fontId="0" fillId="0" borderId="0" xfId="0" applyFill="1" applyBorder="1"/>
    <xf numFmtId="15" fontId="0" fillId="0" borderId="0" xfId="0" applyNumberFormat="1" applyFill="1"/>
    <xf numFmtId="10" fontId="0" fillId="0" borderId="0" xfId="1" applyNumberFormat="1" applyFont="1" applyFill="1"/>
    <xf numFmtId="0" fontId="0" fillId="15" borderId="3" xfId="0" applyFill="1" applyBorder="1" applyAlignment="1">
      <alignment horizontal="center" vertical="center"/>
    </xf>
    <xf numFmtId="0" fontId="0" fillId="15" borderId="3" xfId="0" applyFill="1" applyBorder="1" applyAlignment="1">
      <alignment horizontal="center" vertical="center" wrapText="1"/>
    </xf>
    <xf numFmtId="43" fontId="0" fillId="15" borderId="3" xfId="2" applyFont="1" applyFill="1" applyBorder="1" applyAlignment="1">
      <alignment horizontal="center" vertical="center" wrapText="1"/>
    </xf>
    <xf numFmtId="164" fontId="10" fillId="2" borderId="0" xfId="0" applyNumberFormat="1" applyFont="1" applyFill="1" applyBorder="1" applyProtection="1">
      <protection locked="0"/>
    </xf>
    <xf numFmtId="164" fontId="3" fillId="2" borderId="0" xfId="0" applyNumberFormat="1" applyFont="1" applyFill="1" applyBorder="1" applyProtection="1">
      <protection locked="0"/>
    </xf>
    <xf numFmtId="168" fontId="2" fillId="2" borderId="1" xfId="0" applyNumberFormat="1" applyFont="1" applyFill="1" applyBorder="1" applyAlignment="1" applyProtection="1">
      <alignment horizontal="left"/>
      <protection locked="0"/>
    </xf>
    <xf numFmtId="0" fontId="0" fillId="0" borderId="12" xfId="0" applyBorder="1"/>
    <xf numFmtId="0" fontId="0" fillId="0" borderId="14" xfId="0" applyBorder="1"/>
    <xf numFmtId="0" fontId="0" fillId="0" borderId="17" xfId="0" applyBorder="1"/>
    <xf numFmtId="0" fontId="0" fillId="0" borderId="3"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10" fontId="0" fillId="0" borderId="13" xfId="0" applyNumberFormat="1" applyBorder="1" applyAlignment="1">
      <alignment horizontal="center" vertical="center"/>
    </xf>
    <xf numFmtId="10" fontId="0" fillId="0" borderId="16" xfId="0" applyNumberFormat="1" applyBorder="1" applyAlignment="1">
      <alignment horizontal="center" vertical="center"/>
    </xf>
    <xf numFmtId="0" fontId="0" fillId="9" borderId="9" xfId="0" applyFill="1" applyBorder="1"/>
    <xf numFmtId="0" fontId="0" fillId="9" borderId="10" xfId="0" applyFill="1" applyBorder="1" applyAlignment="1">
      <alignment horizontal="center" vertical="center"/>
    </xf>
    <xf numFmtId="0" fontId="0" fillId="9" borderId="11" xfId="0" applyFill="1" applyBorder="1" applyAlignment="1">
      <alignment horizontal="center" vertical="center"/>
    </xf>
    <xf numFmtId="10" fontId="0" fillId="0" borderId="3" xfId="1" applyNumberFormat="1" applyFont="1" applyBorder="1" applyAlignment="1">
      <alignment horizontal="center" vertical="center" wrapText="1"/>
    </xf>
    <xf numFmtId="0" fontId="0" fillId="0" borderId="12" xfId="0" applyBorder="1" applyAlignment="1">
      <alignment horizontal="center" vertical="center"/>
    </xf>
    <xf numFmtId="0" fontId="0" fillId="0" borderId="14" xfId="0" applyBorder="1" applyAlignment="1">
      <alignment horizontal="center" vertical="center"/>
    </xf>
    <xf numFmtId="10" fontId="0" fillId="0" borderId="15" xfId="1" applyNumberFormat="1" applyFont="1" applyBorder="1" applyAlignment="1">
      <alignment horizontal="center" vertical="center" wrapText="1"/>
    </xf>
    <xf numFmtId="10" fontId="0" fillId="0" borderId="16" xfId="0" applyNumberFormat="1" applyBorder="1" applyAlignment="1">
      <alignment horizontal="center" vertical="center" wrapText="1"/>
    </xf>
    <xf numFmtId="167" fontId="7" fillId="8" borderId="3" xfId="1" applyNumberFormat="1" applyFont="1" applyFill="1" applyBorder="1"/>
    <xf numFmtId="10" fontId="0" fillId="5" borderId="0" xfId="1" applyNumberFormat="1" applyFont="1" applyFill="1"/>
    <xf numFmtId="167" fontId="0" fillId="5" borderId="0" xfId="1" applyNumberFormat="1" applyFont="1" applyFill="1"/>
    <xf numFmtId="15" fontId="7" fillId="5" borderId="0" xfId="0" applyNumberFormat="1" applyFont="1" applyFill="1" applyBorder="1"/>
    <xf numFmtId="9" fontId="7" fillId="5" borderId="0" xfId="0" applyNumberFormat="1" applyFont="1" applyFill="1" applyBorder="1"/>
    <xf numFmtId="10" fontId="7" fillId="5" borderId="0" xfId="0" applyNumberFormat="1" applyFont="1" applyFill="1" applyBorder="1"/>
    <xf numFmtId="169" fontId="0" fillId="5" borderId="6" xfId="0" applyNumberFormat="1" applyFill="1" applyBorder="1"/>
    <xf numFmtId="169" fontId="0" fillId="5" borderId="3" xfId="0" applyNumberFormat="1" applyFill="1" applyBorder="1"/>
    <xf numFmtId="168" fontId="2" fillId="0" borderId="3" xfId="0" applyNumberFormat="1" applyFont="1" applyFill="1" applyBorder="1" applyAlignment="1" applyProtection="1">
      <alignment horizontal="left"/>
      <protection locked="0"/>
    </xf>
    <xf numFmtId="15" fontId="0" fillId="5" borderId="0" xfId="0" applyNumberFormat="1" applyFill="1"/>
    <xf numFmtId="170" fontId="0" fillId="5" borderId="0" xfId="0" applyNumberFormat="1" applyFill="1"/>
    <xf numFmtId="168" fontId="12" fillId="0" borderId="3" xfId="0" applyNumberFormat="1" applyFont="1" applyFill="1" applyBorder="1" applyAlignment="1" applyProtection="1">
      <alignment horizontal="left"/>
      <protection locked="0"/>
    </xf>
    <xf numFmtId="169" fontId="0" fillId="5" borderId="0" xfId="2" applyNumberFormat="1" applyFont="1" applyFill="1"/>
    <xf numFmtId="169" fontId="0" fillId="5" borderId="0" xfId="0" applyNumberFormat="1" applyFill="1"/>
    <xf numFmtId="169" fontId="0" fillId="0" borderId="3" xfId="2" applyNumberFormat="1" applyFont="1" applyFill="1" applyBorder="1"/>
    <xf numFmtId="0" fontId="0" fillId="0" borderId="0" xfId="2" applyNumberFormat="1" applyFont="1"/>
    <xf numFmtId="0" fontId="0" fillId="5" borderId="0" xfId="0" applyFill="1" applyAlignment="1">
      <alignment horizontal="center" vertical="center"/>
    </xf>
    <xf numFmtId="0" fontId="0" fillId="5" borderId="3" xfId="0" applyFill="1" applyBorder="1" applyAlignment="1">
      <alignment horizontal="center" vertical="center"/>
    </xf>
    <xf numFmtId="0" fontId="7" fillId="5" borderId="3" xfId="0" applyFont="1" applyFill="1" applyBorder="1" applyAlignment="1">
      <alignment horizontal="center" vertical="center"/>
    </xf>
    <xf numFmtId="15" fontId="0" fillId="5" borderId="3" xfId="0" applyNumberFormat="1" applyFill="1" applyBorder="1" applyAlignment="1">
      <alignment horizontal="center" vertical="center"/>
    </xf>
    <xf numFmtId="0" fontId="7" fillId="6" borderId="3" xfId="0" applyFont="1" applyFill="1" applyBorder="1" applyAlignment="1">
      <alignment horizontal="center" vertical="center"/>
    </xf>
    <xf numFmtId="43" fontId="0" fillId="16" borderId="3" xfId="2" applyFont="1" applyFill="1" applyBorder="1"/>
    <xf numFmtId="10" fontId="0" fillId="5" borderId="3" xfId="1" applyNumberFormat="1" applyFont="1" applyFill="1" applyBorder="1" applyAlignment="1">
      <alignment horizontal="center" vertical="center"/>
    </xf>
    <xf numFmtId="10" fontId="7" fillId="5" borderId="0" xfId="1" applyNumberFormat="1" applyFont="1" applyFill="1" applyBorder="1"/>
    <xf numFmtId="10" fontId="0" fillId="17" borderId="3" xfId="1" applyNumberFormat="1" applyFont="1" applyFill="1" applyBorder="1"/>
    <xf numFmtId="14" fontId="0" fillId="5" borderId="3" xfId="0" applyNumberFormat="1" applyFill="1" applyBorder="1"/>
    <xf numFmtId="4" fontId="0" fillId="0" borderId="3" xfId="0" applyNumberFormat="1" applyBorder="1" applyAlignment="1">
      <alignment horizontal="center" vertical="center"/>
    </xf>
    <xf numFmtId="4" fontId="0" fillId="0" borderId="13" xfId="0" applyNumberFormat="1" applyBorder="1" applyAlignment="1">
      <alignment horizontal="center" vertical="center"/>
    </xf>
    <xf numFmtId="4" fontId="0" fillId="0" borderId="15" xfId="0" applyNumberFormat="1" applyBorder="1" applyAlignment="1">
      <alignment horizontal="center" vertical="center"/>
    </xf>
    <xf numFmtId="4" fontId="0" fillId="0" borderId="16" xfId="0" applyNumberFormat="1" applyBorder="1" applyAlignment="1">
      <alignment horizontal="center" vertical="center"/>
    </xf>
    <xf numFmtId="171" fontId="2" fillId="0" borderId="3" xfId="2" applyNumberFormat="1" applyFont="1" applyFill="1" applyBorder="1" applyAlignment="1" applyProtection="1">
      <alignment horizontal="left"/>
      <protection locked="0"/>
    </xf>
    <xf numFmtId="43" fontId="0" fillId="0" borderId="0" xfId="0" applyNumberFormat="1"/>
    <xf numFmtId="0" fontId="0" fillId="6" borderId="3" xfId="0" applyFill="1" applyBorder="1" applyAlignment="1">
      <alignment horizontal="center" vertical="center"/>
    </xf>
    <xf numFmtId="43" fontId="0" fillId="13" borderId="0" xfId="2" applyFont="1" applyFill="1"/>
    <xf numFmtId="43" fontId="0" fillId="19" borderId="0" xfId="2" applyFont="1" applyFill="1"/>
    <xf numFmtId="43" fontId="0" fillId="18" borderId="0" xfId="2" applyFont="1" applyFill="1"/>
    <xf numFmtId="169" fontId="0" fillId="13" borderId="0" xfId="2" applyNumberFormat="1" applyFont="1" applyFill="1"/>
    <xf numFmtId="43" fontId="0" fillId="0" borderId="0" xfId="2" applyFont="1" applyFill="1"/>
    <xf numFmtId="167" fontId="0" fillId="5" borderId="0" xfId="0" applyNumberFormat="1" applyFill="1"/>
    <xf numFmtId="0" fontId="0" fillId="5" borderId="3" xfId="0" applyFill="1" applyBorder="1" applyAlignment="1">
      <alignment horizontal="center"/>
    </xf>
    <xf numFmtId="172" fontId="0" fillId="6" borderId="3" xfId="0" applyNumberFormat="1" applyFill="1" applyBorder="1" applyAlignment="1">
      <alignment horizontal="center"/>
    </xf>
    <xf numFmtId="167" fontId="0" fillId="6" borderId="3" xfId="0" applyNumberFormat="1" applyFill="1" applyBorder="1" applyAlignment="1">
      <alignment horizontal="center"/>
    </xf>
    <xf numFmtId="0" fontId="0" fillId="5" borderId="0" xfId="0" applyFill="1" applyAlignment="1">
      <alignment horizontal="center"/>
    </xf>
    <xf numFmtId="0" fontId="0" fillId="20" borderId="3" xfId="0" applyFill="1" applyBorder="1" applyAlignment="1">
      <alignment horizontal="center"/>
    </xf>
    <xf numFmtId="14" fontId="0" fillId="5" borderId="3" xfId="0" applyNumberFormat="1" applyFill="1" applyBorder="1" applyAlignment="1">
      <alignment horizontal="center" vertical="center"/>
    </xf>
    <xf numFmtId="169" fontId="0" fillId="0" borderId="0" xfId="0" applyNumberFormat="1"/>
    <xf numFmtId="0" fontId="0" fillId="6" borderId="3" xfId="0" applyFill="1" applyBorder="1" applyAlignment="1">
      <alignment horizontal="center" vertical="center"/>
    </xf>
    <xf numFmtId="10" fontId="0" fillId="0" borderId="3" xfId="0" applyNumberFormat="1" applyBorder="1"/>
    <xf numFmtId="43" fontId="0" fillId="0" borderId="3" xfId="2" applyFont="1" applyBorder="1"/>
    <xf numFmtId="167" fontId="0" fillId="0" borderId="3" xfId="1" applyNumberFormat="1" applyFont="1" applyBorder="1"/>
    <xf numFmtId="0" fontId="11" fillId="0" borderId="3" xfId="0" applyFont="1" applyBorder="1"/>
    <xf numFmtId="43" fontId="13" fillId="13" borderId="3" xfId="0" applyNumberFormat="1" applyFont="1" applyFill="1" applyBorder="1"/>
    <xf numFmtId="43" fontId="0" fillId="6" borderId="3" xfId="2" applyFont="1" applyFill="1" applyBorder="1" applyAlignment="1">
      <alignment horizontal="center" vertical="center"/>
    </xf>
    <xf numFmtId="0" fontId="0" fillId="9" borderId="0" xfId="0" applyFill="1" applyBorder="1"/>
    <xf numFmtId="173" fontId="0" fillId="5" borderId="0" xfId="0" applyNumberFormat="1" applyFill="1"/>
    <xf numFmtId="15" fontId="0" fillId="13" borderId="0" xfId="0" applyNumberFormat="1" applyFill="1"/>
    <xf numFmtId="43" fontId="0" fillId="5" borderId="0" xfId="2" applyFont="1" applyFill="1"/>
    <xf numFmtId="43" fontId="0" fillId="5" borderId="3" xfId="2" applyNumberFormat="1" applyFont="1" applyFill="1" applyBorder="1" applyAlignment="1">
      <alignment horizontal="center" vertical="center"/>
    </xf>
    <xf numFmtId="43" fontId="0" fillId="5" borderId="3" xfId="2" applyNumberFormat="1" applyFont="1" applyFill="1" applyBorder="1" applyAlignment="1">
      <alignment horizontal="center"/>
    </xf>
    <xf numFmtId="9" fontId="0" fillId="0" borderId="0" xfId="2" applyNumberFormat="1" applyFont="1"/>
    <xf numFmtId="0" fontId="0" fillId="6" borderId="3" xfId="0" applyFill="1" applyBorder="1" applyAlignment="1">
      <alignment horizontal="center" vertical="center"/>
    </xf>
    <xf numFmtId="2" fontId="0" fillId="5" borderId="3" xfId="0" applyNumberFormat="1" applyFill="1" applyBorder="1" applyAlignment="1">
      <alignment horizontal="center" vertical="center"/>
    </xf>
    <xf numFmtId="0" fontId="0" fillId="6" borderId="3" xfId="0" applyFill="1" applyBorder="1" applyAlignment="1">
      <alignment horizontal="center" vertical="center" wrapText="1"/>
    </xf>
    <xf numFmtId="2" fontId="0" fillId="5" borderId="3" xfId="1" applyNumberFormat="1" applyFont="1" applyFill="1" applyBorder="1" applyAlignment="1">
      <alignment horizontal="center" vertical="center"/>
    </xf>
    <xf numFmtId="4" fontId="0" fillId="0" borderId="3" xfId="0" applyNumberFormat="1" applyBorder="1"/>
    <xf numFmtId="174" fontId="0" fillId="16" borderId="3" xfId="2" applyNumberFormat="1" applyFont="1" applyFill="1" applyBorder="1"/>
    <xf numFmtId="174" fontId="0" fillId="6" borderId="3" xfId="2" applyNumberFormat="1" applyFont="1" applyFill="1" applyBorder="1"/>
    <xf numFmtId="43" fontId="0" fillId="6" borderId="3" xfId="2" applyFont="1" applyFill="1" applyBorder="1" applyAlignment="1">
      <alignment horizontal="center"/>
    </xf>
    <xf numFmtId="10" fontId="0" fillId="6" borderId="3" xfId="1" applyNumberFormat="1" applyFont="1" applyFill="1" applyBorder="1"/>
    <xf numFmtId="0" fontId="0" fillId="6" borderId="3" xfId="0" applyFill="1" applyBorder="1" applyAlignment="1">
      <alignment horizontal="center" vertical="center"/>
    </xf>
    <xf numFmtId="14" fontId="0" fillId="0" borderId="3" xfId="0" applyNumberFormat="1" applyBorder="1"/>
    <xf numFmtId="0" fontId="0" fillId="6" borderId="3" xfId="0" applyFill="1" applyBorder="1" applyAlignment="1">
      <alignment horizontal="center" vertical="center"/>
    </xf>
    <xf numFmtId="43" fontId="7" fillId="8" borderId="3" xfId="2" applyFont="1" applyFill="1" applyBorder="1" applyAlignment="1">
      <alignment horizontal="center" vertical="center"/>
    </xf>
    <xf numFmtId="0" fontId="0" fillId="6" borderId="6" xfId="0" applyFill="1" applyBorder="1" applyAlignment="1">
      <alignment horizontal="center" vertical="center"/>
    </xf>
    <xf numFmtId="43" fontId="7" fillId="8" borderId="6" xfId="2" applyFont="1" applyFill="1" applyBorder="1" applyAlignment="1">
      <alignment horizontal="center" vertical="center"/>
    </xf>
    <xf numFmtId="0" fontId="0" fillId="6" borderId="3" xfId="0" applyFill="1" applyBorder="1" applyAlignment="1">
      <alignment horizontal="center" vertical="center"/>
    </xf>
    <xf numFmtId="43" fontId="0" fillId="6" borderId="0" xfId="2" applyFont="1" applyFill="1" applyBorder="1" applyAlignment="1">
      <alignment horizontal="center" vertical="center"/>
    </xf>
    <xf numFmtId="174" fontId="0" fillId="5" borderId="0" xfId="0" applyNumberFormat="1" applyFill="1"/>
    <xf numFmtId="43" fontId="0" fillId="5" borderId="3" xfId="1" applyNumberFormat="1" applyFont="1" applyFill="1" applyBorder="1" applyAlignment="1">
      <alignment horizontal="center" vertical="center"/>
    </xf>
    <xf numFmtId="0" fontId="0" fillId="0" borderId="0" xfId="0" applyAlignment="1"/>
    <xf numFmtId="43" fontId="7" fillId="8" borderId="4" xfId="2" applyFont="1" applyFill="1" applyBorder="1" applyAlignment="1">
      <alignment horizontal="center" vertical="center"/>
    </xf>
    <xf numFmtId="43" fontId="0" fillId="5" borderId="3" xfId="2" applyFont="1" applyFill="1" applyBorder="1" applyAlignment="1">
      <alignment horizontal="center" vertical="center"/>
    </xf>
    <xf numFmtId="0" fontId="0" fillId="0" borderId="0" xfId="0" pivotButton="1"/>
    <xf numFmtId="43" fontId="0" fillId="5" borderId="3" xfId="2" applyFont="1" applyFill="1" applyBorder="1"/>
    <xf numFmtId="0" fontId="0" fillId="6" borderId="3" xfId="0" applyFill="1" applyBorder="1" applyAlignment="1">
      <alignment horizontal="center"/>
    </xf>
    <xf numFmtId="43" fontId="7" fillId="8" borderId="3" xfId="2" applyFont="1" applyFill="1" applyBorder="1" applyAlignment="1">
      <alignment horizontal="center" vertical="center"/>
    </xf>
    <xf numFmtId="0" fontId="0" fillId="6" borderId="3" xfId="0" applyFill="1" applyBorder="1" applyAlignment="1">
      <alignment horizontal="center" vertical="center"/>
    </xf>
    <xf numFmtId="14" fontId="0" fillId="0" borderId="3" xfId="0" applyNumberFormat="1" applyBorder="1" applyAlignment="1">
      <alignment horizontal="center" vertical="center" wrapText="1"/>
    </xf>
    <xf numFmtId="0" fontId="0" fillId="0" borderId="3" xfId="0" applyBorder="1" applyAlignment="1">
      <alignment horizontal="center" vertical="center" wrapText="1"/>
    </xf>
    <xf numFmtId="0" fontId="0" fillId="0" borderId="3" xfId="0" applyBorder="1" applyAlignment="1">
      <alignment horizontal="center"/>
    </xf>
    <xf numFmtId="3" fontId="0" fillId="0" borderId="0" xfId="0" applyNumberFormat="1"/>
    <xf numFmtId="43" fontId="7" fillId="8" borderId="4" xfId="2" applyFont="1" applyFill="1" applyBorder="1" applyAlignment="1">
      <alignment horizontal="center" vertical="center"/>
    </xf>
    <xf numFmtId="0" fontId="0" fillId="6" borderId="3" xfId="0" applyFill="1" applyBorder="1" applyAlignment="1">
      <alignment horizontal="center" vertical="center"/>
    </xf>
    <xf numFmtId="0" fontId="0" fillId="6" borderId="4" xfId="0" applyFill="1" applyBorder="1" applyAlignment="1">
      <alignment horizontal="center" vertical="center"/>
    </xf>
    <xf numFmtId="0" fontId="0" fillId="6" borderId="6" xfId="0" applyFill="1" applyBorder="1" applyAlignment="1">
      <alignment horizontal="center" vertical="center"/>
    </xf>
    <xf numFmtId="43" fontId="7" fillId="8" borderId="4" xfId="2" applyFont="1" applyFill="1" applyBorder="1" applyAlignment="1">
      <alignment horizontal="center"/>
    </xf>
    <xf numFmtId="43" fontId="7" fillId="8" borderId="6" xfId="2" applyFont="1" applyFill="1" applyBorder="1" applyAlignment="1">
      <alignment horizontal="center"/>
    </xf>
    <xf numFmtId="43" fontId="7" fillId="8" borderId="4" xfId="2" applyFont="1" applyFill="1" applyBorder="1" applyAlignment="1">
      <alignment horizontal="center" vertical="center"/>
    </xf>
    <xf numFmtId="43" fontId="7" fillId="8" borderId="6" xfId="2" applyFont="1" applyFill="1" applyBorder="1" applyAlignment="1">
      <alignment horizontal="center" vertical="center"/>
    </xf>
    <xf numFmtId="0" fontId="0" fillId="6" borderId="3" xfId="0" applyFill="1" applyBorder="1" applyAlignment="1">
      <alignment horizontal="center" vertical="center"/>
    </xf>
    <xf numFmtId="43" fontId="7" fillId="8" borderId="3" xfId="2" applyFont="1" applyFill="1" applyBorder="1" applyAlignment="1">
      <alignment horizontal="center"/>
    </xf>
    <xf numFmtId="0" fontId="0" fillId="9" borderId="4" xfId="0" applyFill="1" applyBorder="1" applyAlignment="1">
      <alignment horizontal="center"/>
    </xf>
    <xf numFmtId="0" fontId="0" fillId="9" borderId="5" xfId="0" applyFill="1" applyBorder="1" applyAlignment="1">
      <alignment horizontal="center"/>
    </xf>
    <xf numFmtId="0" fontId="0" fillId="9" borderId="6" xfId="0" applyFill="1" applyBorder="1" applyAlignment="1">
      <alignment horizontal="center"/>
    </xf>
    <xf numFmtId="14" fontId="0" fillId="0" borderId="3" xfId="0" applyNumberFormat="1" applyBorder="1" applyAlignment="1">
      <alignment horizontal="center"/>
    </xf>
    <xf numFmtId="0" fontId="0" fillId="0" borderId="3" xfId="0" applyBorder="1" applyAlignment="1">
      <alignment horizontal="center"/>
    </xf>
    <xf numFmtId="14" fontId="0" fillId="0" borderId="4" xfId="0" applyNumberFormat="1" applyBorder="1" applyAlignment="1">
      <alignment horizontal="center"/>
    </xf>
    <xf numFmtId="14" fontId="0" fillId="0" borderId="5" xfId="0" applyNumberFormat="1" applyBorder="1" applyAlignment="1">
      <alignment horizontal="center"/>
    </xf>
    <xf numFmtId="14" fontId="0" fillId="0" borderId="6" xfId="0" applyNumberFormat="1" applyBorder="1" applyAlignment="1">
      <alignment horizontal="center"/>
    </xf>
  </cellXfs>
  <cellStyles count="3">
    <cellStyle name="Comma" xfId="2" builtinId="3"/>
    <cellStyle name="Normal" xfId="0" builtinId="0"/>
    <cellStyle name="Percent" xfId="1" builtinId="5"/>
  </cellStyles>
  <dxfs count="25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ont>
        <color rgb="FF006100"/>
      </font>
      <fill>
        <patternFill>
          <bgColor rgb="FFC6EFCE"/>
        </patternFill>
      </fill>
    </dxf>
    <dxf>
      <fill>
        <patternFill>
          <bgColor theme="0" tint="-4.9989318521683403E-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font>
        <color rgb="FF006100"/>
      </font>
      <fill>
        <patternFill>
          <bgColor rgb="FFC6EFCE"/>
        </patternFill>
      </fill>
    </dxf>
    <dxf>
      <font>
        <color rgb="FF9C0006"/>
      </font>
      <fill>
        <patternFill>
          <bgColor rgb="FFFFC7CE"/>
        </patternFill>
      </fill>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font>
        <color rgb="FF006100"/>
      </font>
      <fill>
        <patternFill>
          <bgColor rgb="FFC6EFCE"/>
        </patternFill>
      </fill>
    </dxf>
    <dxf>
      <font>
        <color rgb="FF9C0006"/>
      </font>
      <fill>
        <patternFill>
          <bgColor rgb="FFFFC7CE"/>
        </patternFill>
      </fill>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
      <numFmt numFmtId="175" formatCode="[Blue][&gt;9999999]##\,##\,##\,##0.00;[Blue][&gt;99999]##\,##\,##0.00;[Blue]##,##0.00"/>
    </dxf>
    <dxf>
      <numFmt numFmtId="176" formatCode="[Red][&lt;-9999999]\-##\,##\,##\,##0.00;[Red][&lt;-99999]\-##\,##\,##0.00;[Red]##,##0.00"/>
    </dxf>
  </dxfs>
  <tableStyles count="0" defaultTableStyle="TableStyleMedium2" defaultPivotStyle="PivotStyleLight16"/>
  <colors>
    <mruColors>
      <color rgb="FF66FFFF"/>
      <color rgb="FFFFFF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'Iron ButterflyCondor Analysis'!$BA$8</c:f>
              <c:strCache>
                <c:ptCount val="1"/>
                <c:pt idx="0">
                  <c:v>Payoff</c:v>
                </c:pt>
              </c:strCache>
            </c:strRef>
          </c:tx>
          <c:spPr>
            <a:ln w="28575" cap="rnd">
              <a:solidFill>
                <a:schemeClr val="accent1"/>
              </a:solidFill>
              <a:round/>
            </a:ln>
            <a:effectLst/>
          </c:spPr>
          <c:marker>
            <c:symbol val="none"/>
          </c:marker>
          <c:cat>
            <c:numRef>
              <c:f>'Iron ButterflyCondor Analysis'!$AZ$9:$AZ$54</c:f>
              <c:numCache>
                <c:formatCode>_ * #,##0_ ;_ * \-#,##0_ ;_ * "-"??_ ;_ @_ </c:formatCode>
                <c:ptCount val="46"/>
                <c:pt idx="0">
                  <c:v>15685.714285714286</c:v>
                </c:pt>
                <c:pt idx="1">
                  <c:v>15785.714285714286</c:v>
                </c:pt>
                <c:pt idx="2">
                  <c:v>15885.714285714286</c:v>
                </c:pt>
                <c:pt idx="3">
                  <c:v>15985.714285714286</c:v>
                </c:pt>
                <c:pt idx="4">
                  <c:v>16085.714285714286</c:v>
                </c:pt>
                <c:pt idx="5">
                  <c:v>16185.714285714286</c:v>
                </c:pt>
                <c:pt idx="6">
                  <c:v>16285.714285714286</c:v>
                </c:pt>
                <c:pt idx="7">
                  <c:v>16385.714285714286</c:v>
                </c:pt>
                <c:pt idx="8">
                  <c:v>16485.714285714286</c:v>
                </c:pt>
                <c:pt idx="9">
                  <c:v>16585.714285714286</c:v>
                </c:pt>
                <c:pt idx="10">
                  <c:v>16685.714285714286</c:v>
                </c:pt>
                <c:pt idx="11">
                  <c:v>16785.714285714286</c:v>
                </c:pt>
                <c:pt idx="12">
                  <c:v>16885.714285714286</c:v>
                </c:pt>
                <c:pt idx="13">
                  <c:v>16985.714285714286</c:v>
                </c:pt>
                <c:pt idx="14">
                  <c:v>17085.714285714286</c:v>
                </c:pt>
                <c:pt idx="15">
                  <c:v>17185.714285714286</c:v>
                </c:pt>
                <c:pt idx="16">
                  <c:v>17285.714285714286</c:v>
                </c:pt>
                <c:pt idx="17">
                  <c:v>17385.714285714286</c:v>
                </c:pt>
                <c:pt idx="18">
                  <c:v>17485.714285714286</c:v>
                </c:pt>
                <c:pt idx="19">
                  <c:v>17585.714285714286</c:v>
                </c:pt>
                <c:pt idx="20">
                  <c:v>17685.714285714286</c:v>
                </c:pt>
                <c:pt idx="21">
                  <c:v>17785.714285714286</c:v>
                </c:pt>
                <c:pt idx="22">
                  <c:v>17885.714285714286</c:v>
                </c:pt>
                <c:pt idx="23">
                  <c:v>17985.714285714286</c:v>
                </c:pt>
                <c:pt idx="24">
                  <c:v>18085.714285714286</c:v>
                </c:pt>
                <c:pt idx="25">
                  <c:v>18185.714285714286</c:v>
                </c:pt>
                <c:pt idx="26">
                  <c:v>18285.714285714286</c:v>
                </c:pt>
                <c:pt idx="27">
                  <c:v>18385.714285714286</c:v>
                </c:pt>
                <c:pt idx="28">
                  <c:v>18485.714285714286</c:v>
                </c:pt>
                <c:pt idx="29">
                  <c:v>18585.714285714286</c:v>
                </c:pt>
                <c:pt idx="30">
                  <c:v>18685.714285714286</c:v>
                </c:pt>
                <c:pt idx="31">
                  <c:v>18785.714285714286</c:v>
                </c:pt>
                <c:pt idx="32">
                  <c:v>18885.714285714286</c:v>
                </c:pt>
                <c:pt idx="33">
                  <c:v>18985.714285714286</c:v>
                </c:pt>
                <c:pt idx="34">
                  <c:v>19085.714285714286</c:v>
                </c:pt>
                <c:pt idx="35">
                  <c:v>19185.714285714286</c:v>
                </c:pt>
                <c:pt idx="36">
                  <c:v>19285.714285714286</c:v>
                </c:pt>
                <c:pt idx="37">
                  <c:v>19385.714285714286</c:v>
                </c:pt>
                <c:pt idx="38">
                  <c:v>19485.714285714286</c:v>
                </c:pt>
                <c:pt idx="39">
                  <c:v>19585.714285714286</c:v>
                </c:pt>
                <c:pt idx="40">
                  <c:v>19685.714285714286</c:v>
                </c:pt>
                <c:pt idx="41">
                  <c:v>19785.714285714286</c:v>
                </c:pt>
                <c:pt idx="42">
                  <c:v>19885.714285714286</c:v>
                </c:pt>
                <c:pt idx="43">
                  <c:v>19985.714285714286</c:v>
                </c:pt>
                <c:pt idx="44">
                  <c:v>20085.714285714286</c:v>
                </c:pt>
                <c:pt idx="45">
                  <c:v>20185.714285714286</c:v>
                </c:pt>
              </c:numCache>
            </c:numRef>
          </c:cat>
          <c:val>
            <c:numRef>
              <c:f>'Iron ButterflyCondor Analysis'!$BA$9:$BA$54</c:f>
              <c:numCache>
                <c:formatCode>_(* #,##0.00_);_(* \(#,##0.00\);_(* "-"??_);_(@_)</c:formatCode>
                <c:ptCount val="46"/>
                <c:pt idx="0">
                  <c:v>-172114.28571428498</c:v>
                </c:pt>
                <c:pt idx="1">
                  <c:v>-27114.285714284983</c:v>
                </c:pt>
                <c:pt idx="2">
                  <c:v>53600.000000000357</c:v>
                </c:pt>
                <c:pt idx="3">
                  <c:v>123600.00000000036</c:v>
                </c:pt>
                <c:pt idx="4">
                  <c:v>129314.28571428568</c:v>
                </c:pt>
                <c:pt idx="5">
                  <c:v>124314.28571428568</c:v>
                </c:pt>
                <c:pt idx="6">
                  <c:v>119314.28571428568</c:v>
                </c:pt>
                <c:pt idx="7">
                  <c:v>114314.28571428568</c:v>
                </c:pt>
                <c:pt idx="8">
                  <c:v>109314.28571428568</c:v>
                </c:pt>
                <c:pt idx="9">
                  <c:v>104314.28571428568</c:v>
                </c:pt>
                <c:pt idx="10">
                  <c:v>99314.285714285681</c:v>
                </c:pt>
                <c:pt idx="11">
                  <c:v>94314.285714285681</c:v>
                </c:pt>
                <c:pt idx="12">
                  <c:v>89314.285714285681</c:v>
                </c:pt>
                <c:pt idx="13">
                  <c:v>84314.285714285681</c:v>
                </c:pt>
                <c:pt idx="14">
                  <c:v>79314.285714285681</c:v>
                </c:pt>
                <c:pt idx="15">
                  <c:v>74314.285714285681</c:v>
                </c:pt>
                <c:pt idx="16">
                  <c:v>69314.285714285681</c:v>
                </c:pt>
                <c:pt idx="17">
                  <c:v>64314.285714285688</c:v>
                </c:pt>
                <c:pt idx="18">
                  <c:v>59314.285714285688</c:v>
                </c:pt>
                <c:pt idx="19">
                  <c:v>58600</c:v>
                </c:pt>
                <c:pt idx="20">
                  <c:v>58600</c:v>
                </c:pt>
                <c:pt idx="21">
                  <c:v>58600</c:v>
                </c:pt>
                <c:pt idx="22">
                  <c:v>58600</c:v>
                </c:pt>
                <c:pt idx="23">
                  <c:v>58600</c:v>
                </c:pt>
                <c:pt idx="24">
                  <c:v>62885.714285714312</c:v>
                </c:pt>
                <c:pt idx="25">
                  <c:v>67885.714285714319</c:v>
                </c:pt>
                <c:pt idx="26">
                  <c:v>72885.714285714319</c:v>
                </c:pt>
                <c:pt idx="27">
                  <c:v>77885.714285714319</c:v>
                </c:pt>
                <c:pt idx="28">
                  <c:v>82885.714285714319</c:v>
                </c:pt>
                <c:pt idx="29">
                  <c:v>87885.714285714319</c:v>
                </c:pt>
                <c:pt idx="30">
                  <c:v>92885.714285714319</c:v>
                </c:pt>
                <c:pt idx="31">
                  <c:v>97885.714285714319</c:v>
                </c:pt>
                <c:pt idx="32">
                  <c:v>102885.71428571432</c:v>
                </c:pt>
                <c:pt idx="33">
                  <c:v>107885.71428571432</c:v>
                </c:pt>
                <c:pt idx="34">
                  <c:v>112885.71428571432</c:v>
                </c:pt>
                <c:pt idx="35">
                  <c:v>117885.71428571432</c:v>
                </c:pt>
                <c:pt idx="36">
                  <c:v>-5685.714285715032</c:v>
                </c:pt>
                <c:pt idx="37">
                  <c:v>-150685.71428571502</c:v>
                </c:pt>
                <c:pt idx="38">
                  <c:v>-295685.71428571502</c:v>
                </c:pt>
                <c:pt idx="39">
                  <c:v>-440685.71428571502</c:v>
                </c:pt>
                <c:pt idx="40">
                  <c:v>-585685.71428571502</c:v>
                </c:pt>
                <c:pt idx="41">
                  <c:v>-730685.71428571502</c:v>
                </c:pt>
                <c:pt idx="42">
                  <c:v>-875685.71428571502</c:v>
                </c:pt>
                <c:pt idx="43">
                  <c:v>-1020685.714285715</c:v>
                </c:pt>
                <c:pt idx="44">
                  <c:v>-1165685.714285715</c:v>
                </c:pt>
                <c:pt idx="45">
                  <c:v>-1310685.714285715</c:v>
                </c:pt>
              </c:numCache>
            </c:numRef>
          </c:val>
          <c:smooth val="0"/>
          <c:extLst>
            <c:ext xmlns:c16="http://schemas.microsoft.com/office/drawing/2014/chart" uri="{C3380CC4-5D6E-409C-BE32-E72D297353CC}">
              <c16:uniqueId val="{00000000-03E5-46EC-9BAD-09E3561DC31B}"/>
            </c:ext>
          </c:extLst>
        </c:ser>
        <c:dLbls>
          <c:showLegendKey val="0"/>
          <c:showVal val="0"/>
          <c:showCatName val="0"/>
          <c:showSerName val="0"/>
          <c:showPercent val="0"/>
          <c:showBubbleSize val="0"/>
        </c:dLbls>
        <c:smooth val="0"/>
        <c:axId val="2025625744"/>
        <c:axId val="2025630736"/>
      </c:lineChart>
      <c:catAx>
        <c:axId val="2025625744"/>
        <c:scaling>
          <c:orientation val="minMax"/>
        </c:scaling>
        <c:delete val="0"/>
        <c:axPos val="b"/>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spPr>
          <a:noFill/>
          <a:ln w="9525" cap="flat" cmpd="sng" algn="ctr">
            <a:solidFill>
              <a:srgbClr val="FF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630736"/>
        <c:crosses val="autoZero"/>
        <c:auto val="1"/>
        <c:lblAlgn val="ctr"/>
        <c:lblOffset val="0"/>
        <c:noMultiLvlLbl val="0"/>
      </c:catAx>
      <c:valAx>
        <c:axId val="20256307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625744"/>
        <c:crossesAt val="1"/>
        <c:crossBetween val="midCat"/>
        <c:majorUnit val="10000"/>
        <c:minorUnit val="5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Sheet1!$AC$8</c:f>
              <c:strCache>
                <c:ptCount val="1"/>
                <c:pt idx="0">
                  <c:v>Payoff</c:v>
                </c:pt>
              </c:strCache>
            </c:strRef>
          </c:tx>
          <c:spPr>
            <a:ln w="28575" cap="rnd">
              <a:solidFill>
                <a:schemeClr val="accent1"/>
              </a:solidFill>
              <a:round/>
            </a:ln>
            <a:effectLst/>
          </c:spPr>
          <c:marker>
            <c:symbol val="none"/>
          </c:marker>
          <c:cat>
            <c:numRef>
              <c:f>Sheet1!$AB$9:$AB$30</c:f>
              <c:numCache>
                <c:formatCode>General</c:formatCode>
                <c:ptCount val="22"/>
                <c:pt idx="0">
                  <c:v>350</c:v>
                </c:pt>
                <c:pt idx="1">
                  <c:v>355</c:v>
                </c:pt>
                <c:pt idx="2">
                  <c:v>360</c:v>
                </c:pt>
                <c:pt idx="3">
                  <c:v>365</c:v>
                </c:pt>
                <c:pt idx="4">
                  <c:v>370</c:v>
                </c:pt>
                <c:pt idx="5">
                  <c:v>375</c:v>
                </c:pt>
                <c:pt idx="6">
                  <c:v>380</c:v>
                </c:pt>
                <c:pt idx="7">
                  <c:v>385</c:v>
                </c:pt>
                <c:pt idx="8">
                  <c:v>390</c:v>
                </c:pt>
                <c:pt idx="9">
                  <c:v>395</c:v>
                </c:pt>
                <c:pt idx="10">
                  <c:v>400</c:v>
                </c:pt>
                <c:pt idx="11">
                  <c:v>405</c:v>
                </c:pt>
                <c:pt idx="12">
                  <c:v>410</c:v>
                </c:pt>
                <c:pt idx="13">
                  <c:v>415</c:v>
                </c:pt>
                <c:pt idx="14">
                  <c:v>420</c:v>
                </c:pt>
                <c:pt idx="15">
                  <c:v>425</c:v>
                </c:pt>
                <c:pt idx="16">
                  <c:v>430</c:v>
                </c:pt>
                <c:pt idx="17">
                  <c:v>435</c:v>
                </c:pt>
                <c:pt idx="18">
                  <c:v>440</c:v>
                </c:pt>
                <c:pt idx="19">
                  <c:v>445</c:v>
                </c:pt>
                <c:pt idx="20">
                  <c:v>450</c:v>
                </c:pt>
                <c:pt idx="21">
                  <c:v>455</c:v>
                </c:pt>
              </c:numCache>
            </c:numRef>
          </c:cat>
          <c:val>
            <c:numRef>
              <c:f>Sheet1!$AC$9:$AC$30</c:f>
              <c:numCache>
                <c:formatCode>_(* #,##0.00_);_(* \(#,##0.00\);_(* "-"??_);_(@_)</c:formatCode>
                <c:ptCount val="22"/>
                <c:pt idx="0">
                  <c:v>-51585.000000000058</c:v>
                </c:pt>
                <c:pt idx="1">
                  <c:v>-51585.000000000058</c:v>
                </c:pt>
                <c:pt idx="2">
                  <c:v>-51585.000000000058</c:v>
                </c:pt>
                <c:pt idx="3">
                  <c:v>-51585.000000000058</c:v>
                </c:pt>
                <c:pt idx="4">
                  <c:v>-51585.000000000051</c:v>
                </c:pt>
                <c:pt idx="5">
                  <c:v>-51585.000000000058</c:v>
                </c:pt>
                <c:pt idx="6">
                  <c:v>-51585.000000000058</c:v>
                </c:pt>
                <c:pt idx="7">
                  <c:v>-51585.000000000058</c:v>
                </c:pt>
                <c:pt idx="8">
                  <c:v>-51585.000000000058</c:v>
                </c:pt>
                <c:pt idx="9">
                  <c:v>-51585.000000000051</c:v>
                </c:pt>
                <c:pt idx="10">
                  <c:v>-51585.000000000051</c:v>
                </c:pt>
                <c:pt idx="11">
                  <c:v>-37335.000000000051</c:v>
                </c:pt>
                <c:pt idx="12">
                  <c:v>-23085.000000000051</c:v>
                </c:pt>
                <c:pt idx="13">
                  <c:v>-8835.0000000000509</c:v>
                </c:pt>
                <c:pt idx="14">
                  <c:v>5414.9999999999491</c:v>
                </c:pt>
                <c:pt idx="15">
                  <c:v>19664.999999999949</c:v>
                </c:pt>
                <c:pt idx="16">
                  <c:v>33914.999999999949</c:v>
                </c:pt>
                <c:pt idx="17">
                  <c:v>48164.999999999949</c:v>
                </c:pt>
                <c:pt idx="18">
                  <c:v>62414.999999999942</c:v>
                </c:pt>
                <c:pt idx="19">
                  <c:v>62414.999999999942</c:v>
                </c:pt>
                <c:pt idx="20">
                  <c:v>62414.999999999942</c:v>
                </c:pt>
                <c:pt idx="21">
                  <c:v>62414.999999999942</c:v>
                </c:pt>
              </c:numCache>
            </c:numRef>
          </c:val>
          <c:smooth val="0"/>
          <c:extLst>
            <c:ext xmlns:c16="http://schemas.microsoft.com/office/drawing/2014/chart" uri="{C3380CC4-5D6E-409C-BE32-E72D297353CC}">
              <c16:uniqueId val="{00000000-28C9-4CDA-9178-26FECD674424}"/>
            </c:ext>
          </c:extLst>
        </c:ser>
        <c:ser>
          <c:idx val="1"/>
          <c:order val="1"/>
          <c:tx>
            <c:strRef>
              <c:f>Sheet1!$AE$8</c:f>
              <c:strCache>
                <c:ptCount val="1"/>
                <c:pt idx="0">
                  <c:v>Fut Gain</c:v>
                </c:pt>
              </c:strCache>
            </c:strRef>
          </c:tx>
          <c:spPr>
            <a:ln w="28575" cap="rnd">
              <a:solidFill>
                <a:schemeClr val="accent2"/>
              </a:solidFill>
              <a:round/>
            </a:ln>
            <a:effectLst/>
          </c:spPr>
          <c:marker>
            <c:symbol val="none"/>
          </c:marker>
          <c:cat>
            <c:numRef>
              <c:f>Sheet1!$AB$9:$AB$30</c:f>
              <c:numCache>
                <c:formatCode>General</c:formatCode>
                <c:ptCount val="22"/>
                <c:pt idx="0">
                  <c:v>350</c:v>
                </c:pt>
                <c:pt idx="1">
                  <c:v>355</c:v>
                </c:pt>
                <c:pt idx="2">
                  <c:v>360</c:v>
                </c:pt>
                <c:pt idx="3">
                  <c:v>365</c:v>
                </c:pt>
                <c:pt idx="4">
                  <c:v>370</c:v>
                </c:pt>
                <c:pt idx="5">
                  <c:v>375</c:v>
                </c:pt>
                <c:pt idx="6">
                  <c:v>380</c:v>
                </c:pt>
                <c:pt idx="7">
                  <c:v>385</c:v>
                </c:pt>
                <c:pt idx="8">
                  <c:v>390</c:v>
                </c:pt>
                <c:pt idx="9">
                  <c:v>395</c:v>
                </c:pt>
                <c:pt idx="10">
                  <c:v>400</c:v>
                </c:pt>
                <c:pt idx="11">
                  <c:v>405</c:v>
                </c:pt>
                <c:pt idx="12">
                  <c:v>410</c:v>
                </c:pt>
                <c:pt idx="13">
                  <c:v>415</c:v>
                </c:pt>
                <c:pt idx="14">
                  <c:v>420</c:v>
                </c:pt>
                <c:pt idx="15">
                  <c:v>425</c:v>
                </c:pt>
                <c:pt idx="16">
                  <c:v>430</c:v>
                </c:pt>
                <c:pt idx="17">
                  <c:v>435</c:v>
                </c:pt>
                <c:pt idx="18">
                  <c:v>440</c:v>
                </c:pt>
                <c:pt idx="19">
                  <c:v>445</c:v>
                </c:pt>
                <c:pt idx="20">
                  <c:v>450</c:v>
                </c:pt>
                <c:pt idx="21">
                  <c:v>455</c:v>
                </c:pt>
              </c:numCache>
            </c:numRef>
          </c:cat>
          <c:val>
            <c:numRef>
              <c:f>Sheet1!$AE$9:$AE$30</c:f>
              <c:numCache>
                <c:formatCode>_(* #,##0.00_);_(* \(#,##0.00\);_(* "-"??_);_(@_)</c:formatCode>
                <c:ptCount val="22"/>
                <c:pt idx="0">
                  <c:v>-180205.50000000006</c:v>
                </c:pt>
                <c:pt idx="1">
                  <c:v>-165955.50000000006</c:v>
                </c:pt>
                <c:pt idx="2">
                  <c:v>-151705.50000000006</c:v>
                </c:pt>
                <c:pt idx="3">
                  <c:v>-137455.50000000006</c:v>
                </c:pt>
                <c:pt idx="4">
                  <c:v>-123205.50000000006</c:v>
                </c:pt>
                <c:pt idx="5">
                  <c:v>-108955.50000000006</c:v>
                </c:pt>
                <c:pt idx="6">
                  <c:v>-94705.500000000058</c:v>
                </c:pt>
                <c:pt idx="7">
                  <c:v>-80455.500000000058</c:v>
                </c:pt>
                <c:pt idx="8">
                  <c:v>-66205.500000000058</c:v>
                </c:pt>
                <c:pt idx="9">
                  <c:v>-51955.500000000051</c:v>
                </c:pt>
                <c:pt idx="10">
                  <c:v>-37705.500000000051</c:v>
                </c:pt>
                <c:pt idx="11">
                  <c:v>-23455.500000000051</c:v>
                </c:pt>
                <c:pt idx="12">
                  <c:v>-9205.5000000000509</c:v>
                </c:pt>
                <c:pt idx="13">
                  <c:v>5044.4999999999482</c:v>
                </c:pt>
                <c:pt idx="14">
                  <c:v>19294.499999999949</c:v>
                </c:pt>
                <c:pt idx="15">
                  <c:v>33544.499999999949</c:v>
                </c:pt>
                <c:pt idx="16">
                  <c:v>47794.499999999949</c:v>
                </c:pt>
                <c:pt idx="17">
                  <c:v>62044.499999999949</c:v>
                </c:pt>
                <c:pt idx="18">
                  <c:v>76294.499999999942</c:v>
                </c:pt>
                <c:pt idx="19">
                  <c:v>90544.499999999942</c:v>
                </c:pt>
                <c:pt idx="20">
                  <c:v>104794.49999999994</c:v>
                </c:pt>
                <c:pt idx="21">
                  <c:v>119044.49999999994</c:v>
                </c:pt>
              </c:numCache>
            </c:numRef>
          </c:val>
          <c:smooth val="0"/>
          <c:extLst>
            <c:ext xmlns:c16="http://schemas.microsoft.com/office/drawing/2014/chart" uri="{C3380CC4-5D6E-409C-BE32-E72D297353CC}">
              <c16:uniqueId val="{00000001-28C9-4CDA-9178-26FECD674424}"/>
            </c:ext>
          </c:extLst>
        </c:ser>
        <c:ser>
          <c:idx val="2"/>
          <c:order val="2"/>
          <c:tx>
            <c:strRef>
              <c:f>Sheet1!$AG$8</c:f>
              <c:strCache>
                <c:ptCount val="1"/>
                <c:pt idx="0">
                  <c:v>Put Hedge</c:v>
                </c:pt>
              </c:strCache>
            </c:strRef>
          </c:tx>
          <c:spPr>
            <a:ln w="28575" cap="rnd">
              <a:solidFill>
                <a:schemeClr val="accent3"/>
              </a:solidFill>
              <a:round/>
            </a:ln>
            <a:effectLst/>
          </c:spPr>
          <c:marker>
            <c:symbol val="none"/>
          </c:marker>
          <c:cat>
            <c:numRef>
              <c:f>Sheet1!$AB$9:$AB$30</c:f>
              <c:numCache>
                <c:formatCode>General</c:formatCode>
                <c:ptCount val="22"/>
                <c:pt idx="0">
                  <c:v>350</c:v>
                </c:pt>
                <c:pt idx="1">
                  <c:v>355</c:v>
                </c:pt>
                <c:pt idx="2">
                  <c:v>360</c:v>
                </c:pt>
                <c:pt idx="3">
                  <c:v>365</c:v>
                </c:pt>
                <c:pt idx="4">
                  <c:v>370</c:v>
                </c:pt>
                <c:pt idx="5">
                  <c:v>375</c:v>
                </c:pt>
                <c:pt idx="6">
                  <c:v>380</c:v>
                </c:pt>
                <c:pt idx="7">
                  <c:v>385</c:v>
                </c:pt>
                <c:pt idx="8">
                  <c:v>390</c:v>
                </c:pt>
                <c:pt idx="9">
                  <c:v>395</c:v>
                </c:pt>
                <c:pt idx="10">
                  <c:v>400</c:v>
                </c:pt>
                <c:pt idx="11">
                  <c:v>405</c:v>
                </c:pt>
                <c:pt idx="12">
                  <c:v>410</c:v>
                </c:pt>
                <c:pt idx="13">
                  <c:v>415</c:v>
                </c:pt>
                <c:pt idx="14">
                  <c:v>420</c:v>
                </c:pt>
                <c:pt idx="15">
                  <c:v>425</c:v>
                </c:pt>
                <c:pt idx="16">
                  <c:v>430</c:v>
                </c:pt>
                <c:pt idx="17">
                  <c:v>435</c:v>
                </c:pt>
                <c:pt idx="18">
                  <c:v>440</c:v>
                </c:pt>
                <c:pt idx="19">
                  <c:v>445</c:v>
                </c:pt>
                <c:pt idx="20">
                  <c:v>450</c:v>
                </c:pt>
                <c:pt idx="21">
                  <c:v>455</c:v>
                </c:pt>
              </c:numCache>
            </c:numRef>
          </c:cat>
          <c:val>
            <c:numRef>
              <c:f>Sheet1!$AG$9:$AG$30</c:f>
              <c:numCache>
                <c:formatCode>_(* #,##0.00_);_(* \(#,##0.00\);_(* "-"??_);_(@_)</c:formatCode>
                <c:ptCount val="22"/>
                <c:pt idx="0">
                  <c:v>115710</c:v>
                </c:pt>
                <c:pt idx="1">
                  <c:v>101460</c:v>
                </c:pt>
                <c:pt idx="2">
                  <c:v>87210</c:v>
                </c:pt>
                <c:pt idx="3">
                  <c:v>72960</c:v>
                </c:pt>
                <c:pt idx="4">
                  <c:v>58710.000000000007</c:v>
                </c:pt>
                <c:pt idx="5">
                  <c:v>44460</c:v>
                </c:pt>
                <c:pt idx="6">
                  <c:v>30210</c:v>
                </c:pt>
                <c:pt idx="7">
                  <c:v>15959.999999999998</c:v>
                </c:pt>
                <c:pt idx="8">
                  <c:v>1709.9999999999991</c:v>
                </c:pt>
                <c:pt idx="9">
                  <c:v>-12540.000000000002</c:v>
                </c:pt>
                <c:pt idx="10">
                  <c:v>-26790</c:v>
                </c:pt>
                <c:pt idx="11">
                  <c:v>-26790</c:v>
                </c:pt>
                <c:pt idx="12">
                  <c:v>-26790</c:v>
                </c:pt>
                <c:pt idx="13">
                  <c:v>-26790</c:v>
                </c:pt>
                <c:pt idx="14">
                  <c:v>-26790</c:v>
                </c:pt>
                <c:pt idx="15">
                  <c:v>-26790</c:v>
                </c:pt>
                <c:pt idx="16">
                  <c:v>-26790</c:v>
                </c:pt>
                <c:pt idx="17">
                  <c:v>-26790</c:v>
                </c:pt>
                <c:pt idx="18">
                  <c:v>-26790</c:v>
                </c:pt>
                <c:pt idx="19">
                  <c:v>-26790</c:v>
                </c:pt>
                <c:pt idx="20">
                  <c:v>-26790</c:v>
                </c:pt>
                <c:pt idx="21">
                  <c:v>-26790</c:v>
                </c:pt>
              </c:numCache>
            </c:numRef>
          </c:val>
          <c:smooth val="0"/>
          <c:extLst>
            <c:ext xmlns:c16="http://schemas.microsoft.com/office/drawing/2014/chart" uri="{C3380CC4-5D6E-409C-BE32-E72D297353CC}">
              <c16:uniqueId val="{00000002-28C9-4CDA-9178-26FECD674424}"/>
            </c:ext>
          </c:extLst>
        </c:ser>
        <c:ser>
          <c:idx val="3"/>
          <c:order val="3"/>
          <c:tx>
            <c:strRef>
              <c:f>Sheet1!$AN$8</c:f>
              <c:strCache>
                <c:ptCount val="1"/>
                <c:pt idx="0">
                  <c:v>Call Rent</c:v>
                </c:pt>
              </c:strCache>
            </c:strRef>
          </c:tx>
          <c:spPr>
            <a:ln w="28575" cap="rnd">
              <a:solidFill>
                <a:schemeClr val="accent4"/>
              </a:solidFill>
              <a:round/>
            </a:ln>
            <a:effectLst/>
          </c:spPr>
          <c:marker>
            <c:symbol val="none"/>
          </c:marker>
          <c:cat>
            <c:numRef>
              <c:f>Sheet1!$AB$9:$AB$30</c:f>
              <c:numCache>
                <c:formatCode>General</c:formatCode>
                <c:ptCount val="22"/>
                <c:pt idx="0">
                  <c:v>350</c:v>
                </c:pt>
                <c:pt idx="1">
                  <c:v>355</c:v>
                </c:pt>
                <c:pt idx="2">
                  <c:v>360</c:v>
                </c:pt>
                <c:pt idx="3">
                  <c:v>365</c:v>
                </c:pt>
                <c:pt idx="4">
                  <c:v>370</c:v>
                </c:pt>
                <c:pt idx="5">
                  <c:v>375</c:v>
                </c:pt>
                <c:pt idx="6">
                  <c:v>380</c:v>
                </c:pt>
                <c:pt idx="7">
                  <c:v>385</c:v>
                </c:pt>
                <c:pt idx="8">
                  <c:v>390</c:v>
                </c:pt>
                <c:pt idx="9">
                  <c:v>395</c:v>
                </c:pt>
                <c:pt idx="10">
                  <c:v>400</c:v>
                </c:pt>
                <c:pt idx="11">
                  <c:v>405</c:v>
                </c:pt>
                <c:pt idx="12">
                  <c:v>410</c:v>
                </c:pt>
                <c:pt idx="13">
                  <c:v>415</c:v>
                </c:pt>
                <c:pt idx="14">
                  <c:v>420</c:v>
                </c:pt>
                <c:pt idx="15">
                  <c:v>425</c:v>
                </c:pt>
                <c:pt idx="16">
                  <c:v>430</c:v>
                </c:pt>
                <c:pt idx="17">
                  <c:v>435</c:v>
                </c:pt>
                <c:pt idx="18">
                  <c:v>440</c:v>
                </c:pt>
                <c:pt idx="19">
                  <c:v>445</c:v>
                </c:pt>
                <c:pt idx="20">
                  <c:v>450</c:v>
                </c:pt>
                <c:pt idx="21">
                  <c:v>455</c:v>
                </c:pt>
              </c:numCache>
            </c:numRef>
          </c:cat>
          <c:val>
            <c:numRef>
              <c:f>Sheet1!$AN$9:$AN$30</c:f>
              <c:numCache>
                <c:formatCode>_(* #,##0.00_);_(* \(#,##0.00\);_(* "-"??_);_(@_)</c:formatCode>
                <c:ptCount val="22"/>
                <c:pt idx="0">
                  <c:v>12910.5</c:v>
                </c:pt>
                <c:pt idx="1">
                  <c:v>12910.5</c:v>
                </c:pt>
                <c:pt idx="2">
                  <c:v>12910.5</c:v>
                </c:pt>
                <c:pt idx="3">
                  <c:v>12910.5</c:v>
                </c:pt>
                <c:pt idx="4">
                  <c:v>12910.5</c:v>
                </c:pt>
                <c:pt idx="5">
                  <c:v>12910.5</c:v>
                </c:pt>
                <c:pt idx="6">
                  <c:v>12910.5</c:v>
                </c:pt>
                <c:pt idx="7">
                  <c:v>12910.5</c:v>
                </c:pt>
                <c:pt idx="8">
                  <c:v>12910.5</c:v>
                </c:pt>
                <c:pt idx="9">
                  <c:v>12910.5</c:v>
                </c:pt>
                <c:pt idx="10">
                  <c:v>12910.5</c:v>
                </c:pt>
                <c:pt idx="11">
                  <c:v>12910.5</c:v>
                </c:pt>
                <c:pt idx="12">
                  <c:v>12910.5</c:v>
                </c:pt>
                <c:pt idx="13">
                  <c:v>12910.5</c:v>
                </c:pt>
                <c:pt idx="14">
                  <c:v>12910.5</c:v>
                </c:pt>
                <c:pt idx="15">
                  <c:v>12910.5</c:v>
                </c:pt>
                <c:pt idx="16">
                  <c:v>12910.5</c:v>
                </c:pt>
                <c:pt idx="17">
                  <c:v>12910.5</c:v>
                </c:pt>
                <c:pt idx="18">
                  <c:v>12910.5</c:v>
                </c:pt>
                <c:pt idx="19">
                  <c:v>-1339.4999999999993</c:v>
                </c:pt>
                <c:pt idx="20">
                  <c:v>-15589.5</c:v>
                </c:pt>
                <c:pt idx="21">
                  <c:v>-29839.499999999996</c:v>
                </c:pt>
              </c:numCache>
            </c:numRef>
          </c:val>
          <c:smooth val="0"/>
          <c:extLst>
            <c:ext xmlns:c16="http://schemas.microsoft.com/office/drawing/2014/chart" uri="{C3380CC4-5D6E-409C-BE32-E72D297353CC}">
              <c16:uniqueId val="{00000003-28C9-4CDA-9178-26FECD674424}"/>
            </c:ext>
          </c:extLst>
        </c:ser>
        <c:dLbls>
          <c:showLegendKey val="0"/>
          <c:showVal val="0"/>
          <c:showCatName val="0"/>
          <c:showSerName val="0"/>
          <c:showPercent val="0"/>
          <c:showBubbleSize val="0"/>
        </c:dLbls>
        <c:smooth val="0"/>
        <c:axId val="471931344"/>
        <c:axId val="471936752"/>
      </c:lineChart>
      <c:catAx>
        <c:axId val="47193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36752"/>
        <c:crosses val="autoZero"/>
        <c:auto val="1"/>
        <c:lblAlgn val="ctr"/>
        <c:lblOffset val="100"/>
        <c:noMultiLvlLbl val="0"/>
      </c:catAx>
      <c:valAx>
        <c:axId val="471936752"/>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31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18</xdr:col>
      <xdr:colOff>268939</xdr:colOff>
      <xdr:row>2</xdr:row>
      <xdr:rowOff>11204</xdr:rowOff>
    </xdr:from>
    <xdr:to>
      <xdr:col>18</xdr:col>
      <xdr:colOff>941292</xdr:colOff>
      <xdr:row>42</xdr:row>
      <xdr:rowOff>112059</xdr:rowOff>
    </xdr:to>
    <xdr:sp macro="" textlink="">
      <xdr:nvSpPr>
        <xdr:cNvPr id="2" name="Pentagon 1"/>
        <xdr:cNvSpPr/>
      </xdr:nvSpPr>
      <xdr:spPr>
        <a:xfrm>
          <a:off x="14880289" y="582704"/>
          <a:ext cx="672353" cy="772085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S</a:t>
          </a:r>
        </a:p>
        <a:p>
          <a:pPr algn="ctr"/>
          <a:r>
            <a:rPr lang="en-US" sz="2400"/>
            <a:t>cena</a:t>
          </a:r>
        </a:p>
        <a:p>
          <a:pPr algn="ctr"/>
          <a:r>
            <a:rPr lang="en-US" sz="2400"/>
            <a:t>r</a:t>
          </a:r>
        </a:p>
        <a:p>
          <a:pPr algn="ctr"/>
          <a:r>
            <a:rPr lang="en-US" sz="2400"/>
            <a:t>i</a:t>
          </a:r>
        </a:p>
        <a:p>
          <a:pPr algn="ctr"/>
          <a:r>
            <a:rPr lang="en-US" sz="2400"/>
            <a:t>o </a:t>
          </a:r>
        </a:p>
        <a:p>
          <a:pPr algn="ctr"/>
          <a:endParaRPr lang="en-US" sz="2400"/>
        </a:p>
        <a:p>
          <a:pPr algn="ctr"/>
          <a:r>
            <a:rPr lang="en-US" sz="2400"/>
            <a:t>Ana</a:t>
          </a:r>
        </a:p>
        <a:p>
          <a:pPr algn="ctr"/>
          <a:r>
            <a:rPr lang="en-US" sz="2400"/>
            <a:t>l</a:t>
          </a:r>
        </a:p>
        <a:p>
          <a:pPr algn="ctr"/>
          <a:r>
            <a:rPr lang="en-US" sz="2400"/>
            <a:t>y</a:t>
          </a:r>
        </a:p>
        <a:p>
          <a:pPr algn="ctr"/>
          <a:r>
            <a:rPr lang="en-US" sz="2400"/>
            <a:t>s</a:t>
          </a:r>
        </a:p>
        <a:p>
          <a:pPr algn="ctr"/>
          <a:r>
            <a:rPr lang="en-US" sz="2400"/>
            <a:t>i</a:t>
          </a:r>
        </a:p>
        <a:p>
          <a:pPr algn="ctr"/>
          <a:r>
            <a:rPr lang="en-US" sz="2400"/>
            <a:t>s</a:t>
          </a:r>
        </a:p>
      </xdr:txBody>
    </xdr:sp>
    <xdr:clientData/>
  </xdr:twoCellAnchor>
  <xdr:twoCellAnchor>
    <xdr:from>
      <xdr:col>38</xdr:col>
      <xdr:colOff>11206</xdr:colOff>
      <xdr:row>5</xdr:row>
      <xdr:rowOff>62754</xdr:rowOff>
    </xdr:from>
    <xdr:to>
      <xdr:col>49</xdr:col>
      <xdr:colOff>616323</xdr:colOff>
      <xdr:row>30</xdr:row>
      <xdr:rowOff>112060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33617</xdr:colOff>
      <xdr:row>5</xdr:row>
      <xdr:rowOff>23531</xdr:rowOff>
    </xdr:from>
    <xdr:to>
      <xdr:col>21</xdr:col>
      <xdr:colOff>302557</xdr:colOff>
      <xdr:row>29</xdr:row>
      <xdr:rowOff>56029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25</xdr:col>
      <xdr:colOff>0</xdr:colOff>
      <xdr:row>1</xdr:row>
      <xdr:rowOff>0</xdr:rowOff>
    </xdr:from>
    <xdr:to>
      <xdr:col>34</xdr:col>
      <xdr:colOff>427886</xdr:colOff>
      <xdr:row>32</xdr:row>
      <xdr:rowOff>113536</xdr:rowOff>
    </xdr:to>
    <xdr:pic>
      <xdr:nvPicPr>
        <xdr:cNvPr id="2" name="Picture 1"/>
        <xdr:cNvPicPr>
          <a:picLocks noChangeAspect="1"/>
        </xdr:cNvPicPr>
      </xdr:nvPicPr>
      <xdr:blipFill>
        <a:blip xmlns:r="http://schemas.openxmlformats.org/officeDocument/2006/relationships" r:embed="rId1"/>
        <a:stretch>
          <a:fillRect/>
        </a:stretch>
      </xdr:blipFill>
      <xdr:spPr>
        <a:xfrm>
          <a:off x="16735425" y="190500"/>
          <a:ext cx="5914286" cy="6114286"/>
        </a:xfrm>
        <a:prstGeom prst="rect">
          <a:avLst/>
        </a:prstGeom>
      </xdr:spPr>
    </xdr:pic>
    <xdr:clientData/>
  </xdr:twoCellAnchor>
  <xdr:twoCellAnchor editAs="oneCell">
    <xdr:from>
      <xdr:col>36</xdr:col>
      <xdr:colOff>0</xdr:colOff>
      <xdr:row>1</xdr:row>
      <xdr:rowOff>0</xdr:rowOff>
    </xdr:from>
    <xdr:to>
      <xdr:col>49</xdr:col>
      <xdr:colOff>513295</xdr:colOff>
      <xdr:row>64</xdr:row>
      <xdr:rowOff>93726</xdr:rowOff>
    </xdr:to>
    <xdr:pic>
      <xdr:nvPicPr>
        <xdr:cNvPr id="3" name="Picture 2"/>
        <xdr:cNvPicPr>
          <a:picLocks noChangeAspect="1"/>
        </xdr:cNvPicPr>
      </xdr:nvPicPr>
      <xdr:blipFill>
        <a:blip xmlns:r="http://schemas.openxmlformats.org/officeDocument/2006/relationships" r:embed="rId2"/>
        <a:stretch>
          <a:fillRect/>
        </a:stretch>
      </xdr:blipFill>
      <xdr:spPr>
        <a:xfrm>
          <a:off x="23669625" y="190500"/>
          <a:ext cx="8438095" cy="1219047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antosh Bag" refreshedDate="44750.74958541667" createdVersion="6" refreshedVersion="6" minRefreshableVersion="3" recordCount="415">
  <cacheSource type="worksheet">
    <worksheetSource ref="F7:R10476" sheet="Iron Butterfly Condor -&gt;&gt;"/>
  </cacheSource>
  <cacheFields count="13">
    <cacheField name="Scrip" numFmtId="0">
      <sharedItems containsBlank="1" count="14">
        <s v="NIFTY"/>
        <s v="TATAPOWER"/>
        <s v="SRF"/>
        <s v="TATAMOTORS"/>
        <s v="IEX"/>
        <s v="BANKNIFTY"/>
        <s v="TCS"/>
        <s v="LT"/>
        <s v="MINDTREE"/>
        <s v="BALRAMCHIN"/>
        <s v="TATASTEEL"/>
        <s v="JSWSTEEL"/>
        <s v="HINDUNILVR"/>
        <m/>
      </sharedItems>
    </cacheField>
    <cacheField name="Strike" numFmtId="0">
      <sharedItems containsBlank="1" containsMixedTypes="1" containsNumber="1" minValue="160" maxValue="40000"/>
    </cacheField>
    <cacheField name="Expiry" numFmtId="0">
      <sharedItems containsNonDate="0" containsDate="1" containsString="0" containsBlank="1" minDate="2022-02-24T00:00:00" maxDate="2022-08-26T00:00:00"/>
    </cacheField>
    <cacheField name="Contracts" numFmtId="0">
      <sharedItems containsString="0" containsBlank="1" containsNumber="1" containsInteger="1" minValue="25" maxValue="20250"/>
    </cacheField>
    <cacheField name="Entry Price" numFmtId="0">
      <sharedItems containsString="0" containsBlank="1" containsNumber="1" minValue="1" maxValue="38638.15"/>
    </cacheField>
    <cacheField name="Exit Price" numFmtId="0">
      <sharedItems containsString="0" containsBlank="1" containsNumber="1" minValue="0" maxValue="37166.199999999997"/>
    </cacheField>
    <cacheField name="Monthly Gain" numFmtId="0">
      <sharedItems containsString="0" containsBlank="1" containsNumber="1" minValue="-26982.499999999982" maxValue="65981.250000000044"/>
    </cacheField>
    <cacheField name="Overall Gain" numFmtId="0">
      <sharedItems containsString="0" containsBlank="1" containsNumber="1" minValue="-312375.00000000006" maxValue="527175.00000000012"/>
    </cacheField>
    <cacheField name="Exit Price %" numFmtId="0">
      <sharedItems containsString="0" containsBlank="1" containsNumber="1" minValue="0" maxValue="11.222222222222221"/>
    </cacheField>
    <cacheField name="SL " numFmtId="0">
      <sharedItems containsString="0" containsBlank="1" containsNumber="1" minValue="1.125" maxValue="28978.612500000003"/>
    </cacheField>
    <cacheField name="Capital" numFmtId="0">
      <sharedItems containsString="0" containsBlank="1" containsNumber="1" minValue="0" maxValue="3327750"/>
    </cacheField>
    <cacheField name="MTM" numFmtId="0">
      <sharedItems containsBlank="1" containsMixedTypes="1" containsNumber="1" minValue="0" maxValue="34762.5"/>
    </cacheField>
    <cacheField name="Future Exposre" numFmtId="0">
      <sharedItems containsString="0" containsBlank="1" containsNumber="1" minValue="-1680075" maxValue="332775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5">
  <r>
    <x v="0"/>
    <n v="15300"/>
    <d v="2022-02-24T00:00:00"/>
    <n v="500"/>
    <n v="36.409999999999997"/>
    <n v="0.55000000000000004"/>
    <n v="0"/>
    <n v="17930"/>
    <n v="1.5105740181268885E-2"/>
    <n v="45.512499999999996"/>
    <n v="18205"/>
    <e v="#N/A"/>
    <n v="0"/>
  </r>
  <r>
    <x v="1"/>
    <m/>
    <d v="2022-02-24T00:00:00"/>
    <n v="6750"/>
    <n v="255.6"/>
    <n v="248.29999999999998"/>
    <n v="0"/>
    <n v="-49275.00000000008"/>
    <n v="0.97143974960876367"/>
    <n v="191.7"/>
    <n v="1725300"/>
    <e v="#N/A"/>
    <n v="1725300"/>
  </r>
  <r>
    <x v="1"/>
    <m/>
    <d v="2022-03-31T00:00:00"/>
    <n v="6750"/>
    <n v="248.9"/>
    <n v="251.35"/>
    <n v="0"/>
    <n v="-16537.499999999924"/>
    <n v="1.0098433105664926"/>
    <n v="311.125"/>
    <n v="1680075"/>
    <e v="#N/A"/>
    <n v="-1680075"/>
  </r>
  <r>
    <x v="1"/>
    <n v="300"/>
    <d v="2022-02-24T00:00:00"/>
    <n v="13500"/>
    <n v="3.02"/>
    <n v="0.8"/>
    <n v="0"/>
    <n v="29969.999999999996"/>
    <n v="0.26490066225165565"/>
    <n v="3.7749999999999999"/>
    <n v="40770"/>
    <e v="#N/A"/>
    <n v="0"/>
  </r>
  <r>
    <x v="1"/>
    <n v="215"/>
    <d v="2022-02-24T00:00:00"/>
    <n v="13500"/>
    <n v="2.33"/>
    <n v="2.8"/>
    <n v="0"/>
    <n v="-6344.9999999999964"/>
    <n v="1.2017167381974247"/>
    <n v="2.9125000000000001"/>
    <n v="31455"/>
    <e v="#N/A"/>
    <n v="0"/>
  </r>
  <r>
    <x v="1"/>
    <n v="220"/>
    <d v="2022-02-24T00:00:00"/>
    <n v="6750"/>
    <n v="2.25"/>
    <n v="3.65"/>
    <n v="0"/>
    <n v="-9450"/>
    <n v="1.6222222222222222"/>
    <n v="2.8125"/>
    <n v="15187.5"/>
    <e v="#N/A"/>
    <n v="0"/>
  </r>
  <r>
    <x v="2"/>
    <n v="2800"/>
    <d v="2022-02-24T00:00:00"/>
    <n v="750"/>
    <n v="13.75"/>
    <n v="14.55"/>
    <n v="0"/>
    <n v="-600.00000000000057"/>
    <n v="1.0581818181818183"/>
    <n v="17.1875"/>
    <n v="10312.5"/>
    <e v="#N/A"/>
    <n v="0"/>
  </r>
  <r>
    <x v="2"/>
    <n v="2200"/>
    <d v="2022-02-24T00:00:00"/>
    <n v="750"/>
    <n v="12.55"/>
    <n v="12.7"/>
    <n v="0"/>
    <n v="-112.49999999999893"/>
    <n v="1.0119521912350598"/>
    <n v="15.6875"/>
    <n v="9412.5"/>
    <e v="#N/A"/>
    <n v="0"/>
  </r>
  <r>
    <x v="3"/>
    <n v="570"/>
    <d v="2022-02-24T00:00:00"/>
    <n v="2850"/>
    <n v="3.7"/>
    <n v="1.8"/>
    <n v="0"/>
    <n v="5415"/>
    <n v="0.48648648648648646"/>
    <n v="4.625"/>
    <n v="10545"/>
    <e v="#N/A"/>
    <n v="0"/>
  </r>
  <r>
    <x v="3"/>
    <n v="450"/>
    <d v="2022-02-24T00:00:00"/>
    <n v="2850"/>
    <n v="2.65"/>
    <n v="2.5"/>
    <n v="0"/>
    <n v="427.49999999999977"/>
    <n v="0.94339622641509435"/>
    <n v="3.3125"/>
    <n v="7552.5"/>
    <e v="#N/A"/>
    <n v="0"/>
  </r>
  <r>
    <x v="1"/>
    <n v="220"/>
    <d v="2022-02-24T00:00:00"/>
    <n v="6750"/>
    <n v="4.0999999999999996"/>
    <n v="3.9"/>
    <n v="0"/>
    <n v="1349.9999999999982"/>
    <n v="0.95121951219512202"/>
    <n v="5.125"/>
    <n v="27674.999999999996"/>
    <e v="#N/A"/>
    <n v="0"/>
  </r>
  <r>
    <x v="1"/>
    <n v="270"/>
    <d v="2022-02-24T00:00:00"/>
    <n v="6750"/>
    <n v="2.25"/>
    <n v="2.25"/>
    <n v="0"/>
    <n v="0"/>
    <n v="1"/>
    <n v="2.8125"/>
    <n v="15187.5"/>
    <e v="#N/A"/>
    <n v="0"/>
  </r>
  <r>
    <x v="2"/>
    <n v="2200"/>
    <d v="2022-02-24T00:00:00"/>
    <n v="750"/>
    <n v="15"/>
    <n v="5"/>
    <n v="0"/>
    <n v="7500"/>
    <n v="0.33333333333333331"/>
    <n v="18.75"/>
    <n v="11250"/>
    <e v="#N/A"/>
    <n v="0"/>
  </r>
  <r>
    <x v="1"/>
    <m/>
    <d v="2022-02-24T00:00:00"/>
    <n v="6750"/>
    <n v="236.4"/>
    <n v="236.7"/>
    <n v="0"/>
    <n v="2024.9999999998849"/>
    <n v="1.001269035532995"/>
    <n v="177.3"/>
    <n v="1595700"/>
    <e v="#N/A"/>
    <n v="1595700"/>
  </r>
  <r>
    <x v="3"/>
    <n v="570"/>
    <d v="2022-02-24T00:00:00"/>
    <n v="2850"/>
    <n v="1.7"/>
    <n v="1.1499999999999999"/>
    <n v="0"/>
    <n v="1567.5000000000002"/>
    <n v="0.67647058823529405"/>
    <n v="2.125"/>
    <n v="4845"/>
    <e v="#N/A"/>
    <n v="0"/>
  </r>
  <r>
    <x v="3"/>
    <n v="450"/>
    <d v="2022-02-24T00:00:00"/>
    <n v="2850"/>
    <n v="1.35"/>
    <n v="3.75"/>
    <n v="0"/>
    <n v="-6840"/>
    <n v="2.7777777777777777"/>
    <n v="1.6875"/>
    <n v="3847.5000000000005"/>
    <e v="#N/A"/>
    <n v="0"/>
  </r>
  <r>
    <x v="1"/>
    <m/>
    <d v="2022-02-24T00:00:00"/>
    <n v="6750"/>
    <n v="242.2"/>
    <n v="234.2"/>
    <n v="0"/>
    <n v="-54000"/>
    <n v="0.96696944673823282"/>
    <n v="181.64999999999998"/>
    <n v="1634850"/>
    <e v="#N/A"/>
    <n v="1634850"/>
  </r>
  <r>
    <x v="1"/>
    <n v="260"/>
    <d v="2022-02-24T00:00:00"/>
    <n v="20250"/>
    <n v="2.4"/>
    <n v="0.05"/>
    <n v="0"/>
    <n v="47587.5"/>
    <n v="2.0833333333333336E-2"/>
    <n v="3"/>
    <n v="48600"/>
    <e v="#N/A"/>
    <n v="0"/>
  </r>
  <r>
    <x v="0"/>
    <m/>
    <d v="2022-03-31T00:00:00"/>
    <n v="50"/>
    <n v="17102"/>
    <n v="17442.650000000001"/>
    <n v="0"/>
    <n v="17032.500000000073"/>
    <n v="1.0199187229563795"/>
    <n v="12826.5"/>
    <n v="855100"/>
    <e v="#N/A"/>
    <n v="855100"/>
  </r>
  <r>
    <x v="0"/>
    <n v="14500"/>
    <d v="2022-03-31T00:00:00"/>
    <n v="200"/>
    <n v="36.92"/>
    <n v="127.75"/>
    <n v="0"/>
    <n v="-18166"/>
    <n v="3.4601841820151678"/>
    <n v="46.150000000000006"/>
    <n v="7384"/>
    <e v="#N/A"/>
    <n v="0"/>
  </r>
  <r>
    <x v="0"/>
    <n v="15000"/>
    <d v="2022-03-31T00:00:00"/>
    <n v="200"/>
    <n v="59.27"/>
    <n v="212.1"/>
    <n v="0"/>
    <n v="-30565.999999999996"/>
    <n v="3.5785388898262189"/>
    <n v="74.087500000000006"/>
    <n v="11854"/>
    <e v="#N/A"/>
    <n v="0"/>
  </r>
  <r>
    <x v="3"/>
    <n v="400"/>
    <d v="2022-03-31T00:00:00"/>
    <n v="2850"/>
    <n v="6"/>
    <n v="3.75"/>
    <n v="0"/>
    <n v="6412.5"/>
    <n v="0.625"/>
    <n v="7.5"/>
    <n v="17100"/>
    <e v="#N/A"/>
    <n v="0"/>
  </r>
  <r>
    <x v="0"/>
    <m/>
    <d v="2022-03-31T00:00:00"/>
    <n v="50"/>
    <n v="17340"/>
    <n v="17320"/>
    <n v="0"/>
    <n v="-1000"/>
    <n v="0.99884659746251436"/>
    <n v="13005"/>
    <n v="867000"/>
    <e v="#N/A"/>
    <n v="867000"/>
  </r>
  <r>
    <x v="0"/>
    <m/>
    <d v="2022-03-31T00:00:00"/>
    <n v="50"/>
    <n v="17405"/>
    <n v="17320"/>
    <n v="0"/>
    <n v="-4250"/>
    <n v="0.99511634587762132"/>
    <n v="13053.75"/>
    <n v="870250"/>
    <e v="#N/A"/>
    <n v="870250"/>
  </r>
  <r>
    <x v="3"/>
    <n v="450"/>
    <d v="2022-03-31T00:00:00"/>
    <n v="2850"/>
    <n v="7.1"/>
    <n v="62.45"/>
    <n v="0"/>
    <n v="-157747.5"/>
    <n v="8.795774647887324"/>
    <n v="8.875"/>
    <n v="20235"/>
    <e v="#N/A"/>
    <n v="0"/>
  </r>
  <r>
    <x v="1"/>
    <m/>
    <d v="2022-03-31T00:00:00"/>
    <n v="6750"/>
    <n v="234.5"/>
    <n v="226.5"/>
    <n v="0"/>
    <n v="-54000"/>
    <n v="0.9658848614072495"/>
    <n v="175.875"/>
    <n v="1582875"/>
    <e v="#N/A"/>
    <n v="1582875"/>
  </r>
  <r>
    <x v="0"/>
    <m/>
    <d v="2022-03-31T00:00:00"/>
    <n v="50"/>
    <n v="17441"/>
    <n v="17442.650000000001"/>
    <n v="0"/>
    <n v="82.50000000007276"/>
    <n v="1.0000946046671637"/>
    <n v="13080.75"/>
    <n v="872050"/>
    <e v="#N/A"/>
    <n v="872050"/>
  </r>
  <r>
    <x v="4"/>
    <n v="250"/>
    <d v="2022-03-31T00:00:00"/>
    <n v="3750"/>
    <n v="2.5"/>
    <n v="1.5"/>
    <n v="0"/>
    <n v="3750"/>
    <n v="0.6"/>
    <n v="3.125"/>
    <n v="9375"/>
    <e v="#N/A"/>
    <n v="0"/>
  </r>
  <r>
    <x v="4"/>
    <n v="190"/>
    <d v="2022-03-31T00:00:00"/>
    <n v="3750"/>
    <n v="3.85"/>
    <n v="3.1"/>
    <n v="0"/>
    <n v="2812.5"/>
    <n v="0.80519480519480524"/>
    <n v="4.8125"/>
    <n v="14437.5"/>
    <e v="#N/A"/>
    <n v="0"/>
  </r>
  <r>
    <x v="4"/>
    <n v="190"/>
    <d v="2022-03-31T00:00:00"/>
    <n v="3750"/>
    <n v="3.5"/>
    <n v="4.0999999999999996"/>
    <n v="0"/>
    <n v="-2249.9999999999986"/>
    <n v="1.1714285714285713"/>
    <n v="4.375"/>
    <n v="13125"/>
    <e v="#N/A"/>
    <n v="0"/>
  </r>
  <r>
    <x v="1"/>
    <n v="250"/>
    <d v="2022-03-31T00:00:00"/>
    <n v="6750"/>
    <n v="2.8"/>
    <n v="2"/>
    <n v="0"/>
    <n v="5399.9999999999991"/>
    <n v="0.7142857142857143"/>
    <n v="3.5"/>
    <n v="18900"/>
    <e v="#N/A"/>
    <n v="0"/>
  </r>
  <r>
    <x v="5"/>
    <n v="32000"/>
    <d v="2022-03-31T00:00:00"/>
    <n v="25"/>
    <n v="163.5"/>
    <n v="3.3"/>
    <n v="0"/>
    <n v="4004.9999999999995"/>
    <n v="2.0183486238532108E-2"/>
    <n v="204.375"/>
    <n v="4087.5"/>
    <e v="#N/A"/>
    <n v="0"/>
  </r>
  <r>
    <x v="5"/>
    <n v="33000"/>
    <d v="2022-03-31T00:00:00"/>
    <n v="25"/>
    <n v="235"/>
    <n v="1650.6"/>
    <n v="0"/>
    <n v="-35390"/>
    <n v="7.0238297872340425"/>
    <n v="293.75"/>
    <n v="5875"/>
    <e v="#N/A"/>
    <n v="0"/>
  </r>
  <r>
    <x v="0"/>
    <n v="14000"/>
    <d v="2022-03-31T00:00:00"/>
    <n v="150"/>
    <n v="27.92"/>
    <n v="1.7"/>
    <n v="0"/>
    <n v="3933.0000000000005"/>
    <n v="6.0888252148997131E-2"/>
    <n v="34.900000000000006"/>
    <n v="4188"/>
    <e v="#N/A"/>
    <n v="0"/>
  </r>
  <r>
    <x v="0"/>
    <n v="18500"/>
    <d v="2022-03-31T00:00:00"/>
    <n v="150"/>
    <n v="69.55"/>
    <n v="10.1"/>
    <n v="0"/>
    <n v="8917.5"/>
    <n v="0.14521926671459381"/>
    <n v="86.9375"/>
    <n v="10432.5"/>
    <e v="#N/A"/>
    <n v="0"/>
  </r>
  <r>
    <x v="5"/>
    <n v="34000"/>
    <d v="2022-03-31T00:00:00"/>
    <n v="50"/>
    <n v="254"/>
    <n v="6.3"/>
    <n v="0"/>
    <n v="12385"/>
    <n v="2.4803149606299212E-2"/>
    <n v="317.5"/>
    <n v="12700"/>
    <e v="#N/A"/>
    <n v="0"/>
  </r>
  <r>
    <x v="0"/>
    <m/>
    <d v="2022-03-31T00:00:00"/>
    <n v="50"/>
    <n v="16595"/>
    <n v="17442.650000000001"/>
    <n v="0"/>
    <n v="42382.500000000073"/>
    <n v="1.0510786381440194"/>
    <n v="12446.25"/>
    <n v="829750"/>
    <e v="#N/A"/>
    <n v="829750"/>
  </r>
  <r>
    <x v="0"/>
    <n v="17800"/>
    <d v="2022-03-31T00:00:00"/>
    <n v="100"/>
    <n v="110.5"/>
    <n v="34.299999999999997"/>
    <n v="0"/>
    <n v="7620"/>
    <n v="0.31040723981900448"/>
    <n v="138.125"/>
    <n v="11050"/>
    <e v="#N/A"/>
    <n v="0"/>
  </r>
  <r>
    <x v="0"/>
    <n v="17700"/>
    <d v="2022-03-31T00:00:00"/>
    <n v="100"/>
    <n v="128.94999999999999"/>
    <n v="42"/>
    <n v="0"/>
    <n v="8694.9999999999982"/>
    <n v="0.32570763861962004"/>
    <n v="161.1875"/>
    <n v="12894.999999999998"/>
    <e v="#N/A"/>
    <n v="0"/>
  </r>
  <r>
    <x v="0"/>
    <n v="17650"/>
    <d v="2022-03-31T00:00:00"/>
    <n v="50"/>
    <n v="136.4"/>
    <n v="46.95"/>
    <n v="0"/>
    <n v="4472.5"/>
    <n v="0.34420821114369504"/>
    <n v="170.5"/>
    <n v="6820"/>
    <e v="#N/A"/>
    <n v="0"/>
  </r>
  <r>
    <x v="1"/>
    <n v="235"/>
    <d v="2022-03-31T00:00:00"/>
    <n v="13500"/>
    <n v="2.75"/>
    <n v="4.8"/>
    <n v="0"/>
    <n v="-27674.999999999996"/>
    <n v="1.7454545454545454"/>
    <n v="3.4375"/>
    <n v="37125"/>
    <e v="#N/A"/>
    <n v="0"/>
  </r>
  <r>
    <x v="1"/>
    <m/>
    <d v="2022-03-31T00:00:00"/>
    <n v="6750"/>
    <n v="203.8"/>
    <n v="226.5"/>
    <n v="0"/>
    <n v="153224.99999999991"/>
    <n v="1.1113837095191363"/>
    <n v="152.85000000000002"/>
    <n v="1375650"/>
    <e v="#N/A"/>
    <n v="1375650"/>
  </r>
  <r>
    <x v="1"/>
    <n v="235"/>
    <d v="2022-03-31T00:00:00"/>
    <n v="6750"/>
    <n v="2.75"/>
    <n v="4.5999999999999996"/>
    <n v="0"/>
    <n v="-12487.499999999998"/>
    <n v="1.6727272727272726"/>
    <n v="3.4375"/>
    <n v="18562.5"/>
    <e v="#N/A"/>
    <n v="0"/>
  </r>
  <r>
    <x v="1"/>
    <m/>
    <d v="2022-03-31T00:00:00"/>
    <n v="6750"/>
    <n v="220.4"/>
    <n v="220.5"/>
    <n v="0"/>
    <n v="674.99999999996157"/>
    <n v="1.0004537205081669"/>
    <n v="165.3"/>
    <n v="1487700"/>
    <e v="#N/A"/>
    <n v="1487700"/>
  </r>
  <r>
    <x v="1"/>
    <n v="250"/>
    <d v="2022-03-31T00:00:00"/>
    <n v="6750"/>
    <n v="2.15"/>
    <n v="2.1"/>
    <n v="0"/>
    <n v="337.49999999999881"/>
    <n v="0.9767441860465117"/>
    <n v="2.6875"/>
    <n v="14512.5"/>
    <e v="#N/A"/>
    <n v="0"/>
  </r>
  <r>
    <x v="3"/>
    <n v="550"/>
    <d v="2022-03-31T00:00:00"/>
    <n v="2850"/>
    <n v="2.75"/>
    <n v="1.3"/>
    <n v="0"/>
    <n v="4132.5"/>
    <n v="0.47272727272727272"/>
    <n v="3.4375"/>
    <n v="7837.5"/>
    <e v="#N/A"/>
    <n v="0"/>
  </r>
  <r>
    <x v="1"/>
    <m/>
    <d v="2022-03-31T00:00:00"/>
    <n v="6750"/>
    <n v="218.05"/>
    <n v="219.3"/>
    <n v="0"/>
    <n v="8437.5"/>
    <n v="1.0057326301307039"/>
    <n v="163.53750000000002"/>
    <n v="1471837.5"/>
    <e v="#N/A"/>
    <n v="1471837.5"/>
  </r>
  <r>
    <x v="1"/>
    <n v="200"/>
    <d v="2022-03-31T00:00:00"/>
    <n v="6750"/>
    <n v="3.65"/>
    <n v="2.85"/>
    <n v="0"/>
    <n v="5399.9999999999991"/>
    <n v="0.78082191780821919"/>
    <n v="4.5625"/>
    <n v="24637.5"/>
    <e v="#N/A"/>
    <n v="0"/>
  </r>
  <r>
    <x v="1"/>
    <m/>
    <d v="2022-03-31T00:00:00"/>
    <n v="13500"/>
    <n v="226"/>
    <n v="227"/>
    <n v="0"/>
    <n v="13500"/>
    <n v="1.0044247787610618"/>
    <n v="169.5"/>
    <n v="3051000"/>
    <e v="#N/A"/>
    <n v="3051000"/>
  </r>
  <r>
    <x v="1"/>
    <n v="250"/>
    <d v="2022-03-31T00:00:00"/>
    <n v="6750"/>
    <n v="3.2"/>
    <n v="2.1"/>
    <n v="0"/>
    <n v="7425.0000000000009"/>
    <n v="0.65625"/>
    <n v="4"/>
    <n v="21600"/>
    <e v="#N/A"/>
    <n v="0"/>
  </r>
  <r>
    <x v="1"/>
    <m/>
    <d v="2022-03-31T00:00:00"/>
    <n v="6750"/>
    <n v="225.7"/>
    <n v="227"/>
    <n v="0"/>
    <n v="8775.0000000000764"/>
    <n v="1.0057598582188747"/>
    <n v="169.27499999999998"/>
    <n v="1523475"/>
    <e v="#N/A"/>
    <n v="1523475"/>
  </r>
  <r>
    <x v="1"/>
    <n v="235"/>
    <d v="2022-03-31T00:00:00"/>
    <n v="6750"/>
    <n v="2.75"/>
    <n v="6.9"/>
    <n v="0"/>
    <n v="-28012.500000000004"/>
    <n v="2.5090909090909093"/>
    <n v="3.4375"/>
    <n v="18562.5"/>
    <e v="#N/A"/>
    <n v="0"/>
  </r>
  <r>
    <x v="5"/>
    <m/>
    <d v="2022-03-31T00:00:00"/>
    <n v="25"/>
    <n v="35149"/>
    <n v="35700"/>
    <n v="0"/>
    <n v="13775"/>
    <n v="1.0156761216535322"/>
    <n v="26361.75"/>
    <n v="878725"/>
    <e v="#N/A"/>
    <n v="878725"/>
  </r>
  <r>
    <x v="5"/>
    <n v="38500"/>
    <d v="2022-03-31T00:00:00"/>
    <n v="25"/>
    <n v="243.75"/>
    <n v="2.5"/>
    <n v="0"/>
    <n v="6031.25"/>
    <n v="1.0256410256410256E-2"/>
    <n v="304.6875"/>
    <n v="6093.75"/>
    <e v="#N/A"/>
    <n v="0"/>
  </r>
  <r>
    <x v="1"/>
    <m/>
    <d v="2022-03-31T00:00:00"/>
    <n v="6750"/>
    <n v="226"/>
    <n v="226.5"/>
    <n v="0"/>
    <n v="3375"/>
    <n v="1.002212389380531"/>
    <n v="169.5"/>
    <n v="1525500"/>
    <e v="#N/A"/>
    <n v="1525500"/>
  </r>
  <r>
    <x v="1"/>
    <m/>
    <d v="2022-03-31T00:00:00"/>
    <n v="6750"/>
    <n v="227"/>
    <n v="228.6"/>
    <n v="0"/>
    <n v="10799.999999999962"/>
    <n v="1.0070484581497796"/>
    <n v="170.25"/>
    <n v="1532250"/>
    <e v="#N/A"/>
    <n v="1532250"/>
  </r>
  <r>
    <x v="1"/>
    <m/>
    <d v="2022-03-31T00:00:00"/>
    <n v="6750"/>
    <n v="230.3"/>
    <n v="239"/>
    <n v="0"/>
    <n v="58724.99999999992"/>
    <n v="1.0377768128528007"/>
    <n v="172.72500000000002"/>
    <n v="1554525"/>
    <e v="#N/A"/>
    <n v="1554525"/>
  </r>
  <r>
    <x v="3"/>
    <m/>
    <d v="2022-03-31T00:00:00"/>
    <n v="2850"/>
    <n v="439.6"/>
    <n v="408.53"/>
    <n v="0"/>
    <n v="-88549.500000000146"/>
    <n v="0.92932211101000894"/>
    <n v="329.70000000000005"/>
    <n v="1252860"/>
    <e v="#N/A"/>
    <n v="1252860"/>
  </r>
  <r>
    <x v="0"/>
    <n v="17700"/>
    <d v="2022-03-31T00:00:00"/>
    <n v="50"/>
    <n v="100.3"/>
    <n v="0.45"/>
    <n v="0"/>
    <n v="4992.5"/>
    <n v="4.4865403788634101E-3"/>
    <n v="125.375"/>
    <n v="5015"/>
    <e v="#N/A"/>
    <n v="0"/>
  </r>
  <r>
    <x v="5"/>
    <n v="38000"/>
    <d v="2022-03-31T00:00:00"/>
    <n v="25"/>
    <n v="229.95"/>
    <n v="4.2"/>
    <n v="0"/>
    <n v="5643.75"/>
    <n v="1.8264840182648404E-2"/>
    <n v="287.4375"/>
    <n v="5748.75"/>
    <e v="#N/A"/>
    <n v="0"/>
  </r>
  <r>
    <x v="4"/>
    <m/>
    <d v="2022-03-31T00:00:00"/>
    <n v="3750"/>
    <n v="212"/>
    <n v="212.4"/>
    <n v="0"/>
    <n v="1500.0000000000214"/>
    <n v="1.0018867924528303"/>
    <n v="159"/>
    <n v="795000"/>
    <e v="#N/A"/>
    <n v="795000"/>
  </r>
  <r>
    <x v="4"/>
    <m/>
    <d v="2022-03-31T00:00:00"/>
    <n v="3750"/>
    <n v="214.5"/>
    <n v="220.8"/>
    <n v="0"/>
    <n v="23625.000000000044"/>
    <n v="1.0293706293706295"/>
    <n v="160.875"/>
    <n v="804375"/>
    <e v="#N/A"/>
    <n v="804375"/>
  </r>
  <r>
    <x v="4"/>
    <n v="240"/>
    <d v="2022-03-31T00:00:00"/>
    <n v="7500"/>
    <n v="2.4"/>
    <n v="0.05"/>
    <n v="0"/>
    <n v="17625"/>
    <n v="2.0833333333333336E-2"/>
    <n v="3"/>
    <n v="18000"/>
    <e v="#N/A"/>
    <n v="0"/>
  </r>
  <r>
    <x v="4"/>
    <n v="200"/>
    <d v="2022-03-31T00:00:00"/>
    <n v="3750"/>
    <n v="5.15"/>
    <n v="5.55"/>
    <n v="0"/>
    <n v="-1499.999999999998"/>
    <n v="1.0776699029126213"/>
    <n v="6.4375"/>
    <n v="19312.5"/>
    <e v="#N/A"/>
    <n v="0"/>
  </r>
  <r>
    <x v="3"/>
    <n v="500"/>
    <d v="2022-03-31T00:00:00"/>
    <n v="8550"/>
    <n v="3.73"/>
    <n v="0.05"/>
    <n v="0"/>
    <n v="31464"/>
    <n v="1.3404825737265416E-2"/>
    <n v="4.6624999999999996"/>
    <n v="31891.5"/>
    <e v="#N/A"/>
    <n v="0"/>
  </r>
  <r>
    <x v="3"/>
    <n v="480"/>
    <d v="2022-03-31T00:00:00"/>
    <n v="2850"/>
    <n v="5.7"/>
    <n v="0.05"/>
    <n v="0"/>
    <n v="16102.500000000002"/>
    <n v="8.771929824561403E-3"/>
    <n v="7.125"/>
    <n v="16245"/>
    <e v="#N/A"/>
    <n v="0"/>
  </r>
  <r>
    <x v="0"/>
    <n v="17500"/>
    <d v="2022-03-31T00:00:00"/>
    <n v="200"/>
    <n v="62.88"/>
    <n v="3.1"/>
    <n v="0"/>
    <n v="11956"/>
    <n v="4.9300254452926205E-2"/>
    <n v="78.600000000000009"/>
    <n v="12576"/>
    <e v="#N/A"/>
    <n v="0"/>
  </r>
  <r>
    <x v="0"/>
    <n v="17400"/>
    <d v="2022-03-31T00:00:00"/>
    <n v="100"/>
    <n v="77.099999999999994"/>
    <n v="48.4"/>
    <n v="0"/>
    <n v="2869.9999999999995"/>
    <n v="0.62775616083009078"/>
    <n v="96.375"/>
    <n v="7709.9999999999991"/>
    <e v="#N/A"/>
    <n v="0"/>
  </r>
  <r>
    <x v="0"/>
    <n v="17300"/>
    <d v="2022-03-31T00:00:00"/>
    <n v="200"/>
    <n v="93.05"/>
    <n v="160"/>
    <n v="0"/>
    <n v="-13390"/>
    <n v="1.7195056421278883"/>
    <n v="116.3125"/>
    <n v="18610"/>
    <e v="#N/A"/>
    <n v="0"/>
  </r>
  <r>
    <x v="0"/>
    <m/>
    <d v="2022-03-31T00:00:00"/>
    <n v="50"/>
    <n v="15818"/>
    <n v="17442.650000000001"/>
    <n v="0"/>
    <n v="81232.500000000073"/>
    <n v="1.102708939183209"/>
    <n v="11863.5"/>
    <n v="790900"/>
    <e v="#N/A"/>
    <n v="790900"/>
  </r>
  <r>
    <x v="0"/>
    <n v="17000"/>
    <d v="2022-03-31T00:00:00"/>
    <n v="100"/>
    <n v="84.94"/>
    <n v="467"/>
    <n v="0"/>
    <n v="-38206"/>
    <n v="5.4979985872380501"/>
    <n v="106.175"/>
    <n v="8494"/>
    <e v="#N/A"/>
    <n v="0"/>
  </r>
  <r>
    <x v="5"/>
    <n v="36500"/>
    <d v="2022-03-31T00:00:00"/>
    <n v="25"/>
    <n v="235.5"/>
    <n v="2.75"/>
    <n v="0"/>
    <n v="5818.75"/>
    <n v="1.167728237791932E-2"/>
    <n v="294.375"/>
    <n v="5887.5"/>
    <e v="#N/A"/>
    <n v="0"/>
  </r>
  <r>
    <x v="5"/>
    <n v="36000"/>
    <d v="2022-03-31T00:00:00"/>
    <n v="25"/>
    <n v="277.3"/>
    <n v="375"/>
    <n v="0"/>
    <n v="-2442.4999999999995"/>
    <n v="1.3523260007212405"/>
    <n v="346.625"/>
    <n v="6932.5"/>
    <e v="#N/A"/>
    <n v="0"/>
  </r>
  <r>
    <x v="5"/>
    <m/>
    <d v="2022-03-31T00:00:00"/>
    <n v="25"/>
    <n v="32771.550000000003"/>
    <n v="35700"/>
    <n v="0"/>
    <n v="73211.249999999927"/>
    <n v="1.0893595206818107"/>
    <n v="24578.662500000002"/>
    <n v="819288.75000000012"/>
    <e v="#N/A"/>
    <n v="819288.75000000012"/>
  </r>
  <r>
    <x v="5"/>
    <n v="32000"/>
    <d v="2022-03-31T00:00:00"/>
    <n v="25"/>
    <n v="163.5"/>
    <n v="1175.75"/>
    <n v="0"/>
    <n v="-25306.25"/>
    <n v="7.1911314984709476"/>
    <n v="204.375"/>
    <n v="4087.5"/>
    <e v="#N/A"/>
    <n v="0"/>
  </r>
  <r>
    <x v="5"/>
    <n v="31000"/>
    <d v="2022-03-31T00:00:00"/>
    <n v="50"/>
    <n v="833.1"/>
    <n v="108.75"/>
    <n v="0"/>
    <n v="36217.5"/>
    <n v="0.13053655023406555"/>
    <n v="1041.375"/>
    <n v="41655"/>
    <e v="#N/A"/>
    <n v="0"/>
  </r>
  <r>
    <x v="6"/>
    <n v="4000"/>
    <d v="2022-03-31T00:00:00"/>
    <n v="150"/>
    <n v="13"/>
    <n v="0.05"/>
    <n v="0"/>
    <n v="1942.5"/>
    <n v="3.8461538461538464E-3"/>
    <n v="16.25"/>
    <n v="1950"/>
    <e v="#N/A"/>
    <n v="0"/>
  </r>
  <r>
    <x v="6"/>
    <m/>
    <d v="2022-03-31T00:00:00"/>
    <n v="150"/>
    <n v="3650.2"/>
    <n v="3681.95"/>
    <n v="0"/>
    <n v="4762.5"/>
    <n v="1.0086981535258341"/>
    <n v="2737.6499999999996"/>
    <n v="547530"/>
    <e v="#N/A"/>
    <n v="547530"/>
  </r>
  <r>
    <x v="3"/>
    <n v="480"/>
    <d v="2022-03-31T00:00:00"/>
    <n v="2850"/>
    <n v="3.1"/>
    <n v="0.05"/>
    <n v="0"/>
    <n v="8692.5"/>
    <n v="1.6129032258064516E-2"/>
    <n v="3.875"/>
    <n v="8835"/>
    <e v="#N/A"/>
    <n v="0"/>
  </r>
  <r>
    <x v="3"/>
    <m/>
    <d v="2022-03-31T00:00:00"/>
    <n v="2850"/>
    <n v="406.3"/>
    <n v="408.53"/>
    <n v="0"/>
    <n v="6355.49999999989"/>
    <n v="1.0054885552547377"/>
    <n v="304.72500000000002"/>
    <n v="1157955"/>
    <e v="#N/A"/>
    <n v="1157955"/>
  </r>
  <r>
    <x v="3"/>
    <m/>
    <d v="2022-03-31T00:00:00"/>
    <n v="2850"/>
    <n v="408.1"/>
    <n v="430.4"/>
    <n v="0"/>
    <n v="63554.999999999869"/>
    <n v="1.0546434697378093"/>
    <n v="306.07500000000005"/>
    <n v="1163085"/>
    <e v="#N/A"/>
    <n v="1163085"/>
  </r>
  <r>
    <x v="4"/>
    <m/>
    <d v="2022-03-31T00:00:00"/>
    <n v="3750"/>
    <n v="221.5"/>
    <n v="227"/>
    <n v="0"/>
    <n v="20625"/>
    <n v="1.0248306997742664"/>
    <n v="166.125"/>
    <n v="830625"/>
    <e v="#N/A"/>
    <n v="830625"/>
  </r>
  <r>
    <x v="5"/>
    <m/>
    <d v="2022-03-31T00:00:00"/>
    <n v="25"/>
    <n v="35050"/>
    <n v="35700"/>
    <n v="0"/>
    <n v="16250"/>
    <n v="1.0185449358059915"/>
    <n v="26287.5"/>
    <n v="876250"/>
    <e v="#N/A"/>
    <n v="876250"/>
  </r>
  <r>
    <x v="0"/>
    <m/>
    <d v="2022-03-31T00:00:00"/>
    <n v="50"/>
    <n v="16674"/>
    <n v="17442.650000000001"/>
    <n v="0"/>
    <n v="38432.500000000073"/>
    <n v="1.0460987165647115"/>
    <n v="12505.5"/>
    <n v="833700"/>
    <e v="#N/A"/>
    <n v="833700"/>
  </r>
  <r>
    <x v="5"/>
    <m/>
    <d v="2022-03-31T00:00:00"/>
    <n v="25"/>
    <n v="35675"/>
    <n v="35730"/>
    <n v="0"/>
    <n v="1375"/>
    <n v="1.0015416958654519"/>
    <n v="26756.25"/>
    <n v="891875"/>
    <e v="#N/A"/>
    <n v="891875"/>
  </r>
  <r>
    <x v="5"/>
    <m/>
    <d v="2022-03-31T00:00:00"/>
    <n v="25"/>
    <n v="35650"/>
    <n v="35654.9"/>
    <n v="0"/>
    <n v="122.50000000003638"/>
    <n v="1.0001374474053297"/>
    <n v="26737.5"/>
    <n v="891250"/>
    <e v="#N/A"/>
    <n v="891250"/>
  </r>
  <r>
    <x v="5"/>
    <m/>
    <d v="2022-03-31T00:00:00"/>
    <n v="25"/>
    <n v="35620"/>
    <n v="36400"/>
    <n v="0"/>
    <n v="19500"/>
    <n v="1.0218978102189782"/>
    <n v="26715"/>
    <n v="890500"/>
    <e v="#N/A"/>
    <n v="890500"/>
  </r>
  <r>
    <x v="0"/>
    <m/>
    <d v="2022-04-28T00:00:00"/>
    <n v="50"/>
    <n v="17366.3"/>
    <n v="17140"/>
    <n v="0"/>
    <n v="-11314.999999999964"/>
    <n v="0.98696901470088627"/>
    <n v="13024.724999999999"/>
    <n v="868315"/>
    <e v="#N/A"/>
    <n v="868315"/>
  </r>
  <r>
    <x v="0"/>
    <n v="17000"/>
    <d v="2022-03-31T00:00:00"/>
    <n v="50"/>
    <n v="84.94"/>
    <n v="460.45"/>
    <n v="0"/>
    <n v="-18775.5"/>
    <n v="5.4208853308217568"/>
    <n v="106.175"/>
    <n v="4247"/>
    <e v="#N/A"/>
    <n v="0"/>
  </r>
  <r>
    <x v="0"/>
    <n v="17000"/>
    <d v="2022-03-31T00:00:00"/>
    <n v="50"/>
    <n v="84.94"/>
    <n v="398"/>
    <n v="0"/>
    <n v="-15653"/>
    <n v="4.6856604662114432"/>
    <n v="106.175"/>
    <n v="4247"/>
    <e v="#N/A"/>
    <n v="0"/>
  </r>
  <r>
    <x v="0"/>
    <n v="17500"/>
    <d v="2022-03-31T00:00:00"/>
    <n v="50"/>
    <n v="176.15"/>
    <n v="3.1"/>
    <n v="0"/>
    <n v="8652.5"/>
    <n v="1.7598637524836785E-2"/>
    <n v="220.1875"/>
    <n v="8807.5"/>
    <e v="#N/A"/>
    <n v="0"/>
  </r>
  <r>
    <x v="0"/>
    <n v="17500"/>
    <d v="2022-03-31T00:00:00"/>
    <n v="50"/>
    <n v="147"/>
    <n v="3.1"/>
    <n v="0"/>
    <n v="7195"/>
    <n v="2.1088435374149662E-2"/>
    <n v="183.75"/>
    <n v="7350"/>
    <e v="#N/A"/>
    <n v="0"/>
  </r>
  <r>
    <x v="0"/>
    <n v="17650"/>
    <d v="2022-03-31T00:00:00"/>
    <n v="50"/>
    <n v="100.8"/>
    <n v="0.5"/>
    <n v="0"/>
    <n v="5015"/>
    <n v="4.96031746031746E-3"/>
    <n v="126"/>
    <n v="5040"/>
    <e v="#N/A"/>
    <n v="0"/>
  </r>
  <r>
    <x v="0"/>
    <n v="17700"/>
    <d v="2022-03-31T00:00:00"/>
    <n v="50"/>
    <n v="102"/>
    <n v="0.45"/>
    <n v="0"/>
    <n v="5077.5"/>
    <n v="4.4117647058823529E-3"/>
    <n v="127.5"/>
    <n v="5100"/>
    <e v="#N/A"/>
    <n v="0"/>
  </r>
  <r>
    <x v="3"/>
    <m/>
    <d v="2022-04-28T00:00:00"/>
    <n v="2850"/>
    <n v="438.5"/>
    <n v="459.5"/>
    <n v="0"/>
    <n v="59850"/>
    <n v="1.047890535917902"/>
    <n v="328.875"/>
    <n v="1249725"/>
    <e v="#N/A"/>
    <n v="1249725"/>
  </r>
  <r>
    <x v="0"/>
    <m/>
    <d v="2022-03-31T00:00:00"/>
    <n v="100"/>
    <n v="17440"/>
    <n v="17488.25"/>
    <n v="0"/>
    <n v="4825"/>
    <n v="1.0027666284403669"/>
    <n v="13080"/>
    <n v="1744000"/>
    <e v="#N/A"/>
    <n v="1744000"/>
  </r>
  <r>
    <x v="1"/>
    <m/>
    <d v="2022-03-31T00:00:00"/>
    <n v="6750"/>
    <n v="230.3"/>
    <n v="237"/>
    <n v="0"/>
    <n v="45224.99999999992"/>
    <n v="1.0290924880590533"/>
    <n v="172.72500000000002"/>
    <n v="1554525"/>
    <e v="#N/A"/>
    <n v="1554525"/>
  </r>
  <r>
    <x v="1"/>
    <m/>
    <d v="2022-04-28T00:00:00"/>
    <n v="6750"/>
    <n v="237.6"/>
    <n v="246.6"/>
    <n v="0"/>
    <n v="60750"/>
    <n v="1.0378787878787878"/>
    <n v="178.2"/>
    <n v="1603800"/>
    <e v="#N/A"/>
    <n v="1603800"/>
  </r>
  <r>
    <x v="1"/>
    <n v="250"/>
    <d v="2022-03-31T00:00:00"/>
    <n v="6750"/>
    <n v="2.0499999999999998"/>
    <n v="2.1"/>
    <n v="0"/>
    <n v="-337.50000000000182"/>
    <n v="1.024390243902439"/>
    <n v="2.5625"/>
    <n v="13837.499999999998"/>
    <e v="#N/A"/>
    <n v="0"/>
  </r>
  <r>
    <x v="7"/>
    <m/>
    <d v="2022-04-28T00:00:00"/>
    <n v="575"/>
    <n v="1780.35"/>
    <n v="1678"/>
    <n v="0"/>
    <n v="0"/>
    <n v="0.94251130395708715"/>
    <n v="1335.2624999999998"/>
    <n v="0"/>
    <e v="#N/A"/>
    <n v="1023701.25"/>
  </r>
  <r>
    <x v="7"/>
    <n v="2000"/>
    <d v="2022-04-28T00:00:00"/>
    <n v="575"/>
    <n v="9.75"/>
    <n v="0.95"/>
    <n v="0"/>
    <n v="5060"/>
    <n v="9.7435897435897437E-2"/>
    <n v="12.1875"/>
    <n v="5606.25"/>
    <e v="#N/A"/>
    <n v="0"/>
  </r>
  <r>
    <x v="1"/>
    <m/>
    <d v="2022-04-28T00:00:00"/>
    <n v="6750"/>
    <n v="240.45"/>
    <n v="246.6"/>
    <n v="0"/>
    <n v="41512.500000000036"/>
    <n v="1.0255770430442919"/>
    <n v="180.33749999999998"/>
    <n v="1623037.5"/>
    <e v="#N/A"/>
    <n v="1623037.5"/>
  </r>
  <r>
    <x v="4"/>
    <m/>
    <d v="2022-04-28T00:00:00"/>
    <n v="3750"/>
    <n v="228.3"/>
    <n v="246.5"/>
    <n v="0"/>
    <n v="68249.999999999956"/>
    <n v="1.0797196671046867"/>
    <n v="171.22500000000002"/>
    <n v="856125"/>
    <e v="#N/A"/>
    <n v="856125"/>
  </r>
  <r>
    <x v="3"/>
    <m/>
    <d v="2022-04-28T00:00:00"/>
    <n v="2850"/>
    <n v="431"/>
    <n v="459.5"/>
    <n v="0"/>
    <n v="81225"/>
    <n v="1.0661252900232019"/>
    <n v="323.25"/>
    <n v="1228350"/>
    <e v="#N/A"/>
    <n v="1228350"/>
  </r>
  <r>
    <x v="6"/>
    <m/>
    <d v="2022-04-28T00:00:00"/>
    <n v="150"/>
    <n v="3692.8"/>
    <n v="3557.3"/>
    <n v="0"/>
    <n v="0"/>
    <n v="0.96330697573656843"/>
    <n v="2769.6000000000004"/>
    <n v="0"/>
    <e v="#N/A"/>
    <n v="553920"/>
  </r>
  <r>
    <x v="5"/>
    <m/>
    <d v="2022-04-28T00:00:00"/>
    <n v="25"/>
    <n v="35839.550000000003"/>
    <n v="37166.199999999997"/>
    <n v="0"/>
    <n v="33166.249999999854"/>
    <n v="1.0370163687881124"/>
    <n v="26879.662500000002"/>
    <n v="895988.75000000012"/>
    <e v="#N/A"/>
    <n v="895988.75000000012"/>
  </r>
  <r>
    <x v="5"/>
    <m/>
    <d v="2022-04-28T00:00:00"/>
    <n v="25"/>
    <n v="35747.9"/>
    <n v="37166.199999999997"/>
    <n v="0"/>
    <n v="35457.499999999891"/>
    <n v="1.0396750578355651"/>
    <n v="26810.925000000003"/>
    <n v="893697.5"/>
    <e v="#N/A"/>
    <n v="893697.5"/>
  </r>
  <r>
    <x v="1"/>
    <n v="250"/>
    <d v="2022-03-31T00:00:00"/>
    <n v="6750"/>
    <n v="1"/>
    <n v="0.1"/>
    <n v="0"/>
    <n v="6075"/>
    <n v="0.1"/>
    <n v="1.25"/>
    <n v="6750"/>
    <e v="#N/A"/>
    <n v="0"/>
  </r>
  <r>
    <x v="0"/>
    <m/>
    <d v="2022-03-31T00:00:00"/>
    <n v="150"/>
    <n v="17440"/>
    <n v="17469.669999999998"/>
    <n v="0"/>
    <n v="0"/>
    <n v="1.0017012614678897"/>
    <n v="13080"/>
    <n v="0"/>
    <e v="#N/A"/>
    <n v="2616000"/>
  </r>
  <r>
    <x v="5"/>
    <m/>
    <d v="2022-04-28T00:00:00"/>
    <n v="25"/>
    <n v="36505"/>
    <n v="37166.199999999997"/>
    <n v="0"/>
    <n v="16529.999999999927"/>
    <n v="1.0181125873168058"/>
    <n v="27378.75"/>
    <n v="912625"/>
    <e v="#N/A"/>
    <n v="912625"/>
  </r>
  <r>
    <x v="0"/>
    <m/>
    <d v="2022-04-28T00:00:00"/>
    <n v="50"/>
    <n v="17524.8"/>
    <n v="16914.349999999999"/>
    <n v="0"/>
    <n v="-30522.500000000036"/>
    <n v="0.96516650689308858"/>
    <n v="13143.599999999999"/>
    <n v="876240"/>
    <e v="#N/A"/>
    <n v="876240"/>
  </r>
  <r>
    <x v="0"/>
    <m/>
    <d v="2022-04-28T00:00:00"/>
    <n v="100"/>
    <n v="17545.3"/>
    <n v="17140"/>
    <n v="0"/>
    <n v="-40529.999999999927"/>
    <n v="0.97689979652670522"/>
    <n v="13158.974999999999"/>
    <n v="1754530"/>
    <e v="#N/A"/>
    <n v="1754530"/>
  </r>
  <r>
    <x v="1"/>
    <n v="280"/>
    <d v="2022-04-28T00:00:00"/>
    <n v="6750"/>
    <n v="2.0499999999999998"/>
    <n v="12.25"/>
    <n v="0"/>
    <n v="-68850"/>
    <n v="5.9756097560975618"/>
    <n v="2.5625"/>
    <n v="13837.499999999998"/>
    <e v="#N/A"/>
    <n v="0"/>
  </r>
  <r>
    <x v="1"/>
    <n v="280"/>
    <d v="2022-04-28T00:00:00"/>
    <n v="6750"/>
    <n v="2.15"/>
    <n v="12.25"/>
    <n v="0"/>
    <n v="-68175"/>
    <n v="5.6976744186046515"/>
    <n v="2.6875"/>
    <n v="14512.5"/>
    <e v="#N/A"/>
    <n v="0"/>
  </r>
  <r>
    <x v="3"/>
    <n v="500"/>
    <d v="2022-04-28T00:00:00"/>
    <n v="2850"/>
    <n v="4"/>
    <n v="1.05"/>
    <n v="0"/>
    <n v="8407.5"/>
    <n v="0.26250000000000001"/>
    <n v="5"/>
    <n v="11400"/>
    <e v="#N/A"/>
    <n v="0"/>
  </r>
  <r>
    <x v="1"/>
    <n v="270"/>
    <d v="2022-04-28T00:00:00"/>
    <n v="6750"/>
    <n v="3.2"/>
    <n v="28.85"/>
    <n v="0"/>
    <n v="-173137.5"/>
    <n v="9.015625"/>
    <n v="4"/>
    <n v="21600"/>
    <e v="#N/A"/>
    <n v="0"/>
  </r>
  <r>
    <x v="4"/>
    <n v="260"/>
    <d v="2022-04-28T00:00:00"/>
    <n v="3750"/>
    <n v="2.8"/>
    <n v="0.95"/>
    <n v="0"/>
    <n v="6937.4999999999991"/>
    <n v="0.3392857142857143"/>
    <n v="3.5"/>
    <n v="10500"/>
    <e v="#N/A"/>
    <n v="0"/>
  </r>
  <r>
    <x v="3"/>
    <n v="510"/>
    <d v="2022-04-28T00:00:00"/>
    <n v="2850"/>
    <n v="3"/>
    <n v="0.85"/>
    <n v="0"/>
    <n v="6127.5"/>
    <n v="0.28333333333333333"/>
    <n v="3.75"/>
    <n v="8550"/>
    <e v="#N/A"/>
    <n v="0"/>
  </r>
  <r>
    <x v="4"/>
    <n v="270"/>
    <d v="2022-04-28T00:00:00"/>
    <n v="3750"/>
    <n v="1.7"/>
    <n v="0.75"/>
    <n v="0"/>
    <n v="3562.5"/>
    <n v="0.44117647058823528"/>
    <n v="2.125"/>
    <n v="6375"/>
    <e v="#N/A"/>
    <n v="0"/>
  </r>
  <r>
    <x v="6"/>
    <n v="4040"/>
    <d v="2022-04-28T00:00:00"/>
    <n v="150"/>
    <n v="20.7"/>
    <n v="1.8"/>
    <n v="0"/>
    <n v="2835"/>
    <n v="8.6956521739130446E-2"/>
    <n v="25.875"/>
    <n v="3105"/>
    <n v="0"/>
    <n v="0"/>
  </r>
  <r>
    <x v="0"/>
    <n v="18500"/>
    <d v="2022-04-28T00:00:00"/>
    <n v="100"/>
    <n v="49.5"/>
    <n v="4"/>
    <n v="0"/>
    <n v="4550"/>
    <n v="8.0808080808080815E-2"/>
    <n v="61.875"/>
    <n v="4950"/>
    <e v="#N/A"/>
    <n v="0"/>
  </r>
  <r>
    <x v="0"/>
    <n v="18600"/>
    <d v="2022-04-28T00:00:00"/>
    <n v="100"/>
    <n v="35.299999999999997"/>
    <n v="3.25"/>
    <n v="0"/>
    <n v="3204.9999999999995"/>
    <n v="9.2067988668555242E-2"/>
    <n v="44.125"/>
    <n v="3529.9999999999995"/>
    <e v="#N/A"/>
    <n v="0"/>
  </r>
  <r>
    <x v="5"/>
    <n v="38500"/>
    <d v="2022-04-28T00:00:00"/>
    <n v="25"/>
    <n v="316"/>
    <n v="838.5"/>
    <n v="0"/>
    <n v="-13062.5"/>
    <n v="2.653481012658228"/>
    <n v="395"/>
    <n v="7900"/>
    <e v="#N/A"/>
    <n v="0"/>
  </r>
  <r>
    <x v="5"/>
    <n v="39000"/>
    <d v="2022-04-28T00:00:00"/>
    <n v="25"/>
    <n v="213.55"/>
    <n v="359.65"/>
    <n v="0"/>
    <n v="-3652.4999999999991"/>
    <n v="1.6841489112619994"/>
    <n v="266.9375"/>
    <n v="5338.75"/>
    <e v="#N/A"/>
    <n v="0"/>
  </r>
  <r>
    <x v="5"/>
    <n v="39500"/>
    <d v="2022-04-28T00:00:00"/>
    <n v="25"/>
    <n v="150"/>
    <n v="234.2"/>
    <n v="0"/>
    <n v="-2104.9999999999995"/>
    <n v="1.5613333333333332"/>
    <n v="187.5"/>
    <n v="3750"/>
    <e v="#N/A"/>
    <n v="0"/>
  </r>
  <r>
    <x v="5"/>
    <n v="40000"/>
    <d v="2022-04-28T00:00:00"/>
    <n v="25"/>
    <n v="95.5"/>
    <n v="3.2"/>
    <n v="0"/>
    <n v="2307.5"/>
    <n v="3.3507853403141365E-2"/>
    <n v="119.375"/>
    <n v="2387.5"/>
    <e v="#N/A"/>
    <n v="0"/>
  </r>
  <r>
    <x v="1"/>
    <n v="290"/>
    <d v="2022-04-28T00:00:00"/>
    <n v="6750"/>
    <n v="1.35"/>
    <n v="15.15"/>
    <n v="0"/>
    <n v="-93150"/>
    <n v="11.222222222222221"/>
    <n v="1.6875"/>
    <n v="9112.5"/>
    <e v="#N/A"/>
    <n v="0"/>
  </r>
  <r>
    <x v="5"/>
    <n v="40000"/>
    <d v="2022-04-28T00:00:00"/>
    <n v="50"/>
    <n v="128.75"/>
    <n v="3.2"/>
    <n v="0"/>
    <n v="6277.5"/>
    <n v="2.4854368932038837E-2"/>
    <n v="160.9375"/>
    <n v="6437.5"/>
    <e v="#N/A"/>
    <n v="0"/>
  </r>
  <r>
    <x v="5"/>
    <m/>
    <d v="2022-04-28T00:00:00"/>
    <n v="50"/>
    <n v="37157.65"/>
    <n v="36085"/>
    <n v="0"/>
    <n v="-53632.500000000073"/>
    <n v="0.97113245859197228"/>
    <n v="27868.237500000003"/>
    <n v="1857882.5"/>
    <e v="#N/A"/>
    <n v="1857882.5"/>
  </r>
  <r>
    <x v="1"/>
    <m/>
    <d v="2022-04-28T00:00:00"/>
    <n v="13500"/>
    <n v="246.5"/>
    <n v="285.55"/>
    <n v="0"/>
    <n v="527175.00000000012"/>
    <n v="1.1584178498985802"/>
    <n v="184.875"/>
    <n v="3327750"/>
    <e v="#N/A"/>
    <n v="3327750"/>
  </r>
  <r>
    <x v="5"/>
    <n v="40000"/>
    <d v="2022-04-28T00:00:00"/>
    <n v="25"/>
    <n v="338.75"/>
    <n v="3.2"/>
    <n v="0"/>
    <n v="8388.75"/>
    <n v="9.4464944649446502E-3"/>
    <n v="423.4375"/>
    <n v="8468.75"/>
    <e v="#N/A"/>
    <n v="0"/>
  </r>
  <r>
    <x v="5"/>
    <m/>
    <d v="2022-04-28T00:00:00"/>
    <n v="25"/>
    <n v="38638.15"/>
    <n v="36085"/>
    <n v="0"/>
    <n v="-63828.750000000036"/>
    <n v="0.93392152574592724"/>
    <n v="28978.612500000003"/>
    <n v="965953.75"/>
    <e v="#N/A"/>
    <n v="965953.75"/>
  </r>
  <r>
    <x v="5"/>
    <n v="38000"/>
    <d v="2022-04-28T00:00:00"/>
    <n v="25"/>
    <n v="664.85"/>
    <n v="1718.2"/>
    <n v="0"/>
    <n v="26333.749999999996"/>
    <n v="2.5843423328570352"/>
    <n v="498.63750000000005"/>
    <n v="16621.25"/>
    <e v="#N/A"/>
    <n v="0"/>
  </r>
  <r>
    <x v="1"/>
    <m/>
    <d v="2022-04-28T00:00:00"/>
    <n v="6750"/>
    <n v="271.8"/>
    <n v="276.95"/>
    <n v="0"/>
    <n v="34762.499999999847"/>
    <n v="1.0189477557027224"/>
    <n v="203.85000000000002"/>
    <n v="1834650"/>
    <e v="#N/A"/>
    <n v="1834650"/>
  </r>
  <r>
    <x v="1"/>
    <n v="300"/>
    <d v="2022-04-28T00:00:00"/>
    <n v="6750"/>
    <n v="5.8"/>
    <n v="13.2"/>
    <n v="0"/>
    <n v="-49950"/>
    <n v="2.2758620689655173"/>
    <n v="7.25"/>
    <n v="39150"/>
    <e v="#N/A"/>
    <n v="0"/>
  </r>
  <r>
    <x v="1"/>
    <n v="290"/>
    <d v="2022-04-28T00:00:00"/>
    <n v="6750"/>
    <n v="8"/>
    <n v="12.7"/>
    <n v="0"/>
    <n v="-31724.999999999996"/>
    <n v="1.5874999999999999"/>
    <n v="10"/>
    <n v="54000"/>
    <e v="#N/A"/>
    <n v="0"/>
  </r>
  <r>
    <x v="1"/>
    <m/>
    <d v="2022-04-28T00:00:00"/>
    <n v="6750"/>
    <n v="276.5"/>
    <n v="285.55"/>
    <n v="0"/>
    <n v="61087.50000000008"/>
    <n v="1.0327305605786619"/>
    <n v="207.375"/>
    <n v="1866375"/>
    <e v="#N/A"/>
    <n v="1866375"/>
  </r>
  <r>
    <x v="1"/>
    <m/>
    <d v="2022-04-28T00:00:00"/>
    <n v="6750"/>
    <n v="286.2"/>
    <n v="257.3"/>
    <n v="0"/>
    <n v="-195074.99999999985"/>
    <n v="0.89902166317260668"/>
    <n v="214.64999999999998"/>
    <n v="1931850"/>
    <e v="#N/A"/>
    <n v="1931850"/>
  </r>
  <r>
    <x v="1"/>
    <m/>
    <d v="2022-04-28T00:00:00"/>
    <n v="6750"/>
    <n v="286"/>
    <n v="244"/>
    <n v="0"/>
    <n v="-283500"/>
    <n v="0.85314685314685312"/>
    <n v="214.5"/>
    <n v="1930500"/>
    <e v="#N/A"/>
    <n v="1930500"/>
  </r>
  <r>
    <x v="1"/>
    <m/>
    <d v="2022-04-28T00:00:00"/>
    <n v="6750"/>
    <n v="285"/>
    <n v="282"/>
    <n v="0"/>
    <n v="-20250"/>
    <n v="0.98947368421052628"/>
    <n v="213.75"/>
    <n v="1923750"/>
    <e v="#N/A"/>
    <n v="1923750"/>
  </r>
  <r>
    <x v="3"/>
    <m/>
    <d v="2022-04-28T00:00:00"/>
    <n v="2850"/>
    <n v="459.45"/>
    <n v="430.8"/>
    <n v="0"/>
    <n v="0"/>
    <n v="0.93764283382304936"/>
    <n v="344.58749999999998"/>
    <n v="0"/>
    <e v="#N/A"/>
    <n v="1309432.5"/>
  </r>
  <r>
    <x v="3"/>
    <m/>
    <d v="2022-04-28T00:00:00"/>
    <n v="2850"/>
    <n v="459.3"/>
    <n v="430.8"/>
    <n v="0"/>
    <n v="0"/>
    <n v="0.93794905290659703"/>
    <n v="344.47500000000002"/>
    <n v="0"/>
    <e v="#N/A"/>
    <n v="1309005"/>
  </r>
  <r>
    <x v="4"/>
    <m/>
    <d v="2022-04-28T00:00:00"/>
    <n v="3750"/>
    <n v="246.3"/>
    <n v="219.05"/>
    <n v="0"/>
    <n v="0"/>
    <n v="0.88936256597645147"/>
    <n v="184.72500000000002"/>
    <n v="0"/>
    <e v="#N/A"/>
    <n v="923625"/>
  </r>
  <r>
    <x v="1"/>
    <m/>
    <d v="2022-04-28T00:00:00"/>
    <n v="6750"/>
    <n v="289.5"/>
    <n v="290.2"/>
    <n v="0"/>
    <n v="4724.9999999999236"/>
    <n v="1.0024179620034541"/>
    <n v="217.125"/>
    <n v="1954125"/>
    <e v="#N/A"/>
    <n v="1954125"/>
  </r>
  <r>
    <x v="1"/>
    <m/>
    <d v="2022-04-28T00:00:00"/>
    <n v="6750"/>
    <n v="293.39999999999998"/>
    <n v="247.65"/>
    <n v="0"/>
    <n v="0"/>
    <n v="0.84406952965235182"/>
    <n v="220.04999999999998"/>
    <n v="0"/>
    <e v="#N/A"/>
    <n v="1980449.9999999998"/>
  </r>
  <r>
    <x v="1"/>
    <n v="300"/>
    <d v="2022-04-28T00:00:00"/>
    <n v="6750"/>
    <n v="10.5"/>
    <n v="13.2"/>
    <n v="0"/>
    <n v="-18224.999999999996"/>
    <n v="1.2571428571428571"/>
    <n v="13.125"/>
    <n v="70875"/>
    <e v="#N/A"/>
    <n v="0"/>
  </r>
  <r>
    <x v="1"/>
    <n v="315"/>
    <d v="2022-04-28T00:00:00"/>
    <n v="6750"/>
    <n v="8.25"/>
    <n v="1.65"/>
    <n v="0"/>
    <n v="44550"/>
    <n v="0.19999999999999998"/>
    <n v="10.3125"/>
    <n v="55687.5"/>
    <e v="#N/A"/>
    <n v="0"/>
  </r>
  <r>
    <x v="1"/>
    <n v="320"/>
    <d v="2022-04-28T00:00:00"/>
    <n v="6750"/>
    <n v="7.2"/>
    <n v="1.4"/>
    <n v="0"/>
    <n v="39150.000000000007"/>
    <n v="0.19444444444444442"/>
    <n v="9"/>
    <n v="48600"/>
    <e v="#N/A"/>
    <n v="0"/>
  </r>
  <r>
    <x v="1"/>
    <n v="280"/>
    <d v="2022-04-28T00:00:00"/>
    <n v="6750"/>
    <n v="22.2"/>
    <n v="12.25"/>
    <n v="0"/>
    <n v="67162.5"/>
    <n v="0.55180180180180183"/>
    <n v="27.75"/>
    <n v="149850"/>
    <e v="#N/A"/>
    <n v="0"/>
  </r>
  <r>
    <x v="6"/>
    <m/>
    <d v="2022-04-28T00:00:00"/>
    <n v="150"/>
    <n v="3736.25"/>
    <n v="3557.3"/>
    <n v="0"/>
    <n v="0"/>
    <n v="0.95210438273670128"/>
    <n v="2802.1875"/>
    <n v="0"/>
    <e v="#N/A"/>
    <n v="560437.5"/>
  </r>
  <r>
    <x v="1"/>
    <n v="310"/>
    <d v="2022-04-28T00:00:00"/>
    <n v="6750"/>
    <n v="6.3"/>
    <n v="1.3"/>
    <n v="0"/>
    <n v="33750"/>
    <n v="0.20634920634920637"/>
    <n v="7.875"/>
    <n v="42525"/>
    <e v="#N/A"/>
    <n v="0"/>
  </r>
  <r>
    <x v="1"/>
    <n v="295"/>
    <d v="2022-04-28T00:00:00"/>
    <n v="6750"/>
    <n v="6.9"/>
    <n v="1.65"/>
    <n v="0"/>
    <n v="35437.5"/>
    <n v="0.23913043478260868"/>
    <n v="8.625"/>
    <n v="46575"/>
    <e v="#N/A"/>
    <n v="0"/>
  </r>
  <r>
    <x v="1"/>
    <n v="300"/>
    <d v="2022-04-28T00:00:00"/>
    <n v="6750"/>
    <n v="5.7"/>
    <n v="0.75"/>
    <n v="0"/>
    <n v="33412.5"/>
    <n v="0.13157894736842105"/>
    <n v="7.125"/>
    <n v="38475"/>
    <e v="#N/A"/>
    <n v="0"/>
  </r>
  <r>
    <x v="1"/>
    <n v="280"/>
    <d v="2022-04-28T00:00:00"/>
    <n v="6750"/>
    <n v="12.45"/>
    <n v="0.7"/>
    <n v="0"/>
    <n v="79312.5"/>
    <n v="5.6224899598393573E-2"/>
    <n v="15.5625"/>
    <n v="84037.5"/>
    <e v="#N/A"/>
    <n v="0"/>
  </r>
  <r>
    <x v="4"/>
    <m/>
    <d v="2022-04-28T00:00:00"/>
    <n v="3750"/>
    <n v="234.9"/>
    <n v="219.05"/>
    <n v="0"/>
    <n v="0"/>
    <n v="0.93252447850149001"/>
    <n v="176.17500000000001"/>
    <n v="0"/>
    <e v="#N/A"/>
    <n v="880875"/>
  </r>
  <r>
    <x v="0"/>
    <m/>
    <d v="2022-04-28T00:00:00"/>
    <n v="50"/>
    <n v="17549.150000000001"/>
    <n v="17140"/>
    <n v="0"/>
    <n v="-20457.500000000073"/>
    <n v="0.97668548049335713"/>
    <n v="13161.862500000001"/>
    <n v="877457.50000000012"/>
    <e v="#N/A"/>
    <n v="877457.50000000012"/>
  </r>
  <r>
    <x v="4"/>
    <n v="250"/>
    <d v="2022-04-28T00:00:00"/>
    <n v="3750"/>
    <n v="4"/>
    <n v="0.05"/>
    <n v="0"/>
    <n v="14812.5"/>
    <n v="1.2500000000000001E-2"/>
    <n v="5"/>
    <n v="15000"/>
    <e v="#N/A"/>
    <n v="0"/>
  </r>
  <r>
    <x v="1"/>
    <n v="300"/>
    <d v="2022-04-28T00:00:00"/>
    <n v="6750"/>
    <n v="2.85"/>
    <n v="0.75"/>
    <n v="0"/>
    <n v="14175"/>
    <n v="0.26315789473684209"/>
    <n v="3.5625"/>
    <n v="19237.5"/>
    <e v="#N/A"/>
    <n v="0"/>
  </r>
  <r>
    <x v="3"/>
    <n v="470"/>
    <d v="2022-04-28T00:00:00"/>
    <n v="2850"/>
    <n v="2.4500000000000002"/>
    <n v="1.75"/>
    <n v="0"/>
    <n v="1995.0000000000005"/>
    <n v="0.71428571428571419"/>
    <n v="3.0625"/>
    <n v="6982.5000000000009"/>
    <e v="#N/A"/>
    <n v="0"/>
  </r>
  <r>
    <x v="5"/>
    <m/>
    <d v="2022-04-28T00:00:00"/>
    <n v="25"/>
    <n v="37157.65"/>
    <n v="36064.75"/>
    <n v="0"/>
    <n v="-27322.500000000036"/>
    <n v="0.97058748333115785"/>
    <n v="27868.237500000003"/>
    <n v="928941.25"/>
    <e v="#N/A"/>
    <n v="928941.25"/>
  </r>
  <r>
    <x v="3"/>
    <n v="500"/>
    <d v="2022-05-26T00:00:00"/>
    <n v="2850"/>
    <n v="5.6"/>
    <n v="1.05"/>
    <n v="0"/>
    <n v="12967.5"/>
    <n v="0.18750000000000003"/>
    <n v="7"/>
    <n v="15959.999999999998"/>
    <n v="0"/>
    <n v="0"/>
  </r>
  <r>
    <x v="3"/>
    <n v="410"/>
    <d v="2022-04-28T00:00:00"/>
    <n v="2850"/>
    <n v="2.35"/>
    <n v="0.05"/>
    <n v="0"/>
    <n v="-6555.0000000000009"/>
    <n v="2.1276595744680851E-2"/>
    <n v="1.7625000000000002"/>
    <n v="6697.5"/>
    <e v="#N/A"/>
    <n v="0"/>
  </r>
  <r>
    <x v="6"/>
    <m/>
    <d v="2022-04-28T00:00:00"/>
    <n v="150"/>
    <n v="3549.35"/>
    <n v="3557.45"/>
    <n v="0"/>
    <n v="1214.9999999999864"/>
    <n v="1.002282107991604"/>
    <n v="2662.0124999999998"/>
    <n v="532402.5"/>
    <e v="#N/A"/>
    <n v="532402.5"/>
  </r>
  <r>
    <x v="4"/>
    <n v="220"/>
    <d v="2022-04-28T00:00:00"/>
    <n v="3750"/>
    <n v="2.6"/>
    <n v="7.55"/>
    <n v="0"/>
    <n v="18562.499999999996"/>
    <n v="2.9038461538461537"/>
    <n v="1.9500000000000002"/>
    <n v="9750"/>
    <e v="#N/A"/>
    <n v="0"/>
  </r>
  <r>
    <x v="5"/>
    <n v="35000"/>
    <d v="2022-05-26T00:00:00"/>
    <n v="25"/>
    <n v="531.85"/>
    <n v="1638.45"/>
    <n v="0"/>
    <n v="27664.999999999996"/>
    <n v="3.0806618407445709"/>
    <n v="398.88750000000005"/>
    <n v="13296.25"/>
    <n v="0"/>
    <n v="0"/>
  </r>
  <r>
    <x v="3"/>
    <n v="410"/>
    <d v="2022-04-28T00:00:00"/>
    <n v="2850"/>
    <n v="1.5"/>
    <n v="0.05"/>
    <n v="0"/>
    <n v="-4132.5"/>
    <n v="3.3333333333333333E-2"/>
    <n v="1.125"/>
    <n v="4275"/>
    <e v="#N/A"/>
    <n v="0"/>
  </r>
  <r>
    <x v="4"/>
    <n v="250"/>
    <d v="2022-04-28T00:00:00"/>
    <n v="3750"/>
    <n v="2.1"/>
    <n v="0.05"/>
    <n v="0"/>
    <n v="7687.5000000000009"/>
    <n v="2.3809523809523808E-2"/>
    <n v="2.625"/>
    <n v="7875"/>
    <e v="#N/A"/>
    <n v="0"/>
  </r>
  <r>
    <x v="3"/>
    <n v="460"/>
    <d v="2022-04-28T00:00:00"/>
    <n v="2850"/>
    <n v="4.3499999999999996"/>
    <n v="0.05"/>
    <n v="0"/>
    <n v="12255"/>
    <n v="1.149425287356322E-2"/>
    <n v="5.4375"/>
    <n v="12397.499999999998"/>
    <e v="#N/A"/>
    <n v="0"/>
  </r>
  <r>
    <x v="3"/>
    <n v="470"/>
    <d v="2022-04-28T00:00:00"/>
    <n v="2850"/>
    <n v="2.5"/>
    <n v="0.05"/>
    <n v="0"/>
    <n v="6982.5000000000009"/>
    <n v="0.02"/>
    <n v="3.125"/>
    <n v="7125"/>
    <e v="#N/A"/>
    <n v="0"/>
  </r>
  <r>
    <x v="1"/>
    <n v="270"/>
    <d v="2022-04-28T00:00:00"/>
    <n v="6750"/>
    <n v="2.15"/>
    <n v="0.15"/>
    <n v="0"/>
    <n v="13500"/>
    <n v="6.9767441860465115E-2"/>
    <n v="2.6875"/>
    <n v="14512.5"/>
    <e v="#N/A"/>
    <n v="0"/>
  </r>
  <r>
    <x v="1"/>
    <m/>
    <d v="2022-05-26T00:00:00"/>
    <n v="6750"/>
    <n v="258"/>
    <n v="212.55"/>
    <n v="0"/>
    <n v="-306787.49999999994"/>
    <n v="0.82383720930232562"/>
    <n v="193.5"/>
    <n v="1741500"/>
    <e v="#VALUE!"/>
    <n v="1741500"/>
  </r>
  <r>
    <x v="1"/>
    <n v="280"/>
    <d v="2022-05-26T00:00:00"/>
    <n v="6750"/>
    <n v="3.65"/>
    <n v="0.95"/>
    <n v="0"/>
    <n v="18225"/>
    <n v="0.26027397260273971"/>
    <n v="4.5625"/>
    <n v="24637.5"/>
    <n v="0"/>
    <n v="0"/>
  </r>
  <r>
    <x v="5"/>
    <n v="38000"/>
    <d v="2022-05-26T00:00:00"/>
    <n v="25"/>
    <n v="317"/>
    <n v="3.35"/>
    <n v="0"/>
    <n v="7841.2499999999991"/>
    <n v="1.056782334384858E-2"/>
    <n v="396.25"/>
    <n v="7925"/>
    <n v="0"/>
    <n v="0"/>
  </r>
  <r>
    <x v="1"/>
    <m/>
    <d v="2022-05-26T00:00:00"/>
    <n v="3375"/>
    <n v="248.85"/>
    <n v="250.2"/>
    <n v="0"/>
    <n v="4556.2499999999809"/>
    <n v="1.0054249547920433"/>
    <n v="186.63749999999999"/>
    <n v="839868.75"/>
    <e v="#VALUE!"/>
    <n v="839868.75"/>
  </r>
  <r>
    <x v="6"/>
    <m/>
    <d v="2022-05-26T00:00:00"/>
    <n v="150"/>
    <n v="3555.8"/>
    <n v="3314"/>
    <n v="0"/>
    <n v="-36270.000000000029"/>
    <n v="0.9319984251082738"/>
    <n v="2666.8500000000004"/>
    <n v="533370"/>
    <e v="#VALUE!"/>
    <n v="533370"/>
  </r>
  <r>
    <x v="3"/>
    <m/>
    <d v="2022-05-26T00:00:00"/>
    <n v="2850"/>
    <n v="432.25"/>
    <n v="433.7"/>
    <n v="0"/>
    <n v="4132.4999999999673"/>
    <n v="1.0033545401966455"/>
    <n v="324.1875"/>
    <n v="1231912.5"/>
    <e v="#VALUE!"/>
    <n v="1231912.5"/>
  </r>
  <r>
    <x v="4"/>
    <m/>
    <d v="2022-05-26T00:00:00"/>
    <n v="7500"/>
    <n v="219.8"/>
    <n v="178.15"/>
    <n v="0"/>
    <n v="-312375.00000000006"/>
    <n v="0.81050955414012738"/>
    <n v="164.85000000000002"/>
    <n v="1648500"/>
    <e v="#VALUE!"/>
    <n v="1648500"/>
  </r>
  <r>
    <x v="7"/>
    <m/>
    <d v="2022-05-26T00:00:00"/>
    <n v="575"/>
    <n v="1684.05"/>
    <n v="1641.75"/>
    <n v="0"/>
    <n v="-24322.499999999975"/>
    <n v="0.97488198093880829"/>
    <n v="1263.0374999999999"/>
    <n v="968328.75"/>
    <e v="#VALUE!"/>
    <n v="968328.75"/>
  </r>
  <r>
    <x v="8"/>
    <m/>
    <d v="2022-05-26T00:00:00"/>
    <n v="200"/>
    <n v="3565"/>
    <n v="2922.6"/>
    <n v="0"/>
    <n v="-128480.00000000001"/>
    <n v="0.81980364656381488"/>
    <n v="2673.75"/>
    <n v="713000"/>
    <e v="#VALUE!"/>
    <n v="713000"/>
  </r>
  <r>
    <x v="3"/>
    <m/>
    <d v="2022-05-26T00:00:00"/>
    <n v="1425"/>
    <n v="432.25"/>
    <n v="424.9"/>
    <n v="0"/>
    <n v="-10473.750000000033"/>
    <n v="0.98299595141700402"/>
    <n v="324.1875"/>
    <n v="615956.25"/>
    <e v="#VALUE!"/>
    <n v="615956.25"/>
  </r>
  <r>
    <x v="3"/>
    <n v="410"/>
    <d v="2022-05-26T00:00:00"/>
    <n v="1425"/>
    <n v="10.35"/>
    <n v="13.6"/>
    <n v="0"/>
    <n v="-4631.25"/>
    <n v="1.3140096618357489"/>
    <n v="12.9375"/>
    <n v="14748.75"/>
    <n v="0"/>
    <n v="0"/>
  </r>
  <r>
    <x v="4"/>
    <n v="205"/>
    <d v="2022-05-26T00:00:00"/>
    <n v="3750"/>
    <n v="7"/>
    <n v="15.35"/>
    <n v="0"/>
    <n v="-31312.5"/>
    <n v="2.1928571428571426"/>
    <n v="8.75"/>
    <n v="26250"/>
    <n v="0"/>
    <n v="0"/>
  </r>
  <r>
    <x v="0"/>
    <n v="18000"/>
    <d v="2022-05-26T00:00:00"/>
    <n v="100"/>
    <n v="67.599999999999994"/>
    <n v="6.95"/>
    <n v="0"/>
    <n v="6064.9999999999991"/>
    <n v="0.10281065088757398"/>
    <n v="84.5"/>
    <n v="6759.9999999999991"/>
    <n v="0"/>
    <n v="0"/>
  </r>
  <r>
    <x v="0"/>
    <n v="18000"/>
    <d v="2022-06-30T00:00:00"/>
    <n v="100"/>
    <n v="179"/>
    <n v="30.5"/>
    <n v="0"/>
    <n v="14850"/>
    <n v="0.17039106145251395"/>
    <n v="223.75"/>
    <n v="17900"/>
    <n v="0"/>
    <n v="0"/>
  </r>
  <r>
    <x v="0"/>
    <n v="16000"/>
    <d v="2022-06-30T00:00:00"/>
    <n v="50"/>
    <n v="164.5"/>
    <n v="440"/>
    <n v="0"/>
    <n v="-13775"/>
    <n v="2.6747720364741641"/>
    <n v="205.625"/>
    <n v="8225"/>
    <n v="0"/>
    <n v="0"/>
  </r>
  <r>
    <x v="5"/>
    <m/>
    <d v="2022-05-26T00:00:00"/>
    <n v="25"/>
    <n v="36129.85"/>
    <n v="34629.15"/>
    <n v="0"/>
    <n v="-37517.499999999927"/>
    <n v="0.95846370798660951"/>
    <n v="27097.387499999997"/>
    <n v="903246.25"/>
    <e v="#VALUE!"/>
    <n v="903246.25"/>
  </r>
  <r>
    <x v="0"/>
    <m/>
    <d v="2022-05-26T00:00:00"/>
    <n v="50"/>
    <n v="17163.25"/>
    <n v="16076.6"/>
    <n v="0"/>
    <n v="-54332.499999999985"/>
    <n v="0.93668739894833442"/>
    <n v="12872.4375"/>
    <n v="858162.5"/>
    <e v="#VALUE!"/>
    <n v="858162.5"/>
  </r>
  <r>
    <x v="0"/>
    <m/>
    <d v="2022-06-30T00:00:00"/>
    <n v="50"/>
    <n v="17191.3"/>
    <n v="16578.95"/>
    <n v="0"/>
    <n v="-30617.499999999927"/>
    <n v="0.96438023884173985"/>
    <n v="12893.474999999999"/>
    <n v="859565"/>
    <n v="0"/>
    <n v="859565"/>
  </r>
  <r>
    <x v="4"/>
    <n v="240"/>
    <d v="2022-05-26T00:00:00"/>
    <n v="3750"/>
    <n v="3.9"/>
    <n v="0.85"/>
    <n v="0"/>
    <n v="11437.5"/>
    <n v="0.21794871794871795"/>
    <n v="4.875"/>
    <n v="14625"/>
    <n v="0"/>
    <n v="0"/>
  </r>
  <r>
    <x v="8"/>
    <n v="3200"/>
    <d v="2022-06-30T00:00:00"/>
    <n v="200"/>
    <n v="60.05"/>
    <n v="251"/>
    <n v="0"/>
    <n v="-38190"/>
    <n v="4.1798501248959203"/>
    <n v="75.0625"/>
    <n v="12010"/>
    <n v="0"/>
    <n v="0"/>
  </r>
  <r>
    <x v="8"/>
    <n v="3900"/>
    <d v="2022-05-26T00:00:00"/>
    <n v="200"/>
    <n v="77"/>
    <n v="5.95"/>
    <n v="0"/>
    <n v="14210"/>
    <n v="7.7272727272727271E-2"/>
    <n v="96.25"/>
    <n v="15400"/>
    <n v="0"/>
    <n v="0"/>
  </r>
  <r>
    <x v="5"/>
    <n v="34800"/>
    <d v="2022-05-26T00:00:00"/>
    <n v="25"/>
    <n v="366"/>
    <n v="1499.85"/>
    <n v="0"/>
    <n v="-28346.249999999996"/>
    <n v="4.097950819672131"/>
    <n v="457.5"/>
    <n v="9150"/>
    <n v="0"/>
    <n v="0"/>
  </r>
  <r>
    <x v="5"/>
    <n v="37500"/>
    <d v="2022-05-26T00:00:00"/>
    <n v="25"/>
    <n v="400.75"/>
    <n v="4.4000000000000004"/>
    <n v="0"/>
    <n v="9908.75"/>
    <n v="1.0979413599500937E-2"/>
    <n v="500.9375"/>
    <n v="10018.75"/>
    <n v="0"/>
    <n v="0"/>
  </r>
  <r>
    <x v="5"/>
    <n v="37500"/>
    <d v="2022-05-26T00:00:00"/>
    <n v="25"/>
    <n v="401.35"/>
    <n v="4.4000000000000004"/>
    <n v="0"/>
    <n v="9923.7500000000018"/>
    <n v="1.0962999875420456E-2"/>
    <n v="501.6875"/>
    <n v="10033.75"/>
    <n v="0"/>
    <n v="0"/>
  </r>
  <r>
    <x v="1"/>
    <n v="270"/>
    <d v="2022-05-26T00:00:00"/>
    <n v="6750"/>
    <n v="5.4"/>
    <n v="0.85"/>
    <n v="0"/>
    <n v="30712.500000000004"/>
    <n v="0.15740740740740738"/>
    <n v="6.75"/>
    <n v="36450"/>
    <n v="0"/>
    <n v="0"/>
  </r>
  <r>
    <x v="0"/>
    <n v="18200"/>
    <d v="2022-06-30T00:00:00"/>
    <n v="50"/>
    <n v="153.15"/>
    <n v="0.05"/>
    <n v="0"/>
    <n v="7655"/>
    <n v="3.2647730982696702E-4"/>
    <n v="191.4375"/>
    <n v="7657.5"/>
    <n v="0"/>
    <n v="0"/>
  </r>
  <r>
    <x v="5"/>
    <m/>
    <d v="2022-06-30T00:00:00"/>
    <n v="25"/>
    <n v="36045"/>
    <n v="36097"/>
    <n v="0"/>
    <n v="1300"/>
    <n v="1.0014426411430157"/>
    <n v="27033.75"/>
    <n v="901125"/>
    <n v="0"/>
    <n v="901125"/>
  </r>
  <r>
    <x v="1"/>
    <m/>
    <d v="2022-05-26T00:00:00"/>
    <n v="3375"/>
    <n v="248.85"/>
    <n v="254.5"/>
    <n v="0"/>
    <n v="19068.750000000018"/>
    <n v="1.0227044404259595"/>
    <n v="186.63749999999999"/>
    <n v="839868.75"/>
    <e v="#VALUE!"/>
    <n v="839868.75"/>
  </r>
  <r>
    <x v="1"/>
    <n v="230"/>
    <d v="2022-05-26T00:00:00"/>
    <n v="6750"/>
    <n v="3.4"/>
    <n v="0"/>
    <n v="0"/>
    <n v="0"/>
    <n v="0"/>
    <n v="4.25"/>
    <n v="22950"/>
    <n v="29700.000000000004"/>
    <n v="0"/>
  </r>
  <r>
    <x v="0"/>
    <m/>
    <d v="2022-06-30T00:00:00"/>
    <n v="50"/>
    <n v="16739.150000000001"/>
    <n v="16800"/>
    <n v="0"/>
    <n v="3042.4999999999272"/>
    <n v="1.0036351905562706"/>
    <n v="12554.362500000001"/>
    <n v="836957.50000000012"/>
    <n v="0"/>
    <n v="836957.50000000012"/>
  </r>
  <r>
    <x v="4"/>
    <n v="220"/>
    <d v="2022-05-26T00:00:00"/>
    <n v="3750"/>
    <n v="3.9"/>
    <n v="0.25"/>
    <n v="0"/>
    <n v="13687.5"/>
    <n v="6.4102564102564111E-2"/>
    <n v="4.875"/>
    <n v="14625"/>
    <n v="0"/>
    <n v="0"/>
  </r>
  <r>
    <x v="1"/>
    <n v="230"/>
    <d v="2022-05-26T00:00:00"/>
    <n v="6750"/>
    <n v="4.1500000000000004"/>
    <n v="0"/>
    <n v="0"/>
    <n v="0"/>
    <n v="0"/>
    <n v="5.1875"/>
    <n v="28012.500000000004"/>
    <n v="34762.5"/>
    <n v="0"/>
  </r>
  <r>
    <x v="4"/>
    <m/>
    <d v="2022-05-26T00:00:00"/>
    <n v="3750"/>
    <n v="198.5"/>
    <n v="199.05"/>
    <n v="0"/>
    <n v="2062.5000000000427"/>
    <n v="1.0027707808564232"/>
    <n v="148.875"/>
    <n v="744375"/>
    <e v="#VALUE!"/>
    <n v="744375"/>
  </r>
  <r>
    <x v="4"/>
    <n v="220"/>
    <d v="2022-05-26T00:00:00"/>
    <n v="3750"/>
    <n v="2.2000000000000002"/>
    <n v="0.25"/>
    <n v="0"/>
    <n v="7312.5000000000009"/>
    <n v="0.11363636363636363"/>
    <n v="2.75"/>
    <n v="8250"/>
    <n v="0"/>
    <n v="0"/>
  </r>
  <r>
    <x v="0"/>
    <m/>
    <d v="2022-05-26T00:00:00"/>
    <n v="50"/>
    <n v="16398"/>
    <n v="16076.6"/>
    <n v="0"/>
    <n v="-16069.999999999982"/>
    <n v="0.98040004878643738"/>
    <n v="12298.5"/>
    <n v="819900"/>
    <e v="#VALUE!"/>
    <n v="819900"/>
  </r>
  <r>
    <x v="1"/>
    <n v="255"/>
    <d v="2022-05-26T00:00:00"/>
    <n v="3375"/>
    <n v="2.2999999999999998"/>
    <n v="0.05"/>
    <n v="0"/>
    <n v="7593.75"/>
    <n v="2.1739130434782612E-2"/>
    <n v="2.875"/>
    <n v="7762.4999999999991"/>
    <n v="0"/>
    <n v="0"/>
  </r>
  <r>
    <x v="3"/>
    <n v="430"/>
    <d v="2022-05-26T00:00:00"/>
    <n v="1425"/>
    <n v="6"/>
    <n v="0.05"/>
    <n v="0"/>
    <n v="8478.75"/>
    <n v="8.3333333333333332E-3"/>
    <n v="7.5"/>
    <n v="8550"/>
    <n v="0"/>
    <n v="0"/>
  </r>
  <r>
    <x v="3"/>
    <n v="440"/>
    <d v="2022-05-26T00:00:00"/>
    <n v="1425"/>
    <n v="4.4000000000000004"/>
    <n v="0.05"/>
    <n v="0"/>
    <n v="6198.7500000000009"/>
    <n v="1.1363636363636364E-2"/>
    <n v="5.5"/>
    <n v="6270.0000000000009"/>
    <n v="0"/>
    <n v="0"/>
  </r>
  <r>
    <x v="0"/>
    <n v="17400"/>
    <d v="2022-05-26T00:00:00"/>
    <n v="50"/>
    <n v="26.5"/>
    <n v="1.55"/>
    <n v="0"/>
    <n v="1247.5"/>
    <n v="5.849056603773585E-2"/>
    <n v="33.125"/>
    <n v="1325"/>
    <n v="0"/>
    <n v="0"/>
  </r>
  <r>
    <x v="3"/>
    <n v="440"/>
    <d v="2022-05-26T00:00:00"/>
    <n v="1425"/>
    <n v="4.6500000000000004"/>
    <n v="0.05"/>
    <n v="0"/>
    <n v="6555.0000000000009"/>
    <n v="1.075268817204301E-2"/>
    <n v="5.8125"/>
    <n v="6626.2500000000009"/>
    <n v="0"/>
    <n v="0"/>
  </r>
  <r>
    <x v="9"/>
    <m/>
    <d v="2022-05-26T00:00:00"/>
    <n v="1600"/>
    <n v="418"/>
    <n v="392.1"/>
    <n v="0"/>
    <n v="-41439.999999999964"/>
    <n v="0.93803827751196178"/>
    <n v="313.5"/>
    <n v="668800"/>
    <e v="#N/A"/>
    <n v="668800"/>
  </r>
  <r>
    <x v="9"/>
    <n v="430"/>
    <d v="2022-05-26T00:00:00"/>
    <n v="1600"/>
    <n v="11.1"/>
    <n v="5.22"/>
    <n v="0"/>
    <n v="9408"/>
    <n v="0.47027027027027024"/>
    <n v="13.875"/>
    <n v="17760"/>
    <e v="#N/A"/>
    <n v="0"/>
  </r>
  <r>
    <x v="9"/>
    <n v="430"/>
    <d v="2022-05-26T00:00:00"/>
    <n v="1600"/>
    <n v="10.4"/>
    <n v="5.22"/>
    <n v="0"/>
    <n v="8288.0000000000018"/>
    <n v="0.50192307692307692"/>
    <n v="13"/>
    <n v="16640"/>
    <e v="#N/A"/>
    <n v="0"/>
  </r>
  <r>
    <x v="9"/>
    <n v="430"/>
    <d v="2022-05-26T00:00:00"/>
    <n v="1600"/>
    <n v="8.1"/>
    <n v="5.22"/>
    <n v="0"/>
    <n v="4608"/>
    <n v="0.64444444444444449"/>
    <n v="10.125"/>
    <n v="12960"/>
    <e v="#N/A"/>
    <n v="0"/>
  </r>
  <r>
    <x v="3"/>
    <m/>
    <d v="2022-05-26T00:00:00"/>
    <n v="1425"/>
    <n v="394.2"/>
    <n v="406"/>
    <n v="0"/>
    <n v="16815.000000000015"/>
    <n v="1.0299340436326738"/>
    <n v="295.64999999999998"/>
    <n v="561735"/>
    <e v="#VALUE!"/>
    <n v="561735"/>
  </r>
  <r>
    <x v="1"/>
    <n v="240"/>
    <d v="2022-05-26T00:00:00"/>
    <n v="3375"/>
    <n v="3.1"/>
    <n v="0.1"/>
    <n v="0"/>
    <n v="10125"/>
    <n v="3.2258064516129031E-2"/>
    <n v="3.875"/>
    <n v="10462.5"/>
    <e v="#N/A"/>
    <n v="0"/>
  </r>
  <r>
    <x v="4"/>
    <n v="210"/>
    <d v="2022-05-26T00:00:00"/>
    <n v="3750"/>
    <n v="2.1"/>
    <n v="0.05"/>
    <n v="0"/>
    <n v="7687.5000000000009"/>
    <n v="2.3809523809523808E-2"/>
    <n v="2.625"/>
    <n v="7875"/>
    <e v="#N/A"/>
    <n v="0"/>
  </r>
  <r>
    <x v="3"/>
    <n v="420"/>
    <d v="2022-05-26T00:00:00"/>
    <n v="1425"/>
    <n v="4.4000000000000004"/>
    <n v="0.5"/>
    <n v="0"/>
    <n v="5557.5000000000009"/>
    <n v="0.11363636363636363"/>
    <n v="5.5"/>
    <n v="6270.0000000000009"/>
    <e v="#N/A"/>
    <n v="0"/>
  </r>
  <r>
    <x v="0"/>
    <n v="17400"/>
    <d v="2022-05-26T00:00:00"/>
    <n v="50"/>
    <n v="15"/>
    <n v="1.55"/>
    <n v="0"/>
    <n v="672.5"/>
    <n v="0.10333333333333333"/>
    <n v="18.75"/>
    <n v="750"/>
    <n v="0"/>
    <n v="0"/>
  </r>
  <r>
    <x v="8"/>
    <n v="3200"/>
    <d v="2022-05-26T00:00:00"/>
    <n v="200"/>
    <n v="48.65"/>
    <n v="35.65"/>
    <n v="0"/>
    <n v="2600"/>
    <n v="0.73278520041109974"/>
    <n v="60.8125"/>
    <n v="9730"/>
    <e v="#N/A"/>
    <n v="0"/>
  </r>
  <r>
    <x v="7"/>
    <n v="1800"/>
    <d v="2022-05-26T00:00:00"/>
    <n v="575"/>
    <n v="21"/>
    <n v="2.75"/>
    <n v="0"/>
    <n v="10493.75"/>
    <n v="0.13095238095238096"/>
    <n v="26.25"/>
    <n v="12075"/>
    <n v="0"/>
    <n v="0"/>
  </r>
  <r>
    <x v="7"/>
    <n v="1700"/>
    <d v="2022-05-26T00:00:00"/>
    <n v="575"/>
    <n v="7.45"/>
    <n v="3.55"/>
    <n v="0"/>
    <n v="2242.5"/>
    <n v="0.47651006711409394"/>
    <n v="9.3125"/>
    <n v="4283.75"/>
    <e v="#N/A"/>
    <n v="0"/>
  </r>
  <r>
    <x v="6"/>
    <m/>
    <d v="2022-05-26T00:00:00"/>
    <n v="150"/>
    <n v="3385.45"/>
    <n v="3403.05"/>
    <n v="0"/>
    <n v="2640.0000000000546"/>
    <n v="1.0051987180433917"/>
    <n v="2539.0874999999996"/>
    <n v="507817.5"/>
    <e v="#VALUE!"/>
    <n v="507817.5"/>
  </r>
  <r>
    <x v="7"/>
    <m/>
    <d v="2022-05-26T00:00:00"/>
    <n v="575"/>
    <n v="1582"/>
    <n v="1650.15"/>
    <n v="0"/>
    <n v="39186.250000000051"/>
    <n v="1.0430783817951961"/>
    <n v="1186.5"/>
    <n v="909650"/>
    <e v="#VALUE!"/>
    <n v="909650"/>
  </r>
  <r>
    <x v="8"/>
    <n v="3200"/>
    <d v="2022-05-26T00:00:00"/>
    <n v="200"/>
    <n v="59.3"/>
    <n v="35.65"/>
    <n v="0"/>
    <n v="4730"/>
    <n v="0.60118043844856661"/>
    <n v="74.125"/>
    <n v="11860"/>
    <e v="#N/A"/>
    <n v="0"/>
  </r>
  <r>
    <x v="6"/>
    <n v="3500"/>
    <d v="2022-05-26T00:00:00"/>
    <n v="150"/>
    <n v="31.35"/>
    <n v="1.25"/>
    <n v="0"/>
    <n v="4515"/>
    <n v="3.987240829346092E-2"/>
    <n v="39.1875"/>
    <n v="4702.5"/>
    <e v="#N/A"/>
    <n v="0"/>
  </r>
  <r>
    <x v="6"/>
    <n v="3500"/>
    <d v="2022-05-26T00:00:00"/>
    <n v="150"/>
    <n v="31.9"/>
    <n v="1.25"/>
    <n v="0"/>
    <n v="4597.5"/>
    <n v="3.918495297805643E-2"/>
    <n v="39.875"/>
    <n v="4785"/>
    <e v="#N/A"/>
    <n v="0"/>
  </r>
  <r>
    <x v="3"/>
    <n v="420"/>
    <d v="2022-05-26T00:00:00"/>
    <n v="1425"/>
    <n v="4.75"/>
    <n v="0.5"/>
    <n v="0"/>
    <n v="6056.25"/>
    <n v="0.10526315789473684"/>
    <n v="5.9375"/>
    <n v="6768.75"/>
    <e v="#N/A"/>
    <n v="0"/>
  </r>
  <r>
    <x v="1"/>
    <n v="240"/>
    <d v="2022-05-26T00:00:00"/>
    <n v="3375"/>
    <n v="3.25"/>
    <n v="0.1"/>
    <n v="0"/>
    <n v="10631.25"/>
    <n v="3.0769230769230771E-2"/>
    <n v="4.0625"/>
    <n v="10968.75"/>
    <e v="#N/A"/>
    <n v="0"/>
  </r>
  <r>
    <x v="1"/>
    <n v="255"/>
    <d v="2022-05-26T00:00:00"/>
    <n v="3375"/>
    <n v="1.45"/>
    <n v="0.05"/>
    <n v="0"/>
    <n v="4725"/>
    <n v="3.4482758620689655E-2"/>
    <n v="1.8125"/>
    <n v="4893.75"/>
    <n v="0"/>
    <n v="0"/>
  </r>
  <r>
    <x v="7"/>
    <n v="1640"/>
    <d v="2022-05-26T00:00:00"/>
    <n v="575"/>
    <n v="18.7"/>
    <n v="0.05"/>
    <n v="0"/>
    <n v="10723.75"/>
    <n v="2.6737967914438505E-3"/>
    <n v="23.375"/>
    <n v="10752.5"/>
    <e v="#N/A"/>
    <n v="0"/>
  </r>
  <r>
    <x v="7"/>
    <n v="1620"/>
    <d v="2022-05-26T00:00:00"/>
    <n v="575"/>
    <n v="23.3"/>
    <n v="0.05"/>
    <n v="0"/>
    <n v="13368.75"/>
    <n v="2.1459227467811159E-3"/>
    <n v="29.125"/>
    <n v="13397.5"/>
    <e v="#N/A"/>
    <n v="0"/>
  </r>
  <r>
    <x v="0"/>
    <m/>
    <d v="2022-06-30T00:00:00"/>
    <n v="50"/>
    <n v="15821.15"/>
    <n v="16578.95"/>
    <n v="0"/>
    <n v="37890.000000000058"/>
    <n v="1.0478979088119384"/>
    <n v="11865.862499999999"/>
    <n v="791057.5"/>
    <n v="0"/>
    <n v="791057.5"/>
  </r>
  <r>
    <x v="0"/>
    <n v="16500"/>
    <d v="2022-05-26T00:00:00"/>
    <n v="50"/>
    <n v="51.2"/>
    <n v="0.3"/>
    <n v="0"/>
    <n v="2545.0000000000005"/>
    <n v="5.8593749999999991E-3"/>
    <n v="64"/>
    <n v="2560"/>
    <e v="#N/A"/>
    <n v="0"/>
  </r>
  <r>
    <x v="0"/>
    <n v="16500"/>
    <d v="2022-05-26T00:00:00"/>
    <n v="50"/>
    <n v="52.4"/>
    <n v="0.3"/>
    <n v="0"/>
    <n v="2605"/>
    <n v="5.7251908396946565E-3"/>
    <n v="65.5"/>
    <n v="2620"/>
    <e v="#N/A"/>
    <n v="0"/>
  </r>
  <r>
    <x v="1"/>
    <m/>
    <d v="2022-06-30T00:00:00"/>
    <n v="3375"/>
    <n v="218.75"/>
    <n v="221.4"/>
    <n v="0"/>
    <n v="-8943.75000000002"/>
    <n v="1.0121142857142857"/>
    <n v="273.4375"/>
    <n v="738281.25"/>
    <e v="#N/A"/>
    <n v="-738281.25"/>
  </r>
  <r>
    <x v="3"/>
    <n v="410"/>
    <d v="2022-05-26T00:00:00"/>
    <n v="1425"/>
    <n v="10.35"/>
    <n v="19.7"/>
    <n v="0"/>
    <n v="-13323.75"/>
    <n v="1.9033816425120773"/>
    <n v="12.9375"/>
    <n v="14748.75"/>
    <n v="0"/>
    <n v="0"/>
  </r>
  <r>
    <x v="3"/>
    <n v="420"/>
    <d v="2022-05-26T00:00:00"/>
    <n v="1425"/>
    <n v="12.1"/>
    <n v="5.5"/>
    <n v="0"/>
    <n v="9405"/>
    <n v="0.45454545454545459"/>
    <n v="15.125"/>
    <n v="17242.5"/>
    <e v="#N/A"/>
    <n v="0"/>
  </r>
  <r>
    <x v="3"/>
    <n v="410"/>
    <d v="2022-05-26T00:00:00"/>
    <n v="1425"/>
    <n v="4.7"/>
    <n v="2.25"/>
    <n v="0"/>
    <n v="-3491.2500000000005"/>
    <n v="0.47872340425531912"/>
    <n v="3.5250000000000004"/>
    <n v="6697.5"/>
    <n v="0"/>
    <n v="0"/>
  </r>
  <r>
    <x v="3"/>
    <m/>
    <d v="2022-06-30T00:00:00"/>
    <n v="1425"/>
    <n v="426"/>
    <n v="441.15"/>
    <n v="0"/>
    <n v="21588.749999999967"/>
    <n v="1.0355633802816901"/>
    <n v="319.5"/>
    <n v="607050"/>
    <e v="#N/A"/>
    <n v="607050"/>
  </r>
  <r>
    <x v="8"/>
    <n v="3200"/>
    <d v="2022-05-26T00:00:00"/>
    <n v="200"/>
    <n v="24.6"/>
    <n v="0.8"/>
    <n v="0"/>
    <n v="4760"/>
    <n v="3.2520325203252029E-2"/>
    <n v="30.75"/>
    <n v="4920"/>
    <e v="#N/A"/>
    <n v="0"/>
  </r>
  <r>
    <x v="3"/>
    <m/>
    <d v="2022-05-26T00:00:00"/>
    <n v="1425"/>
    <n v="432.25"/>
    <n v="425.25"/>
    <n v="0"/>
    <n v="-9975"/>
    <n v="0.98380566801619429"/>
    <n v="324.1875"/>
    <n v="615956.25"/>
    <e v="#VALUE!"/>
    <n v="615956.25"/>
  </r>
  <r>
    <x v="10"/>
    <n v="880"/>
    <d v="2022-06-30T00:00:00"/>
    <n v="425"/>
    <n v="32"/>
    <n v="16"/>
    <n v="0"/>
    <n v="-6800"/>
    <n v="0.5"/>
    <n v="24"/>
    <n v="13600"/>
    <e v="#N/A"/>
    <n v="0"/>
  </r>
  <r>
    <x v="10"/>
    <n v="1100"/>
    <d v="2022-06-30T00:00:00"/>
    <n v="425"/>
    <n v="142.05000000000001"/>
    <n v="224.95"/>
    <n v="0"/>
    <n v="-35232.499999999993"/>
    <n v="1.5835973248856035"/>
    <n v="177.5625"/>
    <n v="60371.250000000007"/>
    <e v="#N/A"/>
    <n v="0"/>
  </r>
  <r>
    <x v="6"/>
    <n v="3500"/>
    <d v="2022-06-30T00:00:00"/>
    <n v="150"/>
    <n v="41.8"/>
    <n v="1.25"/>
    <n v="0"/>
    <n v="6082.5"/>
    <n v="2.9904306220095697E-2"/>
    <n v="52.25"/>
    <n v="6270"/>
    <e v="#N/A"/>
    <n v="0"/>
  </r>
  <r>
    <x v="3"/>
    <m/>
    <d v="2022-06-30T00:00:00"/>
    <n v="1425"/>
    <n v="426"/>
    <n v="441.15"/>
    <n v="0"/>
    <n v="21588.749999999967"/>
    <n v="1.0355633802816901"/>
    <n v="319.5"/>
    <n v="607050"/>
    <e v="#N/A"/>
    <n v="607050"/>
  </r>
  <r>
    <x v="6"/>
    <m/>
    <d v="2022-06-30T00:00:00"/>
    <n v="300"/>
    <n v="3325.9"/>
    <n v="3331.1"/>
    <n v="0"/>
    <n v="1559.9999999999454"/>
    <n v="1.0015634865750624"/>
    <n v="2494.4250000000002"/>
    <n v="997770"/>
    <e v="#N/A"/>
    <n v="997770"/>
  </r>
  <r>
    <x v="5"/>
    <n v="37000"/>
    <d v="2022-06-30T00:00:00"/>
    <n v="25"/>
    <n v="300.60000000000002"/>
    <n v="3.1"/>
    <n v="0"/>
    <n v="7437.5"/>
    <n v="1.0312707917498337E-2"/>
    <n v="375.75"/>
    <n v="7515.0000000000009"/>
    <e v="#N/A"/>
    <n v="0"/>
  </r>
  <r>
    <x v="7"/>
    <n v="1740"/>
    <d v="2022-06-30T00:00:00"/>
    <n v="575"/>
    <n v="20.5"/>
    <n v="0.1"/>
    <n v="0"/>
    <n v="11730"/>
    <n v="4.8780487804878049E-3"/>
    <n v="25.625"/>
    <n v="11787.5"/>
    <e v="#N/A"/>
    <n v="0"/>
  </r>
  <r>
    <x v="4"/>
    <n v="220"/>
    <d v="2022-06-30T00:00:00"/>
    <n v="3750"/>
    <n v="3.1"/>
    <n v="0.65"/>
    <n v="0"/>
    <n v="9187.5"/>
    <n v="0.20967741935483872"/>
    <n v="3.875"/>
    <n v="11625"/>
    <e v="#N/A"/>
    <n v="0"/>
  </r>
  <r>
    <x v="7"/>
    <m/>
    <d v="2022-07-28T00:00:00"/>
    <n v="300"/>
    <n v="1636.5"/>
    <n v="1643.9"/>
    <n v="2220.0000000000273"/>
    <n v="2220.0000000000273"/>
    <n v="1.0045218454017721"/>
    <n v="1227.375"/>
    <n v="490950"/>
    <e v="#N/A"/>
    <n v="490950"/>
  </r>
  <r>
    <x v="7"/>
    <m/>
    <d v="2022-07-28T00:00:00"/>
    <n v="300"/>
    <n v="1634"/>
    <n v="1655.6"/>
    <n v="6479.9999999999727"/>
    <n v="6479.9999999999727"/>
    <n v="1.0132190942472459"/>
    <n v="1225.5"/>
    <n v="490200"/>
    <e v="#N/A"/>
    <n v="490200"/>
  </r>
  <r>
    <x v="7"/>
    <m/>
    <d v="2022-07-28T00:00:00"/>
    <n v="300"/>
    <n v="1640"/>
    <n v="1655.6"/>
    <n v="4679.9999999999727"/>
    <n v="4679.9999999999727"/>
    <n v="1.0095121951219512"/>
    <n v="1230"/>
    <n v="492000"/>
    <e v="#N/A"/>
    <n v="492000"/>
  </r>
  <r>
    <x v="7"/>
    <m/>
    <d v="2022-07-28T00:00:00"/>
    <n v="300"/>
    <n v="1640"/>
    <n v="1655.6"/>
    <n v="4679.9999999999727"/>
    <n v="4679.9999999999727"/>
    <n v="1.0095121951219512"/>
    <n v="1230"/>
    <n v="492000"/>
    <e v="#N/A"/>
    <n v="492000"/>
  </r>
  <r>
    <x v="5"/>
    <n v="37000"/>
    <d v="2022-06-30T00:00:00"/>
    <n v="25"/>
    <n v="241.45"/>
    <n v="3.1"/>
    <n v="0"/>
    <n v="5958.75"/>
    <n v="1.283909712155726E-2"/>
    <n v="301.8125"/>
    <n v="6036.25"/>
    <e v="#N/A"/>
    <n v="0"/>
  </r>
  <r>
    <x v="5"/>
    <n v="37000"/>
    <d v="2022-06-30T00:00:00"/>
    <n v="25"/>
    <n v="216.05"/>
    <n v="3.1"/>
    <n v="0"/>
    <n v="5323.75"/>
    <n v="1.4348530432770191E-2"/>
    <n v="270.0625"/>
    <n v="5401.25"/>
    <e v="#N/A"/>
    <n v="0"/>
  </r>
  <r>
    <x v="0"/>
    <n v="16650"/>
    <d v="2022-06-30T00:00:00"/>
    <n v="150"/>
    <n v="213.8"/>
    <n v="2.5"/>
    <n v="0"/>
    <n v="31695"/>
    <n v="1.1693171188026192E-2"/>
    <n v="267.25"/>
    <n v="32070"/>
    <e v="#N/A"/>
    <n v="0"/>
  </r>
  <r>
    <x v="0"/>
    <n v="15500"/>
    <d v="2022-06-30T00:00:00"/>
    <n v="150"/>
    <n v="244.25"/>
    <n v="132.5"/>
    <n v="0"/>
    <n v="16762.5"/>
    <n v="0.5424769703172978"/>
    <n v="305.3125"/>
    <n v="36637.5"/>
    <e v="#N/A"/>
    <n v="0"/>
  </r>
  <r>
    <x v="0"/>
    <n v="17000"/>
    <d v="2022-06-30T00:00:00"/>
    <n v="100"/>
    <n v="119"/>
    <n v="1.35"/>
    <n v="0"/>
    <n v="11765"/>
    <n v="1.1344537815126052E-2"/>
    <n v="148.75"/>
    <n v="11900"/>
    <e v="#N/A"/>
    <n v="0"/>
  </r>
  <r>
    <x v="0"/>
    <n v="17000"/>
    <d v="2022-06-30T00:00:00"/>
    <n v="50"/>
    <n v="123.5"/>
    <n v="1.35"/>
    <n v="0"/>
    <n v="6107.5"/>
    <n v="1.0931174089068827E-2"/>
    <n v="154.375"/>
    <n v="6175"/>
    <e v="#N/A"/>
    <n v="0"/>
  </r>
  <r>
    <x v="3"/>
    <m/>
    <d v="2022-07-28T00:00:00"/>
    <n v="1425"/>
    <n v="428"/>
    <n v="437.6"/>
    <n v="13680.000000000033"/>
    <n v="13680.000000000033"/>
    <n v="1.0224299065420561"/>
    <n v="321"/>
    <n v="609900"/>
    <e v="#N/A"/>
    <n v="609900"/>
  </r>
  <r>
    <x v="11"/>
    <n v="620"/>
    <d v="2022-06-30T00:00:00"/>
    <n v="1350"/>
    <n v="10.4"/>
    <n v="3.85"/>
    <n v="0"/>
    <n v="8842.5000000000018"/>
    <n v="0.37019230769230771"/>
    <n v="13"/>
    <n v="14040"/>
    <e v="#N/A"/>
    <n v="0"/>
  </r>
  <r>
    <x v="11"/>
    <n v="450"/>
    <d v="2022-06-30T00:00:00"/>
    <n v="1350"/>
    <n v="8.15"/>
    <n v="0.85"/>
    <n v="0"/>
    <n v="9855.0000000000018"/>
    <n v="0.10429447852760736"/>
    <n v="10.1875"/>
    <n v="11002.5"/>
    <e v="#N/A"/>
    <n v="0"/>
  </r>
  <r>
    <x v="8"/>
    <n v="3200"/>
    <d v="2022-06-30T00:00:00"/>
    <n v="200"/>
    <n v="447.45"/>
    <n v="251"/>
    <n v="0"/>
    <n v="39290"/>
    <n v="0.56095653145602864"/>
    <n v="559.3125"/>
    <n v="89490"/>
    <n v="0"/>
    <n v="0"/>
  </r>
  <r>
    <x v="8"/>
    <n v="2800"/>
    <d v="2022-06-30T00:00:00"/>
    <n v="200"/>
    <n v="184.75"/>
    <n v="4.7"/>
    <n v="0"/>
    <n v="-36010"/>
    <n v="2.5439783491204331E-2"/>
    <n v="138.5625"/>
    <n v="36950"/>
    <e v="#N/A"/>
    <n v="0"/>
  </r>
  <r>
    <x v="6"/>
    <n v="3300"/>
    <d v="2022-06-30T00:00:00"/>
    <n v="150"/>
    <n v="157.9"/>
    <n v="175"/>
    <n v="0"/>
    <n v="-2564.9999999999991"/>
    <n v="1.1082963901203293"/>
    <n v="197.375"/>
    <n v="23685"/>
    <e v="#N/A"/>
    <n v="0"/>
  </r>
  <r>
    <x v="6"/>
    <n v="3150"/>
    <d v="2022-06-30T00:00:00"/>
    <n v="150"/>
    <n v="86.75"/>
    <n v="2.4500000000000002"/>
    <n v="0"/>
    <n v="-12645"/>
    <n v="2.8242074927953893E-2"/>
    <n v="65.0625"/>
    <n v="13012.5"/>
    <e v="#N/A"/>
    <n v="0"/>
  </r>
  <r>
    <x v="2"/>
    <n v="2400"/>
    <d v="2022-06-30T00:00:00"/>
    <n v="375"/>
    <n v="164"/>
    <n v="134.9"/>
    <n v="0"/>
    <n v="10912.499999999998"/>
    <n v="0.82256097560975616"/>
    <n v="205"/>
    <n v="61500"/>
    <e v="#N/A"/>
    <n v="0"/>
  </r>
  <r>
    <x v="2"/>
    <n v="2500"/>
    <d v="2022-06-30T00:00:00"/>
    <n v="375"/>
    <n v="40"/>
    <n v="1.75"/>
    <n v="0"/>
    <n v="14343.75"/>
    <n v="4.3749999999999997E-2"/>
    <n v="50"/>
    <n v="15000"/>
    <e v="#N/A"/>
    <n v="0"/>
  </r>
  <r>
    <x v="1"/>
    <n v="250"/>
    <d v="2022-06-30T00:00:00"/>
    <n v="3375"/>
    <n v="3.2"/>
    <n v="0.1"/>
    <n v="0"/>
    <n v="10462.5"/>
    <n v="3.125E-2"/>
    <n v="4"/>
    <n v="10800"/>
    <e v="#N/A"/>
    <n v="0"/>
  </r>
  <r>
    <x v="4"/>
    <n v="190"/>
    <d v="2022-06-30T00:00:00"/>
    <n v="3750"/>
    <n v="5.4"/>
    <n v="0"/>
    <n v="0"/>
    <n v="0"/>
    <n v="0"/>
    <n v="6.75"/>
    <n v="20250"/>
    <e v="#N/A"/>
    <n v="0"/>
  </r>
  <r>
    <x v="4"/>
    <n v="170"/>
    <d v="2022-06-30T00:00:00"/>
    <n v="3750"/>
    <n v="5.8"/>
    <n v="1.1000000000000001"/>
    <n v="0"/>
    <n v="-17624.999999999996"/>
    <n v="0.18965517241379312"/>
    <n v="4.3499999999999996"/>
    <n v="21750"/>
    <e v="#N/A"/>
    <n v="0"/>
  </r>
  <r>
    <x v="1"/>
    <n v="220"/>
    <d v="2022-06-30T00:00:00"/>
    <n v="3375"/>
    <n v="15.05"/>
    <n v="5.6"/>
    <n v="0"/>
    <n v="31893.750000000004"/>
    <n v="0.37209302325581389"/>
    <n v="18.8125"/>
    <n v="50793.75"/>
    <e v="#N/A"/>
    <n v="0"/>
  </r>
  <r>
    <x v="1"/>
    <n v="210"/>
    <d v="2022-06-30T00:00:00"/>
    <n v="3375"/>
    <n v="10"/>
    <n v="3.8"/>
    <n v="0"/>
    <n v="-20925"/>
    <n v="0.38"/>
    <n v="7.5"/>
    <n v="33750"/>
    <e v="#N/A"/>
    <n v="0"/>
  </r>
  <r>
    <x v="4"/>
    <n v="180"/>
    <d v="2022-06-30T00:00:00"/>
    <n v="3750"/>
    <n v="10.5"/>
    <n v="13.6"/>
    <n v="0"/>
    <n v="-11624.999999999998"/>
    <n v="1.2952380952380953"/>
    <n v="13.125"/>
    <n v="39375"/>
    <e v="#N/A"/>
    <n v="0"/>
  </r>
  <r>
    <x v="0"/>
    <n v="16000"/>
    <d v="2022-06-30T00:00:00"/>
    <n v="50"/>
    <n v="484"/>
    <n v="440"/>
    <n v="0"/>
    <n v="2200"/>
    <n v="0.90909090909090906"/>
    <n v="605"/>
    <n v="24200"/>
    <n v="0"/>
    <n v="0"/>
  </r>
  <r>
    <x v="3"/>
    <n v="450"/>
    <d v="2022-06-30T00:00:00"/>
    <n v="1425"/>
    <n v="7.85"/>
    <n v="0"/>
    <n v="0"/>
    <n v="0"/>
    <n v="0"/>
    <n v="9.8125"/>
    <n v="11186.25"/>
    <e v="#N/A"/>
    <n v="0"/>
  </r>
  <r>
    <x v="3"/>
    <n v="450"/>
    <d v="2022-06-30T00:00:00"/>
    <n v="1425"/>
    <n v="8.1"/>
    <n v="0"/>
    <n v="0"/>
    <n v="0"/>
    <n v="0"/>
    <n v="10.125"/>
    <n v="11542.5"/>
    <e v="#N/A"/>
    <n v="0"/>
  </r>
  <r>
    <x v="1"/>
    <n v="210"/>
    <d v="2022-06-30T00:00:00"/>
    <n v="3375"/>
    <n v="7.45"/>
    <n v="4.25"/>
    <n v="0"/>
    <n v="-10800"/>
    <n v="0.57046979865771807"/>
    <n v="5.5875000000000004"/>
    <n v="25143.75"/>
    <e v="#N/A"/>
    <n v="0"/>
  </r>
  <r>
    <x v="8"/>
    <n v="3000"/>
    <d v="2022-06-30T00:00:00"/>
    <n v="200"/>
    <n v="65.150000000000006"/>
    <n v="0"/>
    <n v="0"/>
    <n v="0"/>
    <n v="0"/>
    <n v="81.4375"/>
    <n v="13030.000000000002"/>
    <e v="#N/A"/>
    <n v="0"/>
  </r>
  <r>
    <x v="3"/>
    <n v="450"/>
    <d v="2022-06-30T00:00:00"/>
    <n v="1425"/>
    <n v="9.5"/>
    <n v="0"/>
    <n v="0"/>
    <n v="0"/>
    <n v="0"/>
    <n v="11.875"/>
    <n v="13537.5"/>
    <e v="#N/A"/>
    <n v="0"/>
  </r>
  <r>
    <x v="5"/>
    <n v="37000"/>
    <d v="2022-06-30T00:00:00"/>
    <n v="25"/>
    <n v="303.89999999999998"/>
    <n v="3.1"/>
    <n v="0"/>
    <n v="7519.9999999999991"/>
    <n v="1.0200723922342878E-2"/>
    <n v="379.875"/>
    <n v="7597.4999999999991"/>
    <e v="#N/A"/>
    <n v="0"/>
  </r>
  <r>
    <x v="5"/>
    <n v="37000"/>
    <d v="2022-06-30T00:00:00"/>
    <n v="25"/>
    <n v="350"/>
    <n v="3.1"/>
    <n v="0"/>
    <n v="8672.5"/>
    <n v="8.8571428571428568E-3"/>
    <n v="437.5"/>
    <n v="8750"/>
    <e v="#N/A"/>
    <n v="0"/>
  </r>
  <r>
    <x v="7"/>
    <n v="1660"/>
    <d v="2022-06-30T00:00:00"/>
    <n v="575"/>
    <n v="20.7"/>
    <n v="42.7"/>
    <n v="0"/>
    <n v="-12650.000000000002"/>
    <n v="2.06280193236715"/>
    <n v="25.875"/>
    <n v="11902.5"/>
    <e v="#N/A"/>
    <n v="0"/>
  </r>
  <r>
    <x v="4"/>
    <s v=" "/>
    <d v="2022-07-28T00:00:00"/>
    <n v="3750"/>
    <n v="179.05"/>
    <n v="181.2"/>
    <n v="8062.4999999999145"/>
    <n v="8062.4999999999145"/>
    <n v="1.0120078190449593"/>
    <n v="134.28750000000002"/>
    <n v="671437.5"/>
    <e v="#N/A"/>
    <n v="671437.5"/>
  </r>
  <r>
    <x v="5"/>
    <s v=" "/>
    <d v="2022-07-28T00:00:00"/>
    <n v="25"/>
    <n v="34640"/>
    <n v="35166.25"/>
    <n v="13156.25"/>
    <n v="13156.25"/>
    <n v="1.0151919745958429"/>
    <n v="25980"/>
    <n v="866000"/>
    <e v="#N/A"/>
    <n v="866000"/>
  </r>
  <r>
    <x v="0"/>
    <s v=" "/>
    <d v="2022-07-28T00:00:00"/>
    <n v="50"/>
    <n v="15956.85"/>
    <n v="0"/>
    <n v="0"/>
    <n v="0"/>
    <n v="0"/>
    <n v="11967.637500000001"/>
    <n v="797842.5"/>
    <e v="#N/A"/>
    <n v="797842.5"/>
  </r>
  <r>
    <x v="0"/>
    <n v="15500"/>
    <d v="2022-07-28T00:00:00"/>
    <n v="50"/>
    <n v="399.95"/>
    <n v="113.85"/>
    <n v="-14305.000000000002"/>
    <n v="-14305.000000000002"/>
    <n v="0.28466058257282162"/>
    <n v="299.96249999999998"/>
    <n v="19997.5"/>
    <e v="#N/A"/>
    <n v="0"/>
  </r>
  <r>
    <x v="1"/>
    <s v=" "/>
    <d v="2022-07-28T00:00:00"/>
    <n v="3375"/>
    <n v="214.95"/>
    <n v="234.5"/>
    <n v="65981.250000000044"/>
    <n v="65981.250000000044"/>
    <n v="1.0909513840428007"/>
    <n v="161.21249999999998"/>
    <n v="725456.25"/>
    <e v="#N/A"/>
    <n v="725456.25"/>
  </r>
  <r>
    <x v="3"/>
    <n v="400"/>
    <d v="2022-07-28T00:00:00"/>
    <n v="1425"/>
    <n v="22"/>
    <n v="9.0500000000000007"/>
    <n v="-18453.75"/>
    <n v="-18453.75"/>
    <n v="0.41136363636363638"/>
    <n v="16.5"/>
    <n v="31350"/>
    <e v="#N/A"/>
    <n v="0"/>
  </r>
  <r>
    <x v="6"/>
    <n v="3200"/>
    <d v="2022-07-28T00:00:00"/>
    <n v="150"/>
    <n v="123.85"/>
    <n v="0"/>
    <n v="0"/>
    <n v="0"/>
    <n v="0"/>
    <n v="92.887499999999989"/>
    <n v="18577.5"/>
    <e v="#N/A"/>
    <n v="0"/>
  </r>
  <r>
    <x v="4"/>
    <n v="170"/>
    <d v="2022-06-30T00:00:00"/>
    <n v="3750"/>
    <n v="4.45"/>
    <n v="1.1000000000000001"/>
    <n v="0"/>
    <n v="-12562.5"/>
    <n v="0.24719101123595508"/>
    <n v="3.3375000000000004"/>
    <n v="16687.5"/>
    <e v="#N/A"/>
    <n v="0"/>
  </r>
  <r>
    <x v="4"/>
    <n v="190"/>
    <d v="2022-06-30T00:00:00"/>
    <n v="3750"/>
    <n v="7.2"/>
    <n v="0"/>
    <n v="0"/>
    <n v="0"/>
    <n v="0"/>
    <n v="9"/>
    <n v="27000"/>
    <e v="#N/A"/>
    <n v="0"/>
  </r>
  <r>
    <x v="2"/>
    <n v="2300"/>
    <d v="2022-06-30T00:00:00"/>
    <n v="375"/>
    <n v="90.2"/>
    <n v="28"/>
    <n v="0"/>
    <n v="-23325"/>
    <n v="0.31042128603104213"/>
    <n v="67.650000000000006"/>
    <n v="33825"/>
    <e v="#N/A"/>
    <n v="0"/>
  </r>
  <r>
    <x v="5"/>
    <n v="34000"/>
    <d v="2022-07-28T00:00:00"/>
    <n v="50"/>
    <n v="810.1"/>
    <n v="0"/>
    <n v="0"/>
    <n v="0"/>
    <n v="0"/>
    <n v="607.57500000000005"/>
    <n v="40505"/>
    <e v="#N/A"/>
    <n v="0"/>
  </r>
  <r>
    <x v="5"/>
    <n v="37000"/>
    <d v="2022-07-28T00:00:00"/>
    <n v="50"/>
    <n v="762.3"/>
    <n v="71.400000000000006"/>
    <n v="34545"/>
    <n v="34545"/>
    <n v="9.3663911845730044E-2"/>
    <n v="952.875"/>
    <n v="38115"/>
    <e v="#N/A"/>
    <n v="0"/>
  </r>
  <r>
    <x v="5"/>
    <m/>
    <d v="2022-07-28T00:00:00"/>
    <n v="25"/>
    <n v="35580"/>
    <n v="35179.550000000003"/>
    <n v="-10011.249999999927"/>
    <n v="-10011.249999999927"/>
    <n v="0.98874508150646434"/>
    <n v="26685"/>
    <n v="889500"/>
    <e v="#N/A"/>
    <n v="889500"/>
  </r>
  <r>
    <x v="7"/>
    <n v="1680"/>
    <d v="2022-06-30T00:00:00"/>
    <n v="575"/>
    <n v="20"/>
    <n v="0.15"/>
    <n v="0"/>
    <n v="11413.75"/>
    <n v="7.4999999999999997E-3"/>
    <n v="25"/>
    <n v="11500"/>
    <e v="#N/A"/>
    <n v="0"/>
  </r>
  <r>
    <x v="3"/>
    <n v="460"/>
    <d v="2022-06-30T00:00:00"/>
    <n v="1425"/>
    <n v="10.199999999999999"/>
    <n v="0.3"/>
    <n v="0"/>
    <n v="14107.499999999998"/>
    <n v="2.9411764705882353E-2"/>
    <n v="12.75"/>
    <n v="14534.999999999998"/>
    <e v="#N/A"/>
    <n v="0"/>
  </r>
  <r>
    <x v="2"/>
    <n v="2500"/>
    <d v="2022-06-30T00:00:00"/>
    <n v="375"/>
    <n v="55"/>
    <n v="63.2"/>
    <n v="0"/>
    <n v="-3075.0000000000009"/>
    <n v="1.1490909090909092"/>
    <n v="68.75"/>
    <n v="20625"/>
    <e v="#N/A"/>
    <n v="0"/>
  </r>
  <r>
    <x v="1"/>
    <n v="250"/>
    <d v="2022-06-30T00:00:00"/>
    <n v="3375"/>
    <n v="3.3"/>
    <n v="0.1"/>
    <n v="0"/>
    <n v="10800"/>
    <n v="3.0303030303030307E-2"/>
    <n v="4.125"/>
    <n v="11137.5"/>
    <e v="#N/A"/>
    <n v="0"/>
  </r>
  <r>
    <x v="7"/>
    <n v="1560"/>
    <d v="2022-06-30T00:00:00"/>
    <n v="575"/>
    <n v="40.200000000000003"/>
    <n v="24.1"/>
    <n v="0"/>
    <n v="-9257.5"/>
    <n v="0.59950248756218905"/>
    <n v="30.150000000000002"/>
    <n v="23115"/>
    <e v="#N/A"/>
    <n v="0"/>
  </r>
  <r>
    <x v="7"/>
    <n v="1700"/>
    <d v="2022-06-30T00:00:00"/>
    <n v="575"/>
    <n v="14.1"/>
    <n v="0.15"/>
    <n v="0"/>
    <n v="8021.25"/>
    <n v="1.0638297872340425E-2"/>
    <n v="17.625"/>
    <n v="8107.5"/>
    <e v="#N/A"/>
    <n v="0"/>
  </r>
  <r>
    <x v="7"/>
    <n v="1660"/>
    <d v="2022-06-30T00:00:00"/>
    <n v="575"/>
    <n v="23.7"/>
    <n v="0.2"/>
    <n v="0"/>
    <n v="13512.5"/>
    <n v="8.4388185654008449E-3"/>
    <n v="29.625"/>
    <n v="13627.5"/>
    <e v="#N/A"/>
    <n v="0"/>
  </r>
  <r>
    <x v="0"/>
    <n v="17000"/>
    <d v="2022-06-30T00:00:00"/>
    <n v="50"/>
    <n v="119"/>
    <n v="1.35"/>
    <n v="0"/>
    <n v="5882.5"/>
    <n v="1.1344537815126052E-2"/>
    <n v="148.75"/>
    <n v="5950"/>
    <e v="#N/A"/>
    <n v="0"/>
  </r>
  <r>
    <x v="0"/>
    <n v="17000"/>
    <d v="2022-06-30T00:00:00"/>
    <n v="50"/>
    <n v="120"/>
    <n v="1.35"/>
    <n v="0"/>
    <n v="5932.5"/>
    <n v="1.1250000000000001E-2"/>
    <n v="150"/>
    <n v="6000"/>
    <e v="#N/A"/>
    <n v="0"/>
  </r>
  <r>
    <x v="0"/>
    <n v="15850"/>
    <d v="2022-06-30T00:00:00"/>
    <n v="50"/>
    <n v="206.25"/>
    <n v="429.4"/>
    <n v="0"/>
    <n v="-11157.499999999998"/>
    <n v="2.0819393939393938"/>
    <n v="257.8125"/>
    <n v="10312.5"/>
    <e v="#N/A"/>
    <n v="0"/>
  </r>
  <r>
    <x v="0"/>
    <n v="15800"/>
    <d v="2022-06-30T00:00:00"/>
    <n v="50"/>
    <n v="193.65"/>
    <n v="113.5"/>
    <n v="0"/>
    <n v="4007.5000000000005"/>
    <n v="0.58610895946294861"/>
    <n v="242.0625"/>
    <n v="9682.5"/>
    <e v="#N/A"/>
    <n v="0"/>
  </r>
  <r>
    <x v="0"/>
    <n v="15750"/>
    <d v="2022-06-30T00:00:00"/>
    <n v="50"/>
    <n v="179.9"/>
    <n v="92.25"/>
    <n v="0"/>
    <n v="4382.5"/>
    <n v="0.5127848804891606"/>
    <n v="224.875"/>
    <n v="8995"/>
    <e v="#N/A"/>
    <n v="0"/>
  </r>
  <r>
    <x v="3"/>
    <n v="470"/>
    <d v="2022-06-30T00:00:00"/>
    <n v="1425"/>
    <n v="7.05"/>
    <n v="0.25"/>
    <n v="0"/>
    <n v="9690"/>
    <n v="3.5460992907801421E-2"/>
    <n v="8.8125"/>
    <n v="10046.25"/>
    <e v="#N/A"/>
    <n v="0"/>
  </r>
  <r>
    <x v="3"/>
    <n v="400"/>
    <d v="2022-07-28T00:00:00"/>
    <n v="1425"/>
    <n v="15.4"/>
    <n v="9.0500000000000007"/>
    <n v="-9048.75"/>
    <n v="-9048.75"/>
    <n v="0.58766233766233766"/>
    <n v="11.55"/>
    <n v="21945"/>
    <e v="#N/A"/>
    <n v="0"/>
  </r>
  <r>
    <x v="8"/>
    <n v="3200"/>
    <d v="2022-06-30T00:00:00"/>
    <n v="200"/>
    <n v="37.35"/>
    <n v="0"/>
    <n v="0"/>
    <n v="0"/>
    <n v="0"/>
    <n v="46.6875"/>
    <n v="7470"/>
    <e v="#N/A"/>
    <n v="0"/>
  </r>
  <r>
    <x v="6"/>
    <s v=" "/>
    <d v="2022-07-28T00:00:00"/>
    <n v="300"/>
    <n v="3338.63"/>
    <n v="0"/>
    <n v="0"/>
    <n v="0"/>
    <n v="0"/>
    <n v="2503.9724999999999"/>
    <n v="1001589"/>
    <e v="#N/A"/>
    <n v="1001589"/>
  </r>
  <r>
    <x v="5"/>
    <m/>
    <d v="2022-07-28T00:00:00"/>
    <n v="25"/>
    <n v="36161.449999999997"/>
    <n v="35179.550000000003"/>
    <n v="-24547.499999999854"/>
    <n v="-24547.499999999854"/>
    <n v="0.97284677467302905"/>
    <n v="27121.087499999998"/>
    <n v="904036.24999999988"/>
    <e v="#N/A"/>
    <n v="904036.24999999988"/>
  </r>
  <r>
    <x v="0"/>
    <s v=" "/>
    <d v="2022-07-28T00:00:00"/>
    <n v="100"/>
    <n v="16585.45"/>
    <n v="0"/>
    <n v="0"/>
    <n v="0"/>
    <n v="0"/>
    <n v="12439.087500000001"/>
    <n v="1658545"/>
    <e v="#N/A"/>
    <n v="1658545"/>
  </r>
  <r>
    <x v="2"/>
    <n v="2300"/>
    <d v="2022-06-30T00:00:00"/>
    <n v="375"/>
    <n v="50"/>
    <n v="31"/>
    <n v="0"/>
    <n v="-7125"/>
    <n v="0.62"/>
    <n v="37.5"/>
    <n v="18750"/>
    <e v="#N/A"/>
    <n v="0"/>
  </r>
  <r>
    <x v="7"/>
    <n v="1600"/>
    <d v="2022-07-28T00:00:00"/>
    <n v="300"/>
    <n v="56.5"/>
    <n v="15.4"/>
    <n v="-12330"/>
    <n v="-12330"/>
    <n v="0.27256637168141595"/>
    <n v="42.375"/>
    <n v="16950"/>
    <e v="#N/A"/>
    <n v="0"/>
  </r>
  <r>
    <x v="6"/>
    <n v="3200"/>
    <d v="2022-07-28T00:00:00"/>
    <n v="150"/>
    <n v="69.25"/>
    <n v="0"/>
    <n v="0"/>
    <n v="0"/>
    <n v="0"/>
    <n v="51.9375"/>
    <n v="10387.5"/>
    <e v="#N/A"/>
    <n v="0"/>
  </r>
  <r>
    <x v="3"/>
    <s v=" "/>
    <d v="2022-07-28T00:00:00"/>
    <n v="2850"/>
    <n v="442"/>
    <n v="438"/>
    <n v="-11400"/>
    <n v="-11400"/>
    <n v="0.99095022624434392"/>
    <n v="331.5"/>
    <n v="1259700"/>
    <e v="#N/A"/>
    <n v="1259700"/>
  </r>
  <r>
    <x v="3"/>
    <n v="400"/>
    <d v="2022-07-28T00:00:00"/>
    <n v="1425"/>
    <n v="11.45"/>
    <n v="9.0500000000000007"/>
    <n v="-3419.9999999999982"/>
    <n v="-3419.9999999999982"/>
    <n v="0.79039301310043675"/>
    <n v="8.5874999999999986"/>
    <n v="16316.249999999998"/>
    <e v="#N/A"/>
    <n v="0"/>
  </r>
  <r>
    <x v="1"/>
    <n v="235"/>
    <d v="2022-06-30T00:00:00"/>
    <n v="3375"/>
    <n v="12.7"/>
    <n v="26.95"/>
    <n v="0"/>
    <n v="-48093.75"/>
    <n v="2.1220472440944884"/>
    <n v="15.875"/>
    <n v="42862.5"/>
    <e v="#N/A"/>
    <n v="0"/>
  </r>
  <r>
    <x v="7"/>
    <n v="1600"/>
    <d v="2022-07-28T00:00:00"/>
    <n v="300"/>
    <n v="45"/>
    <n v="15.4"/>
    <n v="-8880"/>
    <n v="-8880"/>
    <n v="0.34222222222222221"/>
    <n v="33.75"/>
    <n v="13500"/>
    <e v="#N/A"/>
    <n v="0"/>
  </r>
  <r>
    <x v="7"/>
    <n v="1680"/>
    <d v="2022-06-30T00:00:00"/>
    <n v="575"/>
    <n v="33"/>
    <n v="0.15"/>
    <n v="0"/>
    <n v="18888.75"/>
    <n v="4.5454545454545452E-3"/>
    <n v="41.25"/>
    <n v="18975"/>
    <e v="#N/A"/>
    <n v="0"/>
  </r>
  <r>
    <x v="0"/>
    <n v="17000"/>
    <d v="2022-06-30T00:00:00"/>
    <n v="50"/>
    <n v="186"/>
    <n v="1.35"/>
    <n v="0"/>
    <n v="9232.5"/>
    <n v="7.2580645161290326E-3"/>
    <n v="232.5"/>
    <n v="9300"/>
    <e v="#N/A"/>
    <n v="0"/>
  </r>
  <r>
    <x v="6"/>
    <n v="3500"/>
    <d v="2022-06-30T00:00:00"/>
    <n v="150"/>
    <n v="36.549999999999997"/>
    <n v="1.45"/>
    <n v="0"/>
    <n v="5264.9999999999991"/>
    <n v="3.9671682626538987E-2"/>
    <n v="45.6875"/>
    <n v="5482.5"/>
    <e v="#N/A"/>
    <n v="0"/>
  </r>
  <r>
    <x v="2"/>
    <s v=" "/>
    <d v="2022-07-28T00:00:00"/>
    <n v="375"/>
    <n v="2470"/>
    <n v="0"/>
    <n v="0"/>
    <n v="0"/>
    <n v="0"/>
    <n v="1852.5"/>
    <n v="926250"/>
    <e v="#N/A"/>
    <n v="926250"/>
  </r>
  <r>
    <x v="1"/>
    <s v=" "/>
    <d v="2022-07-28T00:00:00"/>
    <n v="3375"/>
    <n v="235.4"/>
    <n v="0"/>
    <n v="0"/>
    <n v="0"/>
    <n v="0"/>
    <n v="176.55"/>
    <n v="794475"/>
    <e v="#N/A"/>
    <n v="794475"/>
  </r>
  <r>
    <x v="12"/>
    <s v=" "/>
    <d v="2022-07-28T00:00:00"/>
    <n v="300"/>
    <n v="2197.4"/>
    <n v="2394.3000000000002"/>
    <n v="59070.000000000029"/>
    <n v="59070.000000000029"/>
    <n v="1.0896058978793119"/>
    <n v="1648.0500000000002"/>
    <n v="659220"/>
    <e v="#N/A"/>
    <n v="659220"/>
  </r>
  <r>
    <x v="12"/>
    <n v="2160"/>
    <d v="2022-06-30T00:00:00"/>
    <n v="300"/>
    <n v="39.799999999999997"/>
    <n v="1.1499999999999999"/>
    <n v="0"/>
    <n v="-11595"/>
    <n v="2.8894472361809045E-2"/>
    <n v="29.849999999999998"/>
    <n v="11940"/>
    <e v="#N/A"/>
    <n v="0"/>
  </r>
  <r>
    <x v="4"/>
    <s v=" "/>
    <d v="2022-07-28T00:00:00"/>
    <n v="3750"/>
    <n v="184"/>
    <n v="184.1"/>
    <n v="374.99999999997868"/>
    <n v="374.99999999997868"/>
    <n v="1.0005434782608695"/>
    <n v="138"/>
    <n v="690000"/>
    <e v="#N/A"/>
    <n v="690000"/>
  </r>
  <r>
    <x v="4"/>
    <n v="190"/>
    <d v="2022-06-30T00:00:00"/>
    <n v="3750"/>
    <n v="5.65"/>
    <n v="0"/>
    <n v="0"/>
    <n v="0"/>
    <n v="0"/>
    <n v="7.0625"/>
    <n v="21187.5"/>
    <e v="#N/A"/>
    <n v="0"/>
  </r>
  <r>
    <x v="0"/>
    <n v="15800"/>
    <d v="2022-06-30T00:00:00"/>
    <n v="50"/>
    <n v="135"/>
    <n v="113.5"/>
    <n v="0"/>
    <n v="1075"/>
    <n v="0.84074074074074079"/>
    <n v="168.75"/>
    <n v="6750"/>
    <e v="#N/A"/>
    <n v="0"/>
  </r>
  <r>
    <x v="0"/>
    <n v="15800"/>
    <d v="2022-06-30T00:00:00"/>
    <n v="50"/>
    <n v="139"/>
    <n v="100.1"/>
    <n v="0"/>
    <n v="1945.0000000000002"/>
    <n v="0.72014388489208625"/>
    <n v="173.75"/>
    <n v="6950"/>
    <e v="#N/A"/>
    <n v="0"/>
  </r>
  <r>
    <x v="0"/>
    <n v="15750"/>
    <d v="2022-06-30T00:00:00"/>
    <n v="50"/>
    <n v="125"/>
    <n v="84.2"/>
    <n v="0"/>
    <n v="2039.9999999999998"/>
    <n v="0.67359999999999998"/>
    <n v="156.25"/>
    <n v="6250"/>
    <e v="#N/A"/>
    <n v="0"/>
  </r>
  <r>
    <x v="4"/>
    <s v=" "/>
    <d v="2022-07-28T00:00:00"/>
    <n v="3750"/>
    <n v="178"/>
    <n v="0"/>
    <n v="0"/>
    <n v="0"/>
    <n v="0"/>
    <n v="133.5"/>
    <n v="667500"/>
    <e v="#N/A"/>
    <n v="667500"/>
  </r>
  <r>
    <x v="5"/>
    <s v=" "/>
    <d v="2022-07-28T00:00:00"/>
    <n v="25"/>
    <n v="33459.4"/>
    <n v="32586"/>
    <n v="-21835.000000000036"/>
    <n v="-21835.000000000036"/>
    <n v="0.97389672259514515"/>
    <n v="25094.550000000003"/>
    <n v="836485"/>
    <e v="#N/A"/>
    <n v="836485"/>
  </r>
  <r>
    <x v="0"/>
    <s v=" "/>
    <d v="2022-07-28T00:00:00"/>
    <n v="50"/>
    <n v="15814.65"/>
    <n v="15275"/>
    <n v="-26982.499999999982"/>
    <n v="-26982.499999999982"/>
    <n v="0.96587657646549241"/>
    <n v="11860.987499999999"/>
    <n v="790732.5"/>
    <e v="#N/A"/>
    <n v="790732.5"/>
  </r>
  <r>
    <x v="2"/>
    <n v="2500"/>
    <d v="2022-07-28T00:00:00"/>
    <n v="375"/>
    <n v="35"/>
    <n v="0"/>
    <n v="0"/>
    <n v="0"/>
    <n v="0"/>
    <n v="43.75"/>
    <n v="13125"/>
    <e v="#N/A"/>
    <n v="0"/>
  </r>
  <r>
    <x v="3"/>
    <n v="460"/>
    <d v="2022-07-28T00:00:00"/>
    <n v="1425"/>
    <n v="6.3"/>
    <n v="0"/>
    <n v="0"/>
    <n v="0"/>
    <n v="0"/>
    <n v="7.875"/>
    <n v="8977.5"/>
    <e v="#N/A"/>
    <n v="0"/>
  </r>
  <r>
    <x v="1"/>
    <n v="235"/>
    <d v="2022-07-28T00:00:00"/>
    <n v="3375"/>
    <n v="2.7"/>
    <n v="0"/>
    <n v="0"/>
    <n v="0"/>
    <n v="0"/>
    <n v="3.375"/>
    <n v="9112.5"/>
    <e v="#N/A"/>
    <n v="0"/>
  </r>
  <r>
    <x v="0"/>
    <n v="16650"/>
    <d v="2022-07-28T00:00:00"/>
    <n v="50"/>
    <n v="91.8"/>
    <n v="0"/>
    <n v="0"/>
    <n v="0"/>
    <n v="0"/>
    <n v="114.75"/>
    <n v="4590"/>
    <e v="#N/A"/>
    <n v="0"/>
  </r>
  <r>
    <x v="12"/>
    <n v="2440"/>
    <d v="2022-07-28T00:00:00"/>
    <n v="300"/>
    <n v="24.1"/>
    <n v="0"/>
    <n v="0"/>
    <n v="0"/>
    <n v="0"/>
    <n v="30.125"/>
    <n v="7230"/>
    <e v="#N/A"/>
    <n v="0"/>
  </r>
  <r>
    <x v="12"/>
    <n v="2300"/>
    <d v="2022-07-28T00:00:00"/>
    <n v="300"/>
    <n v="55.25"/>
    <n v="25.05"/>
    <n v="-9060"/>
    <n v="-9060"/>
    <n v="0.45339366515837104"/>
    <n v="41.4375"/>
    <n v="16575"/>
    <e v="#N/A"/>
    <n v="0"/>
  </r>
  <r>
    <x v="3"/>
    <n v="450"/>
    <d v="2022-07-28T00:00:00"/>
    <n v="1425"/>
    <n v="7.8"/>
    <n v="0"/>
    <n v="0"/>
    <n v="0"/>
    <n v="0"/>
    <n v="9.75"/>
    <n v="11115"/>
    <e v="#N/A"/>
    <n v="0"/>
  </r>
  <r>
    <x v="4"/>
    <n v="190"/>
    <d v="2022-07-28T00:00:00"/>
    <n v="3750"/>
    <n v="3.35"/>
    <n v="0.75"/>
    <n v="9750"/>
    <n v="9750"/>
    <n v="0.22388059701492538"/>
    <n v="4.1875"/>
    <n v="12562.5"/>
    <e v="#N/A"/>
    <n v="0"/>
  </r>
  <r>
    <x v="3"/>
    <n v="450"/>
    <d v="2022-07-28T00:00:00"/>
    <n v="1425"/>
    <n v="7.4"/>
    <n v="0"/>
    <n v="0"/>
    <n v="0"/>
    <n v="0"/>
    <n v="9.25"/>
    <n v="10545"/>
    <e v="#N/A"/>
    <n v="0"/>
  </r>
  <r>
    <x v="0"/>
    <n v="16500"/>
    <d v="2022-07-28T00:00:00"/>
    <n v="100"/>
    <n v="95"/>
    <n v="0"/>
    <n v="0"/>
    <n v="0"/>
    <n v="0"/>
    <n v="118.75"/>
    <n v="9500"/>
    <e v="#N/A"/>
    <n v="0"/>
  </r>
  <r>
    <x v="2"/>
    <n v="2300"/>
    <d v="2022-07-28T00:00:00"/>
    <n v="375"/>
    <n v="105.05"/>
    <n v="0"/>
    <n v="0"/>
    <n v="0"/>
    <n v="0"/>
    <n v="78.787499999999994"/>
    <n v="39393.75"/>
    <e v="#N/A"/>
    <n v="0"/>
  </r>
  <r>
    <x v="2"/>
    <n v="2400"/>
    <d v="2022-07-28T00:00:00"/>
    <n v="375"/>
    <n v="50"/>
    <n v="0"/>
    <n v="0"/>
    <n v="0"/>
    <n v="0"/>
    <n v="62.5"/>
    <n v="18750"/>
    <e v="#N/A"/>
    <n v="0"/>
  </r>
  <r>
    <x v="5"/>
    <n v="35000"/>
    <d v="2022-07-28T00:00:00"/>
    <n v="25"/>
    <n v="374.95"/>
    <n v="0"/>
    <n v="0"/>
    <n v="0"/>
    <n v="0"/>
    <n v="468.6875"/>
    <n v="9373.75"/>
    <e v="#N/A"/>
    <n v="0"/>
  </r>
  <r>
    <x v="5"/>
    <n v="35000"/>
    <d v="2022-07-28T00:00:00"/>
    <n v="25"/>
    <n v="383"/>
    <n v="0"/>
    <n v="0"/>
    <n v="0"/>
    <n v="0"/>
    <n v="478.75"/>
    <n v="9575"/>
    <e v="#N/A"/>
    <n v="0"/>
  </r>
  <r>
    <x v="7"/>
    <n v="1640"/>
    <d v="2022-07-28T00:00:00"/>
    <n v="300"/>
    <n v="10.6"/>
    <n v="0"/>
    <n v="0"/>
    <n v="0"/>
    <n v="0"/>
    <n v="13.25"/>
    <n v="3180"/>
    <e v="#N/A"/>
    <n v="0"/>
  </r>
  <r>
    <x v="1"/>
    <n v="230"/>
    <d v="2022-07-28T00:00:00"/>
    <n v="3375"/>
    <n v="2.7"/>
    <n v="0"/>
    <n v="0"/>
    <n v="0"/>
    <n v="0"/>
    <n v="3.375"/>
    <n v="9112.5"/>
    <e v="#N/A"/>
    <n v="0"/>
  </r>
  <r>
    <x v="1"/>
    <n v="230"/>
    <d v="2022-07-28T00:00:00"/>
    <n v="3375"/>
    <n v="2.7"/>
    <n v="0"/>
    <n v="0"/>
    <n v="0"/>
    <n v="0"/>
    <n v="3.375"/>
    <n v="9112.5"/>
    <e v="#N/A"/>
    <n v="0"/>
  </r>
  <r>
    <x v="1"/>
    <n v="210"/>
    <d v="2022-07-28T00:00:00"/>
    <n v="3375"/>
    <n v="10.3"/>
    <n v="0"/>
    <n v="0"/>
    <n v="0"/>
    <n v="0"/>
    <n v="7.7250000000000005"/>
    <n v="34762.5"/>
    <e v="#N/A"/>
    <n v="0"/>
  </r>
  <r>
    <x v="5"/>
    <n v="36000"/>
    <d v="2022-07-28T00:00:00"/>
    <n v="25"/>
    <n v="171.45"/>
    <n v="0"/>
    <n v="0"/>
    <n v="0"/>
    <n v="0"/>
    <n v="214.3125"/>
    <n v="4286.25"/>
    <e v="#N/A"/>
    <n v="0"/>
  </r>
  <r>
    <x v="7"/>
    <n v="1540"/>
    <d v="2022-07-28T00:00:00"/>
    <n v="300"/>
    <n v="53"/>
    <n v="5.7"/>
    <n v="-14190"/>
    <n v="-14190"/>
    <n v="0.10754716981132076"/>
    <n v="39.75"/>
    <n v="15900"/>
    <e v="#N/A"/>
    <n v="0"/>
  </r>
  <r>
    <x v="7"/>
    <n v="1560"/>
    <d v="2022-07-28T00:00:00"/>
    <n v="300"/>
    <n v="63.75"/>
    <n v="8.9"/>
    <n v="-16455"/>
    <n v="-16455"/>
    <n v="0.13960784313725491"/>
    <n v="47.8125"/>
    <n v="19125"/>
    <e v="#N/A"/>
    <n v="0"/>
  </r>
  <r>
    <x v="7"/>
    <n v="1640"/>
    <d v="2022-07-28T00:00:00"/>
    <n v="300"/>
    <n v="12.3"/>
    <n v="0"/>
    <n v="0"/>
    <n v="0"/>
    <n v="0"/>
    <n v="15.375"/>
    <n v="3690"/>
    <e v="#N/A"/>
    <n v="0"/>
  </r>
  <r>
    <x v="0"/>
    <n v="16500"/>
    <d v="2022-07-28T00:00:00"/>
    <n v="50"/>
    <n v="106"/>
    <n v="0"/>
    <n v="0"/>
    <n v="0"/>
    <n v="0"/>
    <n v="132.5"/>
    <n v="5300"/>
    <e v="#N/A"/>
    <n v="0"/>
  </r>
  <r>
    <x v="6"/>
    <n v="3500"/>
    <d v="2022-07-28T00:00:00"/>
    <n v="150"/>
    <n v="31.4"/>
    <n v="0"/>
    <n v="0"/>
    <n v="0"/>
    <n v="0"/>
    <n v="39.25"/>
    <n v="4710"/>
    <e v="#N/A"/>
    <n v="0"/>
  </r>
  <r>
    <x v="5"/>
    <n v="35000"/>
    <d v="2022-07-28T00:00:00"/>
    <n v="25"/>
    <n v="396"/>
    <n v="0"/>
    <n v="0"/>
    <n v="0"/>
    <n v="0"/>
    <n v="495"/>
    <n v="9900"/>
    <e v="#N/A"/>
    <n v="0"/>
  </r>
  <r>
    <x v="0"/>
    <n v="16600"/>
    <d v="2022-07-28T00:00:00"/>
    <n v="50"/>
    <n v="91.95"/>
    <n v="0"/>
    <n v="0"/>
    <n v="0"/>
    <n v="0"/>
    <n v="114.9375"/>
    <n v="4597.5"/>
    <e v="#N/A"/>
    <n v="0"/>
  </r>
  <r>
    <x v="0"/>
    <n v="16600"/>
    <d v="2022-07-28T00:00:00"/>
    <n v="50"/>
    <n v="94.75"/>
    <n v="0"/>
    <n v="0"/>
    <n v="0"/>
    <n v="0"/>
    <n v="118.4375"/>
    <n v="4737.5"/>
    <e v="#N/A"/>
    <n v="0"/>
  </r>
  <r>
    <x v="9"/>
    <m/>
    <d v="2022-07-28T00:00:00"/>
    <n v="1600"/>
    <n v="369"/>
    <n v="0"/>
    <n v="0"/>
    <n v="0"/>
    <n v="0"/>
    <n v="276.75"/>
    <n v="590400"/>
    <e v="#N/A"/>
    <n v="590400"/>
  </r>
  <r>
    <x v="9"/>
    <n v="400"/>
    <d v="2022-07-28T00:00:00"/>
    <n v="1600"/>
    <n v="8.8000000000000007"/>
    <n v="0"/>
    <n v="0"/>
    <n v="0"/>
    <n v="0"/>
    <n v="11"/>
    <n v="14080.000000000002"/>
    <e v="#N/A"/>
    <n v="0"/>
  </r>
  <r>
    <x v="9"/>
    <n v="400"/>
    <d v="2022-07-28T00:00:00"/>
    <n v="1600"/>
    <n v="8.8000000000000007"/>
    <n v="0"/>
    <n v="0"/>
    <n v="0"/>
    <n v="0"/>
    <n v="11"/>
    <n v="14080.000000000002"/>
    <e v="#N/A"/>
    <n v="0"/>
  </r>
  <r>
    <x v="9"/>
    <n v="370"/>
    <d v="2022-07-28T00:00:00"/>
    <n v="1600"/>
    <n v="21.15"/>
    <n v="0"/>
    <n v="0"/>
    <n v="0"/>
    <n v="0"/>
    <n v="15.862499999999999"/>
    <n v="33840"/>
    <e v="#N/A"/>
    <n v="0"/>
  </r>
  <r>
    <x v="6"/>
    <n v="3500"/>
    <d v="2022-07-28T00:00:00"/>
    <n v="150"/>
    <n v="34.65"/>
    <n v="0"/>
    <n v="0"/>
    <n v="0"/>
    <n v="0"/>
    <n v="43.3125"/>
    <n v="5197.5"/>
    <e v="#N/A"/>
    <n v="0"/>
  </r>
  <r>
    <x v="3"/>
    <n v="460"/>
    <d v="2022-07-28T00:00:00"/>
    <n v="1425"/>
    <n v="5.9"/>
    <n v="0"/>
    <n v="0"/>
    <n v="0"/>
    <n v="0"/>
    <n v="7.375"/>
    <n v="8407.5"/>
    <e v="#N/A"/>
    <n v="0"/>
  </r>
  <r>
    <x v="0"/>
    <n v="16600"/>
    <d v="2022-07-28T00:00:00"/>
    <n v="50"/>
    <n v="80"/>
    <n v="0"/>
    <n v="0"/>
    <n v="0"/>
    <n v="0"/>
    <n v="100"/>
    <n v="4000"/>
    <e v="#N/A"/>
    <n v="0"/>
  </r>
  <r>
    <x v="0"/>
    <n v="16500"/>
    <d v="2022-07-28T00:00:00"/>
    <n v="50"/>
    <n v="101.25"/>
    <n v="0"/>
    <n v="0"/>
    <n v="0"/>
    <n v="0"/>
    <n v="126.5625"/>
    <n v="5062.5"/>
    <e v="#N/A"/>
    <n v="0"/>
  </r>
  <r>
    <x v="5"/>
    <n v="35000"/>
    <d v="2022-07-28T00:00:00"/>
    <n v="25"/>
    <n v="276.10000000000002"/>
    <n v="0"/>
    <n v="0"/>
    <n v="0"/>
    <n v="0"/>
    <n v="345.125"/>
    <n v="6902.5000000000009"/>
    <e v="#N/A"/>
    <n v="0"/>
  </r>
  <r>
    <x v="0"/>
    <n v="16100"/>
    <d v="2022-07-07T00:00:00"/>
    <n v="50"/>
    <n v="55.4"/>
    <n v="0"/>
    <n v="0"/>
    <n v="0"/>
    <n v="0"/>
    <n v="69.25"/>
    <n v="2770"/>
    <e v="#N/A"/>
    <n v="0"/>
  </r>
  <r>
    <x v="3"/>
    <n v="440"/>
    <d v="2022-07-28T00:00:00"/>
    <n v="1425"/>
    <n v="7.4"/>
    <n v="0"/>
    <n v="0"/>
    <n v="0"/>
    <n v="0"/>
    <n v="9.25"/>
    <n v="10545"/>
    <e v="#N/A"/>
    <n v="0"/>
  </r>
  <r>
    <x v="3"/>
    <n v="450"/>
    <d v="2022-07-28T00:00:00"/>
    <n v="1425"/>
    <n v="5.15"/>
    <n v="0"/>
    <n v="0"/>
    <n v="0"/>
    <n v="0"/>
    <n v="6.4375"/>
    <n v="7338.7500000000009"/>
    <e v="#N/A"/>
    <n v="0"/>
  </r>
  <r>
    <x v="12"/>
    <n v="2360"/>
    <d v="2022-07-28T00:00:00"/>
    <n v="300"/>
    <n v="46.05"/>
    <n v="0"/>
    <n v="0"/>
    <n v="0"/>
    <n v="0"/>
    <n v="34.537499999999994"/>
    <n v="13815"/>
    <e v="#N/A"/>
    <n v="0"/>
  </r>
  <r>
    <x v="3"/>
    <n v="410"/>
    <d v="2022-07-28T00:00:00"/>
    <n v="1425"/>
    <n v="12.95"/>
    <n v="0"/>
    <n v="0"/>
    <n v="0"/>
    <n v="0"/>
    <n v="9.7124999999999986"/>
    <n v="18453.75"/>
    <e v="#N/A"/>
    <n v="0"/>
  </r>
  <r>
    <x v="12"/>
    <n v="2480"/>
    <d v="2022-07-28T00:00:00"/>
    <n v="300"/>
    <n v="23.65"/>
    <n v="0"/>
    <n v="0"/>
    <n v="0"/>
    <n v="0"/>
    <n v="29.5625"/>
    <n v="7095"/>
    <e v="#N/A"/>
    <n v="0"/>
  </r>
  <r>
    <x v="12"/>
    <s v=" "/>
    <d v="2022-08-25T00:00:00"/>
    <n v="300"/>
    <n v="2401.6"/>
    <n v="0"/>
    <n v="0"/>
    <n v="0"/>
    <n v="0"/>
    <n v="1801.1999999999998"/>
    <n v="720480"/>
    <e v="#N/A"/>
    <n v="720480"/>
  </r>
  <r>
    <x v="4"/>
    <n v="175"/>
    <d v="2022-07-28T00:00:00"/>
    <n v="3750"/>
    <n v="2.4500000000000002"/>
    <n v="0"/>
    <n v="0"/>
    <n v="0"/>
    <n v="0"/>
    <n v="3.0625"/>
    <n v="9187.5"/>
    <e v="#N/A"/>
    <n v="0"/>
  </r>
  <r>
    <x v="3"/>
    <n v="410"/>
    <d v="2022-07-28T00:00:00"/>
    <n v="1425"/>
    <n v="12.95"/>
    <n v="0"/>
    <n v="0"/>
    <n v="0"/>
    <n v="0"/>
    <n v="9.7124999999999986"/>
    <n v="18453.75"/>
    <e v="#N/A"/>
    <n v="0"/>
  </r>
  <r>
    <x v="3"/>
    <n v="410"/>
    <d v="2022-07-28T00:00:00"/>
    <n v="1425"/>
    <n v="12.95"/>
    <n v="0"/>
    <n v="0"/>
    <n v="0"/>
    <n v="0"/>
    <n v="9.7124999999999986"/>
    <n v="18453.75"/>
    <e v="#N/A"/>
    <n v="0"/>
  </r>
  <r>
    <x v="2"/>
    <n v="2300"/>
    <d v="2022-07-28T00:00:00"/>
    <n v="375"/>
    <n v="31.2"/>
    <n v="0"/>
    <n v="0"/>
    <n v="0"/>
    <n v="0"/>
    <n v="39"/>
    <n v="11700"/>
    <e v="#N/A"/>
    <n v="0"/>
  </r>
  <r>
    <x v="0"/>
    <n v="16100"/>
    <d v="2022-07-07T00:00:00"/>
    <n v="50"/>
    <n v="60"/>
    <n v="0"/>
    <n v="0"/>
    <n v="0"/>
    <n v="0"/>
    <n v="75"/>
    <n v="3000"/>
    <e v="#N/A"/>
    <n v="0"/>
  </r>
  <r>
    <x v="1"/>
    <n v="235"/>
    <d v="2022-07-28T00:00:00"/>
    <n v="3375"/>
    <n v="2.4500000000000002"/>
    <n v="0"/>
    <n v="0"/>
    <n v="0"/>
    <n v="0"/>
    <n v="3.0625"/>
    <n v="8268.75"/>
    <e v="#N/A"/>
    <n v="0"/>
  </r>
  <r>
    <x v="2"/>
    <n v="2300"/>
    <d v="2022-07-28T00:00:00"/>
    <n v="375"/>
    <n v="31.5"/>
    <n v="0"/>
    <n v="0"/>
    <n v="0"/>
    <n v="0"/>
    <n v="39.375"/>
    <n v="11812.5"/>
    <e v="#N/A"/>
    <n v="0"/>
  </r>
  <r>
    <x v="5"/>
    <n v="35000"/>
    <d v="2022-07-28T00:00:00"/>
    <n v="25"/>
    <n v="455"/>
    <n v="0"/>
    <n v="0"/>
    <n v="0"/>
    <n v="0"/>
    <n v="568.75"/>
    <n v="11375"/>
    <e v="#N/A"/>
    <n v="0"/>
  </r>
  <r>
    <x v="4"/>
    <n v="160"/>
    <d v="2022-07-28T00:00:00"/>
    <n v="3750"/>
    <n v="5.35"/>
    <n v="0"/>
    <n v="0"/>
    <n v="0"/>
    <n v="0"/>
    <n v="4.0124999999999993"/>
    <n v="20062.5"/>
    <e v="#N/A"/>
    <n v="0"/>
  </r>
  <r>
    <x v="4"/>
    <n v="175"/>
    <d v="2022-07-28T00:00:00"/>
    <n v="3750"/>
    <n v="2.8"/>
    <n v="0"/>
    <n v="0"/>
    <n v="0"/>
    <n v="0"/>
    <n v="3.5"/>
    <n v="10500"/>
    <e v="#N/A"/>
    <n v="0"/>
  </r>
  <r>
    <x v="4"/>
    <n v="170"/>
    <d v="2022-07-28T00:00:00"/>
    <n v="3750"/>
    <n v="4.2"/>
    <n v="0"/>
    <n v="0"/>
    <n v="0"/>
    <n v="0"/>
    <n v="5.25"/>
    <n v="15750"/>
    <e v="#N/A"/>
    <n v="0"/>
  </r>
  <r>
    <x v="0"/>
    <n v="16000"/>
    <d v="2022-07-28T00:00:00"/>
    <n v="50"/>
    <n v="260.5"/>
    <n v="0"/>
    <n v="0"/>
    <n v="0"/>
    <n v="0"/>
    <n v="195.375"/>
    <n v="13025"/>
    <e v="#N/A"/>
    <n v="0"/>
  </r>
  <r>
    <x v="0"/>
    <n v="15200"/>
    <d v="2022-07-28T00:00:00"/>
    <n v="50"/>
    <n v="66.3"/>
    <n v="0"/>
    <n v="0"/>
    <n v="0"/>
    <n v="0"/>
    <n v="82.875"/>
    <n v="3315"/>
    <e v="#N/A"/>
    <n v="0"/>
  </r>
  <r>
    <x v="4"/>
    <n v="172.5"/>
    <d v="2022-07-28T00:00:00"/>
    <n v="3750"/>
    <n v="3.6"/>
    <n v="0"/>
    <n v="0"/>
    <n v="0"/>
    <n v="0"/>
    <n v="4.5"/>
    <n v="13500"/>
    <e v="#N/A"/>
    <n v="0"/>
  </r>
  <r>
    <x v="6"/>
    <n v="3400"/>
    <d v="2022-07-28T00:00:00"/>
    <n v="150"/>
    <n v="50.15"/>
    <n v="0"/>
    <n v="0"/>
    <n v="0"/>
    <n v="0"/>
    <n v="62.6875"/>
    <n v="7522.5"/>
    <e v="#N/A"/>
    <n v="0"/>
  </r>
  <r>
    <x v="7"/>
    <s v=" "/>
    <d v="2022-08-25T00:00:00"/>
    <n v="300"/>
    <n v="1659.98"/>
    <n v="0"/>
    <n v="0"/>
    <n v="0"/>
    <n v="0"/>
    <n v="1244.9850000000001"/>
    <n v="497994"/>
    <e v="#N/A"/>
    <n v="497994"/>
  </r>
  <r>
    <x v="7"/>
    <s v=" "/>
    <d v="2022-08-25T00:00:00"/>
    <n v="300"/>
    <n v="1659.98"/>
    <n v="0"/>
    <n v="0"/>
    <n v="0"/>
    <n v="0"/>
    <n v="1244.9850000000001"/>
    <n v="497994"/>
    <e v="#N/A"/>
    <n v="497994"/>
  </r>
  <r>
    <x v="7"/>
    <n v="1640"/>
    <d v="2022-07-28T00:00:00"/>
    <n v="300"/>
    <n v="30"/>
    <n v="0"/>
    <n v="0"/>
    <n v="0"/>
    <n v="0"/>
    <n v="22.5"/>
    <n v="9000"/>
    <e v="#N/A"/>
    <n v="0"/>
  </r>
  <r>
    <x v="7"/>
    <n v="1640"/>
    <d v="2022-07-28T00:00:00"/>
    <n v="300"/>
    <n v="30"/>
    <n v="0"/>
    <n v="0"/>
    <n v="0"/>
    <n v="0"/>
    <n v="22.5"/>
    <n v="9000"/>
    <e v="#N/A"/>
    <n v="0"/>
  </r>
  <r>
    <x v="5"/>
    <s v=" "/>
    <d v="2022-08-25T00:00:00"/>
    <n v="25"/>
    <n v="35190"/>
    <n v="0"/>
    <n v="0"/>
    <n v="0"/>
    <n v="0"/>
    <n v="26392.5"/>
    <n v="879750"/>
    <e v="#N/A"/>
    <n v="879750"/>
  </r>
  <r>
    <x v="5"/>
    <s v=" "/>
    <d v="2022-08-25T00:00:00"/>
    <n v="25"/>
    <n v="35201.599999999999"/>
    <n v="0"/>
    <n v="0"/>
    <n v="0"/>
    <n v="0"/>
    <n v="26401.199999999997"/>
    <n v="880040"/>
    <e v="#N/A"/>
    <n v="880040"/>
  </r>
  <r>
    <x v="5"/>
    <s v=" "/>
    <d v="2022-08-25T00:00:00"/>
    <n v="25"/>
    <n v="35201.599999999999"/>
    <n v="0"/>
    <n v="0"/>
    <n v="0"/>
    <n v="0"/>
    <n v="26401.199999999997"/>
    <n v="880040"/>
    <e v="#N/A"/>
    <n v="880040"/>
  </r>
  <r>
    <x v="12"/>
    <n v="2500"/>
    <d v="2022-07-28T00:00:00"/>
    <n v="300"/>
    <n v="57.6"/>
    <n v="0"/>
    <n v="0"/>
    <n v="0"/>
    <n v="0"/>
    <n v="72"/>
    <n v="17280"/>
    <e v="#N/A"/>
    <n v="0"/>
  </r>
  <r>
    <x v="0"/>
    <n v="16000"/>
    <d v="2022-07-28T00:00:00"/>
    <n v="50"/>
    <n v="198"/>
    <n v="0"/>
    <n v="0"/>
    <n v="0"/>
    <n v="0"/>
    <n v="148.5"/>
    <n v="9900"/>
    <e v="#N/A"/>
    <n v="0"/>
  </r>
  <r>
    <x v="3"/>
    <s v=" "/>
    <d v="2022-08-25T00:00:00"/>
    <n v="1425"/>
    <n v="438.65"/>
    <n v="0"/>
    <n v="0"/>
    <n v="0"/>
    <n v="0"/>
    <n v="328.98749999999995"/>
    <n v="625076.25"/>
    <e v="#N/A"/>
    <n v="625076.25"/>
  </r>
  <r>
    <x v="3"/>
    <s v=" "/>
    <d v="2022-08-25T00:00:00"/>
    <n v="1425"/>
    <n v="439"/>
    <n v="0"/>
    <n v="0"/>
    <n v="0"/>
    <n v="0"/>
    <n v="329.25"/>
    <n v="625575"/>
    <e v="#N/A"/>
    <n v="625575"/>
  </r>
  <r>
    <x v="3"/>
    <s v=" "/>
    <d v="2022-08-25T00:00:00"/>
    <n v="1425"/>
    <n v="444.15"/>
    <n v="0"/>
    <n v="0"/>
    <n v="0"/>
    <n v="0"/>
    <n v="333.11249999999995"/>
    <n v="632913.75"/>
    <e v="#N/A"/>
    <n v="632913.75"/>
  </r>
  <r>
    <x v="3"/>
    <n v="430"/>
    <d v="2022-07-28T00:00:00"/>
    <n v="1425"/>
    <n v="9.4"/>
    <n v="0"/>
    <n v="0"/>
    <n v="0"/>
    <n v="0"/>
    <n v="7.0500000000000007"/>
    <n v="13395"/>
    <e v="#N/A"/>
    <n v="0"/>
  </r>
  <r>
    <x v="3"/>
    <n v="430"/>
    <d v="2022-07-28T00:00:00"/>
    <n v="1425"/>
    <n v="11"/>
    <n v="0"/>
    <n v="0"/>
    <n v="0"/>
    <n v="0"/>
    <n v="8.25"/>
    <n v="15675"/>
    <e v="#N/A"/>
    <n v="0"/>
  </r>
  <r>
    <x v="3"/>
    <n v="430"/>
    <d v="2022-07-28T00:00:00"/>
    <n v="1425"/>
    <n v="11.3"/>
    <n v="0"/>
    <n v="0"/>
    <n v="0"/>
    <n v="0"/>
    <n v="8.4750000000000014"/>
    <n v="16102.500000000002"/>
    <e v="#N/A"/>
    <n v="0"/>
  </r>
  <r>
    <x v="3"/>
    <n v="460"/>
    <d v="2022-07-28T00:00:00"/>
    <n v="1425"/>
    <n v="6.35"/>
    <n v="0"/>
    <n v="0"/>
    <n v="0"/>
    <n v="0"/>
    <n v="7.9375"/>
    <n v="9048.75"/>
    <e v="#N/A"/>
    <n v="0"/>
  </r>
  <r>
    <x v="5"/>
    <n v="34000"/>
    <d v="2022-07-28T00:00:00"/>
    <n v="25"/>
    <n v="382.75"/>
    <n v="0"/>
    <n v="0"/>
    <n v="0"/>
    <n v="0"/>
    <n v="287.0625"/>
    <n v="9568.75"/>
    <e v="#N/A"/>
    <n v="0"/>
  </r>
  <r>
    <x v="5"/>
    <n v="35000"/>
    <d v="2022-07-28T00:00:00"/>
    <n v="25"/>
    <n v="697"/>
    <n v="0"/>
    <n v="0"/>
    <n v="0"/>
    <n v="0"/>
    <n v="871.25"/>
    <n v="17425"/>
    <e v="#N/A"/>
    <n v="0"/>
  </r>
  <r>
    <x v="0"/>
    <n v="16600"/>
    <d v="2022-07-28T00:00:00"/>
    <n v="50"/>
    <n v="93.85"/>
    <n v="0"/>
    <n v="0"/>
    <n v="0"/>
    <n v="0"/>
    <n v="117.3125"/>
    <n v="4692.5"/>
    <e v="#N/A"/>
    <n v="0"/>
  </r>
  <r>
    <x v="13"/>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I1:BU3" firstHeaderRow="1" firstDataRow="2" firstDataCol="1"/>
  <pivotFields count="13">
    <pivotField axis="axisCol" showAll="0" measureFilter="1">
      <items count="15">
        <item x="5"/>
        <item x="4"/>
        <item x="0"/>
        <item x="2"/>
        <item x="3"/>
        <item x="1"/>
        <item x="6"/>
        <item x="13"/>
        <item x="7"/>
        <item x="8"/>
        <item x="9"/>
        <item x="10"/>
        <item x="11"/>
        <item x="12"/>
        <item t="default"/>
      </items>
    </pivotField>
    <pivotField showAll="0"/>
    <pivotField showAll="0"/>
    <pivotField showAll="0"/>
    <pivotField showAll="0"/>
    <pivotField showAll="0"/>
    <pivotField showAll="0" defaultSubtotal="0"/>
    <pivotField showAll="0" defaultSubtotal="0"/>
    <pivotField showAll="0"/>
    <pivotField showAll="0"/>
    <pivotField showAll="0"/>
    <pivotField showAll="0"/>
    <pivotField dataField="1" showAll="0"/>
  </pivotFields>
  <rowItems count="1">
    <i/>
  </rowItems>
  <colFields count="1">
    <field x="0"/>
  </colFields>
  <colItems count="12">
    <i>
      <x/>
    </i>
    <i>
      <x v="1"/>
    </i>
    <i>
      <x v="2"/>
    </i>
    <i>
      <x v="3"/>
    </i>
    <i>
      <x v="4"/>
    </i>
    <i>
      <x v="5"/>
    </i>
    <i>
      <x v="6"/>
    </i>
    <i>
      <x v="8"/>
    </i>
    <i>
      <x v="9"/>
    </i>
    <i>
      <x v="10"/>
    </i>
    <i>
      <x v="13"/>
    </i>
    <i t="grand">
      <x/>
    </i>
  </colItems>
  <dataFields count="1">
    <dataField name="Sum of Future Exposre" fld="12" baseField="0" baseItem="0"/>
  </dataFields>
  <pivotTableStyleInfo name="PivotStyleLight16" showRowHeaders="1" showColHeaders="1" showRowStripes="0" showColStripes="0" showLastColumn="1"/>
  <filters count="1">
    <filter fld="0"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G4"/>
  <sheetViews>
    <sheetView zoomScale="80" zoomScaleNormal="80" workbookViewId="0">
      <selection activeCell="D4" sqref="D4"/>
    </sheetView>
  </sheetViews>
  <sheetFormatPr defaultRowHeight="15"/>
  <sheetData>
    <row r="1" spans="2:7">
      <c r="D1" t="s">
        <v>675</v>
      </c>
      <c r="E1" t="s">
        <v>677</v>
      </c>
    </row>
    <row r="2" spans="2:7">
      <c r="B2" t="s">
        <v>658</v>
      </c>
      <c r="C2" t="s">
        <v>680</v>
      </c>
      <c r="D2" t="s">
        <v>676</v>
      </c>
      <c r="E2" t="s">
        <v>609</v>
      </c>
      <c r="F2" t="s">
        <v>678</v>
      </c>
      <c r="G2" t="s">
        <v>679</v>
      </c>
    </row>
    <row r="3" spans="2:7">
      <c r="B3" s="39">
        <v>44621</v>
      </c>
      <c r="C3">
        <v>3.56</v>
      </c>
      <c r="D3">
        <v>1</v>
      </c>
      <c r="E3">
        <v>1.5</v>
      </c>
      <c r="F3">
        <v>0.08</v>
      </c>
      <c r="G3">
        <f>C3-(D3+E3+F3)</f>
        <v>0.98</v>
      </c>
    </row>
    <row r="4" spans="2:7">
      <c r="B4" s="39">
        <v>44652</v>
      </c>
      <c r="C4">
        <v>2.5299999999999998</v>
      </c>
      <c r="D4">
        <v>1</v>
      </c>
      <c r="E4">
        <v>1</v>
      </c>
      <c r="F4">
        <v>0.5</v>
      </c>
      <c r="G4">
        <f>C4-(D4+E4+F4)</f>
        <v>2.9999999999999805E-2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E24"/>
  <sheetViews>
    <sheetView zoomScaleNormal="100" workbookViewId="0">
      <selection activeCell="D31" sqref="D31"/>
    </sheetView>
  </sheetViews>
  <sheetFormatPr defaultRowHeight="15"/>
  <cols>
    <col min="2" max="2" width="35" bestFit="1" customWidth="1"/>
    <col min="3" max="3" width="14.85546875" bestFit="1" customWidth="1"/>
    <col min="4" max="4" width="13.7109375" bestFit="1" customWidth="1"/>
    <col min="5" max="5" width="14.85546875" bestFit="1" customWidth="1"/>
  </cols>
  <sheetData>
    <row r="2" spans="2:5">
      <c r="C2" s="33" t="s">
        <v>0</v>
      </c>
      <c r="D2" s="33" t="s">
        <v>547</v>
      </c>
      <c r="E2" s="33" t="s">
        <v>546</v>
      </c>
    </row>
    <row r="3" spans="2:5">
      <c r="B3" s="84">
        <v>44473</v>
      </c>
      <c r="C3" s="2">
        <v>102264</v>
      </c>
      <c r="D3" s="2">
        <v>209693</v>
      </c>
      <c r="E3" s="2">
        <f>C3+D3</f>
        <v>311957</v>
      </c>
    </row>
    <row r="4" spans="2:5">
      <c r="B4" s="84">
        <v>44473</v>
      </c>
      <c r="C4" s="2">
        <v>1275334.8</v>
      </c>
      <c r="D4" s="2">
        <v>209693</v>
      </c>
      <c r="E4" s="2">
        <f>C4+D4</f>
        <v>1485027.8</v>
      </c>
    </row>
    <row r="5" spans="2:5">
      <c r="B5" s="84"/>
      <c r="C5" s="2"/>
      <c r="D5" s="2"/>
      <c r="E5" s="2"/>
    </row>
    <row r="6" spans="2:5">
      <c r="B6" s="84"/>
      <c r="C6" s="2"/>
      <c r="D6" s="2"/>
      <c r="E6" s="2"/>
    </row>
    <row r="7" spans="2:5">
      <c r="B7" s="84"/>
      <c r="C7" s="2"/>
      <c r="D7" s="2"/>
      <c r="E7" s="2"/>
    </row>
    <row r="8" spans="2:5">
      <c r="B8" s="84"/>
      <c r="C8" s="2"/>
      <c r="D8" s="2"/>
      <c r="E8" s="2"/>
    </row>
    <row r="9" spans="2:5">
      <c r="B9" s="84"/>
      <c r="C9" s="2"/>
      <c r="D9" s="2"/>
      <c r="E9" s="2"/>
    </row>
    <row r="10" spans="2:5">
      <c r="B10" s="84"/>
      <c r="C10" s="2"/>
      <c r="D10" s="2"/>
      <c r="E10" s="2"/>
    </row>
    <row r="11" spans="2:5">
      <c r="B11" s="84"/>
      <c r="C11" s="2"/>
      <c r="D11" s="2"/>
      <c r="E11" s="2"/>
    </row>
    <row r="12" spans="2:5">
      <c r="B12" s="84"/>
      <c r="C12" s="2"/>
      <c r="D12" s="2"/>
      <c r="E12" s="2"/>
    </row>
    <row r="13" spans="2:5">
      <c r="B13" s="84"/>
      <c r="C13" s="2"/>
      <c r="D13" s="2"/>
      <c r="E13" s="2"/>
    </row>
    <row r="14" spans="2:5">
      <c r="B14" s="84"/>
      <c r="C14" s="2"/>
      <c r="D14" s="2"/>
      <c r="E14" s="2"/>
    </row>
    <row r="15" spans="2:5">
      <c r="B15" s="84"/>
      <c r="C15" s="2"/>
      <c r="D15" s="2"/>
      <c r="E15" s="2"/>
    </row>
    <row r="16" spans="2:5">
      <c r="B16" s="84"/>
      <c r="C16" s="2"/>
      <c r="D16" s="2"/>
      <c r="E16" s="2"/>
    </row>
    <row r="17" spans="2:5">
      <c r="B17" s="84"/>
      <c r="C17" s="2"/>
      <c r="D17" s="2"/>
      <c r="E17" s="2"/>
    </row>
    <row r="18" spans="2:5">
      <c r="B18" s="84"/>
      <c r="C18" s="2"/>
      <c r="D18" s="2"/>
      <c r="E18" s="2"/>
    </row>
    <row r="19" spans="2:5">
      <c r="B19" s="84"/>
      <c r="C19" s="2"/>
      <c r="D19" s="2"/>
      <c r="E19" s="2"/>
    </row>
    <row r="20" spans="2:5">
      <c r="B20" s="84"/>
      <c r="C20" s="2"/>
      <c r="D20" s="2"/>
      <c r="E20" s="2"/>
    </row>
    <row r="21" spans="2:5">
      <c r="B21" s="84"/>
      <c r="C21" s="2"/>
      <c r="D21" s="2"/>
      <c r="E21" s="2"/>
    </row>
    <row r="22" spans="2:5">
      <c r="B22" s="84"/>
      <c r="C22" s="2"/>
      <c r="D22" s="2"/>
      <c r="E22" s="2"/>
    </row>
    <row r="23" spans="2:5">
      <c r="B23" s="84"/>
      <c r="C23" s="2"/>
      <c r="D23" s="2"/>
      <c r="E23" s="2"/>
    </row>
    <row r="24" spans="2:5">
      <c r="B24" s="84"/>
      <c r="C24" s="2"/>
      <c r="D24" s="2"/>
      <c r="E24" s="2"/>
    </row>
  </sheetData>
  <conditionalFormatting sqref="C3:D3">
    <cfRule type="cellIs" dxfId="249" priority="79" stopIfTrue="1" operator="lessThan">
      <formula>0</formula>
    </cfRule>
    <cfRule type="cellIs" dxfId="248" priority="80" stopIfTrue="1" operator="greaterThan">
      <formula>0</formula>
    </cfRule>
  </conditionalFormatting>
  <conditionalFormatting sqref="C3:D3">
    <cfRule type="cellIs" dxfId="247" priority="77" stopIfTrue="1" operator="lessThan">
      <formula>0</formula>
    </cfRule>
    <cfRule type="cellIs" dxfId="246" priority="78" stopIfTrue="1" operator="greaterThan">
      <formula>0</formula>
    </cfRule>
  </conditionalFormatting>
  <conditionalFormatting sqref="C5:D7 C9:D11 C13:D15 C18:D18">
    <cfRule type="cellIs" dxfId="245" priority="75" stopIfTrue="1" operator="lessThan">
      <formula>0</formula>
    </cfRule>
    <cfRule type="cellIs" dxfId="244" priority="76" stopIfTrue="1" operator="greaterThan">
      <formula>0</formula>
    </cfRule>
  </conditionalFormatting>
  <conditionalFormatting sqref="C5:D7 C9:D11 C13:D15 C18:D18">
    <cfRule type="cellIs" dxfId="243" priority="73" stopIfTrue="1" operator="lessThan">
      <formula>0</formula>
    </cfRule>
    <cfRule type="cellIs" dxfId="242" priority="74" stopIfTrue="1" operator="greaterThan">
      <formula>0</formula>
    </cfRule>
  </conditionalFormatting>
  <conditionalFormatting sqref="C8:D8">
    <cfRule type="cellIs" dxfId="241" priority="71" stopIfTrue="1" operator="lessThan">
      <formula>0</formula>
    </cfRule>
    <cfRule type="cellIs" dxfId="240" priority="72" stopIfTrue="1" operator="greaterThan">
      <formula>0</formula>
    </cfRule>
  </conditionalFormatting>
  <conditionalFormatting sqref="C8:D8">
    <cfRule type="cellIs" dxfId="239" priority="69" stopIfTrue="1" operator="lessThan">
      <formula>0</formula>
    </cfRule>
    <cfRule type="cellIs" dxfId="238" priority="70" stopIfTrue="1" operator="greaterThan">
      <formula>0</formula>
    </cfRule>
  </conditionalFormatting>
  <conditionalFormatting sqref="C12:D15 C18:D19 C21:D24">
    <cfRule type="cellIs" dxfId="237" priority="67" stopIfTrue="1" operator="lessThan">
      <formula>0</formula>
    </cfRule>
    <cfRule type="cellIs" dxfId="236" priority="68" stopIfTrue="1" operator="greaterThan">
      <formula>0</formula>
    </cfRule>
  </conditionalFormatting>
  <conditionalFormatting sqref="C12:D15 C18:D19 C21:D24">
    <cfRule type="cellIs" dxfId="235" priority="65" stopIfTrue="1" operator="lessThan">
      <formula>0</formula>
    </cfRule>
    <cfRule type="cellIs" dxfId="234" priority="66" stopIfTrue="1" operator="greaterThan">
      <formula>0</formula>
    </cfRule>
  </conditionalFormatting>
  <conditionalFormatting sqref="C16:D16">
    <cfRule type="cellIs" dxfId="233" priority="63" stopIfTrue="1" operator="lessThan">
      <formula>0</formula>
    </cfRule>
    <cfRule type="cellIs" dxfId="232" priority="64" stopIfTrue="1" operator="greaterThan">
      <formula>0</formula>
    </cfRule>
  </conditionalFormatting>
  <conditionalFormatting sqref="C16:D16">
    <cfRule type="cellIs" dxfId="231" priority="61" stopIfTrue="1" operator="lessThan">
      <formula>0</formula>
    </cfRule>
    <cfRule type="cellIs" dxfId="230" priority="62" stopIfTrue="1" operator="greaterThan">
      <formula>0</formula>
    </cfRule>
  </conditionalFormatting>
  <conditionalFormatting sqref="C16:D16">
    <cfRule type="cellIs" dxfId="229" priority="59" stopIfTrue="1" operator="lessThan">
      <formula>0</formula>
    </cfRule>
    <cfRule type="cellIs" dxfId="228" priority="60" stopIfTrue="1" operator="greaterThan">
      <formula>0</formula>
    </cfRule>
  </conditionalFormatting>
  <conditionalFormatting sqref="C16:D16">
    <cfRule type="cellIs" dxfId="227" priority="57" stopIfTrue="1" operator="lessThan">
      <formula>0</formula>
    </cfRule>
    <cfRule type="cellIs" dxfId="226" priority="58" stopIfTrue="1" operator="greaterThan">
      <formula>0</formula>
    </cfRule>
  </conditionalFormatting>
  <conditionalFormatting sqref="C17:D17">
    <cfRule type="cellIs" dxfId="225" priority="55" stopIfTrue="1" operator="lessThan">
      <formula>0</formula>
    </cfRule>
    <cfRule type="cellIs" dxfId="224" priority="56" stopIfTrue="1" operator="greaterThan">
      <formula>0</formula>
    </cfRule>
  </conditionalFormatting>
  <conditionalFormatting sqref="C17:D17">
    <cfRule type="cellIs" dxfId="223" priority="53" stopIfTrue="1" operator="lessThan">
      <formula>0</formula>
    </cfRule>
    <cfRule type="cellIs" dxfId="222" priority="54" stopIfTrue="1" operator="greaterThan">
      <formula>0</formula>
    </cfRule>
  </conditionalFormatting>
  <conditionalFormatting sqref="C17:D17">
    <cfRule type="cellIs" dxfId="221" priority="51" stopIfTrue="1" operator="lessThan">
      <formula>0</formula>
    </cfRule>
    <cfRule type="cellIs" dxfId="220" priority="52" stopIfTrue="1" operator="greaterThan">
      <formula>0</formula>
    </cfRule>
  </conditionalFormatting>
  <conditionalFormatting sqref="C17:D17">
    <cfRule type="cellIs" dxfId="219" priority="49" stopIfTrue="1" operator="lessThan">
      <formula>0</formula>
    </cfRule>
    <cfRule type="cellIs" dxfId="218" priority="50" stopIfTrue="1" operator="greaterThan">
      <formula>0</formula>
    </cfRule>
  </conditionalFormatting>
  <conditionalFormatting sqref="C20:D20">
    <cfRule type="cellIs" dxfId="217" priority="47" stopIfTrue="1" operator="lessThan">
      <formula>0</formula>
    </cfRule>
    <cfRule type="cellIs" dxfId="216" priority="48" stopIfTrue="1" operator="greaterThan">
      <formula>0</formula>
    </cfRule>
  </conditionalFormatting>
  <conditionalFormatting sqref="C20:D20">
    <cfRule type="cellIs" dxfId="215" priority="45" stopIfTrue="1" operator="lessThan">
      <formula>0</formula>
    </cfRule>
    <cfRule type="cellIs" dxfId="214" priority="46" stopIfTrue="1" operator="greaterThan">
      <formula>0</formula>
    </cfRule>
  </conditionalFormatting>
  <conditionalFormatting sqref="E3">
    <cfRule type="cellIs" dxfId="213" priority="43" stopIfTrue="1" operator="lessThan">
      <formula>0</formula>
    </cfRule>
    <cfRule type="cellIs" dxfId="212" priority="44" stopIfTrue="1" operator="greaterThan">
      <formula>0</formula>
    </cfRule>
  </conditionalFormatting>
  <conditionalFormatting sqref="E3">
    <cfRule type="cellIs" dxfId="211" priority="41" stopIfTrue="1" operator="lessThan">
      <formula>0</formula>
    </cfRule>
    <cfRule type="cellIs" dxfId="210" priority="42" stopIfTrue="1" operator="greaterThan">
      <formula>0</formula>
    </cfRule>
  </conditionalFormatting>
  <conditionalFormatting sqref="E5:E7 E9:E11 E13:E15 E18">
    <cfRule type="cellIs" dxfId="209" priority="39" stopIfTrue="1" operator="lessThan">
      <formula>0</formula>
    </cfRule>
    <cfRule type="cellIs" dxfId="208" priority="40" stopIfTrue="1" operator="greaterThan">
      <formula>0</formula>
    </cfRule>
  </conditionalFormatting>
  <conditionalFormatting sqref="E5:E7 E9:E11 E13:E15 E18">
    <cfRule type="cellIs" dxfId="207" priority="37" stopIfTrue="1" operator="lessThan">
      <formula>0</formula>
    </cfRule>
    <cfRule type="cellIs" dxfId="206" priority="38" stopIfTrue="1" operator="greaterThan">
      <formula>0</formula>
    </cfRule>
  </conditionalFormatting>
  <conditionalFormatting sqref="E8">
    <cfRule type="cellIs" dxfId="205" priority="35" stopIfTrue="1" operator="lessThan">
      <formula>0</formula>
    </cfRule>
    <cfRule type="cellIs" dxfId="204" priority="36" stopIfTrue="1" operator="greaterThan">
      <formula>0</formula>
    </cfRule>
  </conditionalFormatting>
  <conditionalFormatting sqref="E8">
    <cfRule type="cellIs" dxfId="203" priority="33" stopIfTrue="1" operator="lessThan">
      <formula>0</formula>
    </cfRule>
    <cfRule type="cellIs" dxfId="202" priority="34" stopIfTrue="1" operator="greaterThan">
      <formula>0</formula>
    </cfRule>
  </conditionalFormatting>
  <conditionalFormatting sqref="E12:E15 E18:E19 E21:E24">
    <cfRule type="cellIs" dxfId="201" priority="31" stopIfTrue="1" operator="lessThan">
      <formula>0</formula>
    </cfRule>
    <cfRule type="cellIs" dxfId="200" priority="32" stopIfTrue="1" operator="greaterThan">
      <formula>0</formula>
    </cfRule>
  </conditionalFormatting>
  <conditionalFormatting sqref="E12:E15 E18:E19 E21:E24">
    <cfRule type="cellIs" dxfId="199" priority="29" stopIfTrue="1" operator="lessThan">
      <formula>0</formula>
    </cfRule>
    <cfRule type="cellIs" dxfId="198" priority="30" stopIfTrue="1" operator="greaterThan">
      <formula>0</formula>
    </cfRule>
  </conditionalFormatting>
  <conditionalFormatting sqref="E16">
    <cfRule type="cellIs" dxfId="197" priority="27" stopIfTrue="1" operator="lessThan">
      <formula>0</formula>
    </cfRule>
    <cfRule type="cellIs" dxfId="196" priority="28" stopIfTrue="1" operator="greaterThan">
      <formula>0</formula>
    </cfRule>
  </conditionalFormatting>
  <conditionalFormatting sqref="E16">
    <cfRule type="cellIs" dxfId="195" priority="25" stopIfTrue="1" operator="lessThan">
      <formula>0</formula>
    </cfRule>
    <cfRule type="cellIs" dxfId="194" priority="26" stopIfTrue="1" operator="greaterThan">
      <formula>0</formula>
    </cfRule>
  </conditionalFormatting>
  <conditionalFormatting sqref="E16">
    <cfRule type="cellIs" dxfId="193" priority="23" stopIfTrue="1" operator="lessThan">
      <formula>0</formula>
    </cfRule>
    <cfRule type="cellIs" dxfId="192" priority="24" stopIfTrue="1" operator="greaterThan">
      <formula>0</formula>
    </cfRule>
  </conditionalFormatting>
  <conditionalFormatting sqref="E16">
    <cfRule type="cellIs" dxfId="191" priority="21" stopIfTrue="1" operator="lessThan">
      <formula>0</formula>
    </cfRule>
    <cfRule type="cellIs" dxfId="190" priority="22" stopIfTrue="1" operator="greaterThan">
      <formula>0</formula>
    </cfRule>
  </conditionalFormatting>
  <conditionalFormatting sqref="E17">
    <cfRule type="cellIs" dxfId="189" priority="19" stopIfTrue="1" operator="lessThan">
      <formula>0</formula>
    </cfRule>
    <cfRule type="cellIs" dxfId="188" priority="20" stopIfTrue="1" operator="greaterThan">
      <formula>0</formula>
    </cfRule>
  </conditionalFormatting>
  <conditionalFormatting sqref="E17">
    <cfRule type="cellIs" dxfId="187" priority="17" stopIfTrue="1" operator="lessThan">
      <formula>0</formula>
    </cfRule>
    <cfRule type="cellIs" dxfId="186" priority="18" stopIfTrue="1" operator="greaterThan">
      <formula>0</formula>
    </cfRule>
  </conditionalFormatting>
  <conditionalFormatting sqref="E17">
    <cfRule type="cellIs" dxfId="185" priority="15" stopIfTrue="1" operator="lessThan">
      <formula>0</formula>
    </cfRule>
    <cfRule type="cellIs" dxfId="184" priority="16" stopIfTrue="1" operator="greaterThan">
      <formula>0</formula>
    </cfRule>
  </conditionalFormatting>
  <conditionalFormatting sqref="E17">
    <cfRule type="cellIs" dxfId="183" priority="13" stopIfTrue="1" operator="lessThan">
      <formula>0</formula>
    </cfRule>
    <cfRule type="cellIs" dxfId="182" priority="14" stopIfTrue="1" operator="greaterThan">
      <formula>0</formula>
    </cfRule>
  </conditionalFormatting>
  <conditionalFormatting sqref="E20">
    <cfRule type="cellIs" dxfId="181" priority="11" stopIfTrue="1" operator="lessThan">
      <formula>0</formula>
    </cfRule>
    <cfRule type="cellIs" dxfId="180" priority="12" stopIfTrue="1" operator="greaterThan">
      <formula>0</formula>
    </cfRule>
  </conditionalFormatting>
  <conditionalFormatting sqref="E20">
    <cfRule type="cellIs" dxfId="179" priority="9" stopIfTrue="1" operator="lessThan">
      <formula>0</formula>
    </cfRule>
    <cfRule type="cellIs" dxfId="178" priority="10" stopIfTrue="1" operator="greaterThan">
      <formula>0</formula>
    </cfRule>
  </conditionalFormatting>
  <conditionalFormatting sqref="C4:D4">
    <cfRule type="cellIs" dxfId="177" priority="7" stopIfTrue="1" operator="lessThan">
      <formula>0</formula>
    </cfRule>
    <cfRule type="cellIs" dxfId="176" priority="8" stopIfTrue="1" operator="greaterThan">
      <formula>0</formula>
    </cfRule>
  </conditionalFormatting>
  <conditionalFormatting sqref="C4:D4">
    <cfRule type="cellIs" dxfId="175" priority="5" stopIfTrue="1" operator="lessThan">
      <formula>0</formula>
    </cfRule>
    <cfRule type="cellIs" dxfId="174" priority="6" stopIfTrue="1" operator="greaterThan">
      <formula>0</formula>
    </cfRule>
  </conditionalFormatting>
  <conditionalFormatting sqref="E4">
    <cfRule type="cellIs" dxfId="173" priority="3" stopIfTrue="1" operator="lessThan">
      <formula>0</formula>
    </cfRule>
    <cfRule type="cellIs" dxfId="172" priority="4" stopIfTrue="1" operator="greaterThan">
      <formula>0</formula>
    </cfRule>
  </conditionalFormatting>
  <conditionalFormatting sqref="E4">
    <cfRule type="cellIs" dxfId="171" priority="1" stopIfTrue="1" operator="lessThan">
      <formula>0</formula>
    </cfRule>
    <cfRule type="cellIs" dxfId="170" priority="2" stopIfTrue="1" operator="greaterThan">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R19"/>
  <sheetViews>
    <sheetView zoomScale="85" zoomScaleNormal="85" workbookViewId="0">
      <selection activeCell="G11" sqref="G11"/>
    </sheetView>
  </sheetViews>
  <sheetFormatPr defaultRowHeight="15"/>
  <cols>
    <col min="2" max="2" width="11.42578125" bestFit="1" customWidth="1"/>
    <col min="3" max="3" width="10.28515625" bestFit="1" customWidth="1"/>
    <col min="12" max="12" width="11.42578125" bestFit="1" customWidth="1"/>
  </cols>
  <sheetData>
    <row r="1" spans="2:18" ht="15.75" thickBot="1">
      <c r="B1" s="87"/>
      <c r="C1" s="92"/>
      <c r="D1" s="92"/>
      <c r="E1" s="92"/>
      <c r="F1" s="92"/>
      <c r="G1" s="92"/>
      <c r="H1" s="92"/>
      <c r="I1" s="92"/>
      <c r="J1" s="92"/>
    </row>
    <row r="2" spans="2:18">
      <c r="B2" s="95" t="s">
        <v>79</v>
      </c>
      <c r="C2" s="96" t="s">
        <v>80</v>
      </c>
      <c r="D2" s="96" t="s">
        <v>81</v>
      </c>
      <c r="E2" s="96" t="s">
        <v>82</v>
      </c>
      <c r="F2" s="96" t="s">
        <v>83</v>
      </c>
      <c r="G2" s="96" t="s">
        <v>84</v>
      </c>
      <c r="H2" s="96" t="s">
        <v>85</v>
      </c>
      <c r="I2" s="96" t="s">
        <v>86</v>
      </c>
      <c r="J2" s="97" t="s">
        <v>87</v>
      </c>
      <c r="L2" s="95" t="s">
        <v>79</v>
      </c>
      <c r="M2" s="96" t="s">
        <v>550</v>
      </c>
      <c r="N2" s="96" t="s">
        <v>551</v>
      </c>
      <c r="O2" s="96" t="s">
        <v>552</v>
      </c>
      <c r="P2" s="96" t="s">
        <v>553</v>
      </c>
      <c r="Q2" s="96" t="s">
        <v>554</v>
      </c>
      <c r="R2" s="97" t="s">
        <v>555</v>
      </c>
    </row>
    <row r="3" spans="2:18" ht="33" customHeight="1" thickBot="1">
      <c r="B3" s="100" t="s">
        <v>88</v>
      </c>
      <c r="C3" s="90">
        <f>C13</f>
        <v>17929.650000000001</v>
      </c>
      <c r="D3" s="101" t="str">
        <f t="shared" ref="D3:I4" si="0">TEXT(D13,"0.00")&amp;"  ("&amp;TEXT(D13/$C13-1,"0.00%")&amp;")"</f>
        <v>18023.46  (0.52%)</v>
      </c>
      <c r="E3" s="101" t="str">
        <f t="shared" si="0"/>
        <v>18117.28  (1.05%)</v>
      </c>
      <c r="F3" s="101" t="str">
        <f t="shared" si="0"/>
        <v>18280.46  (1.96%)</v>
      </c>
      <c r="G3" s="101" t="str">
        <f t="shared" si="0"/>
        <v>17766.46  (-0.91%)</v>
      </c>
      <c r="H3" s="101" t="str">
        <f t="shared" si="0"/>
        <v>17603.28  (-1.82%)</v>
      </c>
      <c r="I3" s="101" t="str">
        <f t="shared" si="0"/>
        <v>17509.46  (-2.34%)</v>
      </c>
      <c r="J3" s="102" t="str">
        <f>TEXT(J13,"0.00")</f>
        <v>0.90</v>
      </c>
      <c r="L3" s="100" t="s">
        <v>88</v>
      </c>
      <c r="M3" s="101" t="str">
        <f t="shared" ref="M3:R3" si="1">TEXT(M13,"0.00")&amp;"  ("&amp;TEXT(M13/$C13-1,"0.00%")&amp;")"</f>
        <v>17987.58  (0.32%)</v>
      </c>
      <c r="N3" s="101" t="str">
        <f>TEXT(N13,"0.00")&amp;"  ("&amp;TEXT(N13/$C13-1,"0.00%")&amp;")"</f>
        <v>18104.17  (0.97%)</v>
      </c>
      <c r="O3" s="101" t="str">
        <f>TEXT(O13,"0.00")&amp;"  ("&amp;TEXT(O13/$C13-1,"0.00%")&amp;")"</f>
        <v>18040.10  (0.62%)</v>
      </c>
      <c r="P3" s="101" t="str">
        <f t="shared" si="1"/>
        <v>17592.53  (-1.88%)</v>
      </c>
      <c r="Q3" s="101" t="str">
        <f t="shared" si="1"/>
        <v>16754.77  (-6.55%)</v>
      </c>
      <c r="R3" s="102" t="str">
        <f t="shared" si="1"/>
        <v>15790.99  (-11.93%)</v>
      </c>
    </row>
    <row r="4" spans="2:18" ht="33" customHeight="1" thickBot="1">
      <c r="B4" s="100" t="s">
        <v>89</v>
      </c>
      <c r="C4" s="90">
        <f>C14</f>
        <v>39763.75</v>
      </c>
      <c r="D4" s="101" t="str">
        <f t="shared" si="0"/>
        <v>40044.01  (0.70%)</v>
      </c>
      <c r="E4" s="101" t="str">
        <f t="shared" si="0"/>
        <v>40324.28  (1.41%)</v>
      </c>
      <c r="F4" s="101" t="str">
        <f t="shared" si="0"/>
        <v>40785.96  (2.57%)</v>
      </c>
      <c r="G4" s="101" t="str">
        <f t="shared" si="0"/>
        <v>39302.06  (-1.16%)</v>
      </c>
      <c r="H4" s="101" t="str">
        <f t="shared" si="0"/>
        <v>38840.38  (-2.32%)</v>
      </c>
      <c r="I4" s="101" t="str">
        <f t="shared" si="0"/>
        <v>38560.11  (-3.03%)</v>
      </c>
      <c r="J4" s="102" t="str">
        <f>TEXT(J14,"0.00")</f>
        <v>0.82</v>
      </c>
      <c r="L4" s="100" t="s">
        <v>89</v>
      </c>
      <c r="M4" s="101" t="str">
        <f t="shared" ref="M4:R4" si="2">TEXT(M14,"0.00")&amp;"  ("&amp;TEXT(M14/$C14-1,"0.00%")&amp;")"</f>
        <v>40100.19  (0.85%)</v>
      </c>
      <c r="N4" s="101" t="str">
        <f t="shared" si="2"/>
        <v>40110.59  (0.87%)</v>
      </c>
      <c r="O4" s="101" t="str">
        <f t="shared" si="2"/>
        <v>39197.67  (-1.42%)</v>
      </c>
      <c r="P4" s="101" t="str">
        <f t="shared" si="2"/>
        <v>37739.26  (-5.09%)</v>
      </c>
      <c r="Q4" s="101" t="str">
        <f t="shared" si="2"/>
        <v>36482.78  (-8.25%)</v>
      </c>
      <c r="R4" s="102" t="str">
        <f t="shared" si="2"/>
        <v>35174.15  (-11.54%)</v>
      </c>
    </row>
    <row r="5" spans="2:18" ht="15.75" thickBot="1">
      <c r="D5" s="8"/>
      <c r="E5" s="8"/>
      <c r="F5" s="8"/>
      <c r="G5" s="8"/>
      <c r="H5" s="8"/>
      <c r="I5" s="8"/>
      <c r="J5" s="8"/>
    </row>
    <row r="6" spans="2:18">
      <c r="B6" s="95" t="s">
        <v>79</v>
      </c>
      <c r="C6" s="96" t="s">
        <v>80</v>
      </c>
      <c r="D6" s="96" t="s">
        <v>81</v>
      </c>
      <c r="E6" s="96" t="s">
        <v>82</v>
      </c>
      <c r="F6" s="96" t="s">
        <v>83</v>
      </c>
      <c r="G6" s="96" t="s">
        <v>84</v>
      </c>
      <c r="H6" s="96" t="s">
        <v>85</v>
      </c>
      <c r="I6" s="96" t="s">
        <v>86</v>
      </c>
      <c r="J6" s="97" t="s">
        <v>87</v>
      </c>
      <c r="L6" s="95" t="s">
        <v>79</v>
      </c>
      <c r="M6" s="96" t="s">
        <v>550</v>
      </c>
      <c r="N6" s="96" t="s">
        <v>551</v>
      </c>
      <c r="O6" s="96" t="s">
        <v>552</v>
      </c>
      <c r="P6" s="96" t="s">
        <v>553</v>
      </c>
      <c r="Q6" s="96" t="s">
        <v>554</v>
      </c>
      <c r="R6" s="97" t="s">
        <v>555</v>
      </c>
    </row>
    <row r="7" spans="2:18">
      <c r="B7" s="99" t="s">
        <v>88</v>
      </c>
      <c r="C7" s="98">
        <f>C13/C17-1</f>
        <v>1.4599655380227672E-2</v>
      </c>
      <c r="D7" s="98">
        <f>D13/D17-1</f>
        <v>9.4936921556898479E-3</v>
      </c>
      <c r="E7" s="98">
        <f t="shared" ref="E7:J7" si="3">E13/E17-1</f>
        <v>4.4909482443165061E-3</v>
      </c>
      <c r="F7" s="98">
        <f t="shared" si="3"/>
        <v>6.815662088561103E-3</v>
      </c>
      <c r="G7" s="98">
        <f t="shared" si="3"/>
        <v>1.2264111705118985E-2</v>
      </c>
      <c r="H7" s="98">
        <f t="shared" si="3"/>
        <v>9.896286913150254E-3</v>
      </c>
      <c r="I7" s="98">
        <f t="shared" si="3"/>
        <v>1.513178567825757E-2</v>
      </c>
      <c r="J7" s="93">
        <f t="shared" si="3"/>
        <v>0.19999999999999996</v>
      </c>
      <c r="L7" s="99" t="s">
        <v>88</v>
      </c>
      <c r="M7" s="98">
        <f t="shared" ref="M7:R7" si="4">M13/M17-1</f>
        <v>-2.1717749142522447E-3</v>
      </c>
      <c r="N7" s="98">
        <f t="shared" si="4"/>
        <v>-3.0144981169024643E-3</v>
      </c>
      <c r="O7" s="98">
        <f t="shared" si="4"/>
        <v>1.10320517729523E-3</v>
      </c>
      <c r="P7" s="98">
        <f t="shared" si="4"/>
        <v>1.5496452951868633E-3</v>
      </c>
      <c r="Q7" s="98">
        <f t="shared" si="4"/>
        <v>1.308202772027256E-3</v>
      </c>
      <c r="R7" s="93">
        <f t="shared" si="4"/>
        <v>1.1354789299236057E-3</v>
      </c>
    </row>
    <row r="8" spans="2:18" ht="15.75" thickBot="1">
      <c r="B8" s="100" t="s">
        <v>89</v>
      </c>
      <c r="C8" s="101">
        <f>C14/C18-1</f>
        <v>1.6570115248136341E-2</v>
      </c>
      <c r="D8" s="101">
        <f t="shared" ref="D8:J8" si="5">D14/D18-1</f>
        <v>6.5099895664222363E-3</v>
      </c>
      <c r="E8" s="101">
        <f t="shared" si="5"/>
        <v>-3.2172001929084981E-3</v>
      </c>
      <c r="F8" s="101">
        <f t="shared" si="5"/>
        <v>-8.4517259729939287E-3</v>
      </c>
      <c r="G8" s="101">
        <f t="shared" si="5"/>
        <v>2.2521614271467927E-2</v>
      </c>
      <c r="H8" s="101">
        <f t="shared" si="5"/>
        <v>2.8687220964037641E-2</v>
      </c>
      <c r="I8" s="101">
        <f t="shared" si="5"/>
        <v>3.9697679641909289E-2</v>
      </c>
      <c r="J8" s="94">
        <f t="shared" si="5"/>
        <v>0.3666666666666667</v>
      </c>
      <c r="L8" s="100" t="s">
        <v>89</v>
      </c>
      <c r="M8" s="101">
        <f t="shared" ref="M8:R8" si="6">M14/M18-1</f>
        <v>-7.0749904917356554E-3</v>
      </c>
      <c r="N8" s="101">
        <f t="shared" si="6"/>
        <v>1.9674485757814608E-4</v>
      </c>
      <c r="O8" s="101">
        <f t="shared" si="6"/>
        <v>3.2479523695079227E-3</v>
      </c>
      <c r="P8" s="101">
        <f t="shared" si="6"/>
        <v>2.2358210992570182E-3</v>
      </c>
      <c r="Q8" s="101">
        <f t="shared" si="6"/>
        <v>1.284169855134909E-3</v>
      </c>
      <c r="R8" s="94">
        <f t="shared" si="6"/>
        <v>1.0929039511040628E-3</v>
      </c>
    </row>
    <row r="9" spans="2:18">
      <c r="D9" s="8"/>
      <c r="E9" s="8"/>
      <c r="F9" s="8"/>
      <c r="G9" s="8"/>
      <c r="H9" s="8"/>
      <c r="I9" s="8"/>
      <c r="J9" s="8"/>
    </row>
    <row r="11" spans="2:18" ht="15.75" thickBot="1"/>
    <row r="12" spans="2:18">
      <c r="B12" s="95" t="s">
        <v>79</v>
      </c>
      <c r="C12" s="96" t="s">
        <v>80</v>
      </c>
      <c r="D12" s="96" t="s">
        <v>81</v>
      </c>
      <c r="E12" s="96" t="s">
        <v>82</v>
      </c>
      <c r="F12" s="96" t="s">
        <v>83</v>
      </c>
      <c r="G12" s="96" t="s">
        <v>84</v>
      </c>
      <c r="H12" s="96" t="s">
        <v>85</v>
      </c>
      <c r="I12" s="96" t="s">
        <v>86</v>
      </c>
      <c r="J12" s="97" t="s">
        <v>87</v>
      </c>
      <c r="L12" s="95" t="s">
        <v>79</v>
      </c>
      <c r="M12" s="96" t="s">
        <v>550</v>
      </c>
      <c r="N12" s="96" t="s">
        <v>551</v>
      </c>
      <c r="O12" s="96" t="s">
        <v>552</v>
      </c>
      <c r="P12" s="96" t="s">
        <v>553</v>
      </c>
      <c r="Q12" s="96" t="s">
        <v>554</v>
      </c>
      <c r="R12" s="97" t="s">
        <v>555</v>
      </c>
    </row>
    <row r="13" spans="2:18">
      <c r="B13" s="85" t="s">
        <v>88</v>
      </c>
      <c r="C13" s="88">
        <v>17929.650000000001</v>
      </c>
      <c r="D13" s="88">
        <v>18023.46</v>
      </c>
      <c r="E13" s="88">
        <v>18117.28</v>
      </c>
      <c r="F13" s="88">
        <v>18280.46</v>
      </c>
      <c r="G13" s="88">
        <v>17766.46</v>
      </c>
      <c r="H13" s="88">
        <v>17603.28</v>
      </c>
      <c r="I13" s="88">
        <v>17509.46</v>
      </c>
      <c r="J13" s="89">
        <v>0.9</v>
      </c>
      <c r="L13" s="85" t="s">
        <v>502</v>
      </c>
      <c r="M13" s="129">
        <v>17987.580000000002</v>
      </c>
      <c r="N13" s="129">
        <v>18104.169999999998</v>
      </c>
      <c r="O13" s="129">
        <v>18040.099999999999</v>
      </c>
      <c r="P13" s="129">
        <v>17592.53</v>
      </c>
      <c r="Q13" s="129">
        <v>16754.77</v>
      </c>
      <c r="R13" s="130">
        <v>15790.99</v>
      </c>
    </row>
    <row r="14" spans="2:18" ht="15.75" thickBot="1">
      <c r="B14" s="86" t="s">
        <v>89</v>
      </c>
      <c r="C14" s="90">
        <v>39763.75</v>
      </c>
      <c r="D14" s="90">
        <v>40044.01</v>
      </c>
      <c r="E14" s="90">
        <v>40324.28</v>
      </c>
      <c r="F14" s="90">
        <v>40785.96</v>
      </c>
      <c r="G14" s="90">
        <v>39302.06</v>
      </c>
      <c r="H14" s="90">
        <v>38840.379999999997</v>
      </c>
      <c r="I14" s="90">
        <v>38560.11</v>
      </c>
      <c r="J14" s="91">
        <v>0.82</v>
      </c>
      <c r="L14" s="86" t="s">
        <v>506</v>
      </c>
      <c r="M14" s="131">
        <v>40100.19</v>
      </c>
      <c r="N14" s="131">
        <v>40110.589999999997</v>
      </c>
      <c r="O14" s="131">
        <v>39197.67</v>
      </c>
      <c r="P14" s="131">
        <v>37739.26</v>
      </c>
      <c r="Q14" s="131">
        <v>36482.78</v>
      </c>
      <c r="R14" s="132">
        <v>35174.15</v>
      </c>
    </row>
    <row r="16" spans="2:18">
      <c r="B16" t="s">
        <v>79</v>
      </c>
      <c r="C16" t="s">
        <v>80</v>
      </c>
      <c r="D16" t="s">
        <v>81</v>
      </c>
      <c r="E16" t="s">
        <v>82</v>
      </c>
      <c r="F16" t="s">
        <v>83</v>
      </c>
      <c r="G16" t="s">
        <v>84</v>
      </c>
      <c r="H16" t="s">
        <v>85</v>
      </c>
      <c r="I16" t="s">
        <v>86</v>
      </c>
      <c r="J16" t="s">
        <v>87</v>
      </c>
      <c r="L16" t="s">
        <v>79</v>
      </c>
      <c r="M16" t="s">
        <v>550</v>
      </c>
      <c r="N16" t="s">
        <v>551</v>
      </c>
      <c r="O16" t="s">
        <v>552</v>
      </c>
      <c r="P16" t="s">
        <v>553</v>
      </c>
      <c r="Q16" t="s">
        <v>554</v>
      </c>
      <c r="R16" t="s">
        <v>555</v>
      </c>
    </row>
    <row r="17" spans="2:18">
      <c r="B17" t="s">
        <v>88</v>
      </c>
      <c r="C17">
        <v>17671.650000000001</v>
      </c>
      <c r="D17">
        <v>17853.96</v>
      </c>
      <c r="E17">
        <v>18036.28</v>
      </c>
      <c r="F17">
        <v>18156.71</v>
      </c>
      <c r="G17">
        <v>17551.21</v>
      </c>
      <c r="H17">
        <v>17430.78</v>
      </c>
      <c r="I17">
        <v>17248.46</v>
      </c>
      <c r="J17">
        <v>0.75</v>
      </c>
      <c r="L17" t="s">
        <v>502</v>
      </c>
      <c r="M17" s="41">
        <v>18026.73</v>
      </c>
      <c r="N17" s="41">
        <v>18158.91</v>
      </c>
      <c r="O17" s="41">
        <v>18020.22</v>
      </c>
      <c r="P17" s="41">
        <v>17565.310000000001</v>
      </c>
      <c r="Q17" s="41">
        <v>16732.88</v>
      </c>
      <c r="R17" s="41">
        <v>15773.08</v>
      </c>
    </row>
    <row r="18" spans="2:18">
      <c r="B18" t="s">
        <v>89</v>
      </c>
      <c r="C18">
        <v>39115.599999999999</v>
      </c>
      <c r="D18">
        <v>39785.01</v>
      </c>
      <c r="E18">
        <v>40454.43</v>
      </c>
      <c r="F18">
        <v>41133.61</v>
      </c>
      <c r="G18">
        <v>38436.410000000003</v>
      </c>
      <c r="H18">
        <v>37757.230000000003</v>
      </c>
      <c r="I18">
        <v>37087.81</v>
      </c>
      <c r="J18">
        <v>0.6</v>
      </c>
      <c r="L18" t="s">
        <v>506</v>
      </c>
      <c r="M18" s="41">
        <v>40385.919999999998</v>
      </c>
      <c r="N18" s="41">
        <v>40102.699999999997</v>
      </c>
      <c r="O18" s="41">
        <v>39070.769999999997</v>
      </c>
      <c r="P18" s="41">
        <v>37655.07</v>
      </c>
      <c r="Q18" s="41">
        <v>36435.99</v>
      </c>
      <c r="R18" s="41">
        <v>35135.75</v>
      </c>
    </row>
    <row r="19" spans="2:18">
      <c r="M19" s="41"/>
      <c r="N19" s="41"/>
      <c r="O19" s="41"/>
      <c r="P19" s="41"/>
      <c r="Q19" s="41"/>
      <c r="R19" s="4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X32"/>
  <sheetViews>
    <sheetView zoomScale="84" zoomScaleNormal="84" workbookViewId="0">
      <selection activeCell="B13" sqref="B13"/>
    </sheetView>
  </sheetViews>
  <sheetFormatPr defaultRowHeight="15"/>
  <cols>
    <col min="2" max="2" width="35" bestFit="1" customWidth="1"/>
    <col min="3" max="3" width="18.85546875" bestFit="1" customWidth="1"/>
    <col min="4" max="4" width="18.85546875" customWidth="1"/>
    <col min="6" max="7" width="14.85546875" bestFit="1" customWidth="1"/>
    <col min="11" max="11" width="13.85546875" bestFit="1" customWidth="1"/>
    <col min="12" max="12" width="10.28515625" bestFit="1" customWidth="1"/>
    <col min="19" max="19" width="11.28515625" bestFit="1" customWidth="1"/>
    <col min="23" max="23" width="35" bestFit="1" customWidth="1"/>
    <col min="24" max="24" width="18.85546875" bestFit="1" customWidth="1"/>
  </cols>
  <sheetData>
    <row r="3" spans="2:24">
      <c r="B3" s="5" t="s">
        <v>57</v>
      </c>
      <c r="C3" s="57">
        <f>SUM(C5:C50)</f>
        <v>56746.76</v>
      </c>
      <c r="D3" s="82"/>
      <c r="F3" s="5" t="s">
        <v>55</v>
      </c>
      <c r="G3" s="5"/>
      <c r="H3" s="5"/>
      <c r="I3" s="5"/>
      <c r="J3" s="5"/>
      <c r="K3" s="5"/>
      <c r="L3" s="5"/>
      <c r="M3" s="5">
        <v>5.2999999999999998E-4</v>
      </c>
      <c r="N3" s="5">
        <v>0.18</v>
      </c>
      <c r="O3" s="5">
        <v>5.0000000000000001E-4</v>
      </c>
      <c r="P3" s="5">
        <f>10/10000000</f>
        <v>9.9999999999999995E-7</v>
      </c>
      <c r="Q3" s="5">
        <f>300/10000000</f>
        <v>3.0000000000000001E-5</v>
      </c>
      <c r="R3" s="5">
        <v>0</v>
      </c>
      <c r="S3" s="5"/>
      <c r="W3" s="5" t="s">
        <v>57</v>
      </c>
      <c r="X3" s="57">
        <f>SUM(X5:X50)</f>
        <v>194710.59152800002</v>
      </c>
    </row>
    <row r="4" spans="2:24" ht="30.75" customHeight="1">
      <c r="B4" s="1"/>
      <c r="C4" s="57">
        <f>+C3-C5</f>
        <v>-49257.24</v>
      </c>
      <c r="D4" s="82" t="s">
        <v>536</v>
      </c>
      <c r="F4" s="6" t="s">
        <v>19</v>
      </c>
      <c r="G4" s="6" t="s">
        <v>2</v>
      </c>
      <c r="H4" s="6" t="s">
        <v>1</v>
      </c>
      <c r="I4" s="6" t="s">
        <v>3</v>
      </c>
      <c r="J4" s="6" t="s">
        <v>23</v>
      </c>
      <c r="K4" s="6" t="s">
        <v>4</v>
      </c>
      <c r="L4" s="6" t="s">
        <v>5</v>
      </c>
      <c r="M4" s="6" t="s">
        <v>14</v>
      </c>
      <c r="N4" s="6" t="s">
        <v>9</v>
      </c>
      <c r="O4" s="6" t="s">
        <v>10</v>
      </c>
      <c r="P4" s="6" t="s">
        <v>11</v>
      </c>
      <c r="Q4" s="6" t="s">
        <v>12</v>
      </c>
      <c r="R4" s="6" t="s">
        <v>15</v>
      </c>
      <c r="S4" s="6"/>
      <c r="W4" s="1"/>
      <c r="X4" s="57">
        <f>+X3-X5</f>
        <v>106004.25152800002</v>
      </c>
    </row>
    <row r="5" spans="2:24">
      <c r="B5" s="1" t="s">
        <v>56</v>
      </c>
      <c r="C5" s="2">
        <v>106004</v>
      </c>
      <c r="D5" s="83"/>
      <c r="F5" s="2"/>
      <c r="G5" s="2">
        <f>SUM(K5:R5)</f>
        <v>3106.9999999999964</v>
      </c>
      <c r="H5" s="2"/>
      <c r="I5" s="2"/>
      <c r="J5" s="2"/>
      <c r="K5" s="2">
        <f>SUM(K6:K21)</f>
        <v>3357.9999999999964</v>
      </c>
      <c r="L5" s="2">
        <f t="shared" ref="L5:Q5" si="0">ROUND(SUM(L6:L21),0)</f>
        <v>-160</v>
      </c>
      <c r="M5" s="2">
        <f t="shared" si="0"/>
        <v>-59</v>
      </c>
      <c r="N5" s="2">
        <f t="shared" si="0"/>
        <v>0</v>
      </c>
      <c r="O5" s="2">
        <f t="shared" si="0"/>
        <v>-29</v>
      </c>
      <c r="P5" s="2">
        <f t="shared" si="0"/>
        <v>0</v>
      </c>
      <c r="Q5" s="2">
        <f t="shared" si="0"/>
        <v>-3</v>
      </c>
      <c r="R5" s="2">
        <f>R3</f>
        <v>0</v>
      </c>
      <c r="S5" s="2"/>
      <c r="W5" s="1" t="s">
        <v>56</v>
      </c>
      <c r="X5" s="2">
        <v>88706.34</v>
      </c>
    </row>
    <row r="6" spans="2:24">
      <c r="B6" s="84">
        <v>44470</v>
      </c>
      <c r="C6" s="2">
        <v>-11240</v>
      </c>
      <c r="D6" s="83"/>
      <c r="F6" s="9">
        <v>44434</v>
      </c>
      <c r="G6" s="4" t="s">
        <v>48</v>
      </c>
      <c r="H6" s="3" t="s">
        <v>6</v>
      </c>
      <c r="I6" s="2">
        <v>100</v>
      </c>
      <c r="J6" s="2">
        <v>28.05</v>
      </c>
      <c r="K6" s="2">
        <f>IF(H6="B",-1,1)*I6*J6</f>
        <v>-2805</v>
      </c>
      <c r="L6" s="2">
        <v>-20</v>
      </c>
      <c r="M6" s="2">
        <f>-ABS(K6)*$M$3</f>
        <v>-1.48665</v>
      </c>
      <c r="N6" s="2">
        <f>$N$2*(L6+M6)</f>
        <v>0</v>
      </c>
      <c r="O6" s="2">
        <f>-IF($H6="S",1,0)*ABS(K6)*$O$3</f>
        <v>0</v>
      </c>
      <c r="P6" s="2">
        <f>-$P$3*ABS(K6)</f>
        <v>-2.8049999999999998E-3</v>
      </c>
      <c r="Q6" s="2">
        <f>-$Q$3*ABS(K6)</f>
        <v>-8.4150000000000003E-2</v>
      </c>
      <c r="R6" s="2">
        <f>R5</f>
        <v>0</v>
      </c>
      <c r="S6" s="2">
        <f>SUM(K6:R6)</f>
        <v>-2826.573605</v>
      </c>
      <c r="W6" s="84">
        <v>44434</v>
      </c>
      <c r="X6" s="2">
        <v>3107</v>
      </c>
    </row>
    <row r="7" spans="2:24">
      <c r="B7" s="84">
        <f>WORKDAY(B6,1)</f>
        <v>44473</v>
      </c>
      <c r="C7" s="2">
        <v>-44160</v>
      </c>
      <c r="D7" s="83"/>
      <c r="F7" s="9">
        <v>44434</v>
      </c>
      <c r="G7" s="4" t="s">
        <v>48</v>
      </c>
      <c r="H7" s="3" t="s">
        <v>8</v>
      </c>
      <c r="I7" s="2">
        <v>100</v>
      </c>
      <c r="J7" s="2">
        <v>35</v>
      </c>
      <c r="K7" s="2">
        <f>IF(H7="B",-1,1)*I7*J7</f>
        <v>3500</v>
      </c>
      <c r="L7" s="2">
        <v>-20</v>
      </c>
      <c r="M7" s="2">
        <f>-ABS(K7)*$M$3</f>
        <v>-1.855</v>
      </c>
      <c r="N7" s="2">
        <f>$N$2*(L7+M7)</f>
        <v>0</v>
      </c>
      <c r="O7" s="2">
        <f>-IF($H7="S",1,0)*ABS(K7)*$O$3</f>
        <v>-1.75</v>
      </c>
      <c r="P7" s="2">
        <f>-$P$3*ABS(K7)</f>
        <v>-3.4999999999999996E-3</v>
      </c>
      <c r="Q7" s="2">
        <f>-$Q$3*ABS(K7)</f>
        <v>-0.105</v>
      </c>
      <c r="R7" s="2">
        <f t="shared" ref="R7:R13" si="1">R5</f>
        <v>0</v>
      </c>
      <c r="S7" s="2">
        <f>SUM(K7:R7)</f>
        <v>3476.2865000000002</v>
      </c>
      <c r="W7" s="84">
        <v>44435</v>
      </c>
      <c r="X7" s="2">
        <v>-1870</v>
      </c>
    </row>
    <row r="8" spans="2:24">
      <c r="B8" s="84">
        <f t="shared" ref="B8:B26" si="2">WORKDAY(B7,1)</f>
        <v>44474</v>
      </c>
      <c r="C8" s="2">
        <v>6142.76</v>
      </c>
      <c r="D8" s="83"/>
      <c r="F8" s="9">
        <v>44434</v>
      </c>
      <c r="G8" s="4" t="s">
        <v>54</v>
      </c>
      <c r="H8" s="3" t="s">
        <v>6</v>
      </c>
      <c r="I8" s="2">
        <v>100</v>
      </c>
      <c r="J8" s="2">
        <v>125</v>
      </c>
      <c r="K8" s="2">
        <f t="shared" ref="K8:K13" si="3">IF(H8="B",-1,1)*I8*J8</f>
        <v>-12500</v>
      </c>
      <c r="L8" s="2">
        <v>-20</v>
      </c>
      <c r="M8" s="2">
        <f t="shared" ref="M8:M13" si="4">-ABS(K8)*$M$3</f>
        <v>-6.625</v>
      </c>
      <c r="N8" s="2">
        <f t="shared" ref="N8:N13" si="5">$N$2*(L8+M8)</f>
        <v>0</v>
      </c>
      <c r="O8" s="2">
        <f t="shared" ref="O8:O13" si="6">-IF($H8="S",1,0)*ABS(K8)*$O$3</f>
        <v>0</v>
      </c>
      <c r="P8" s="2">
        <f t="shared" ref="P8:P13" si="7">-$P$3*ABS(K8)</f>
        <v>-1.2499999999999999E-2</v>
      </c>
      <c r="Q8" s="2">
        <f t="shared" ref="Q8:Q13" si="8">-$Q$3*ABS(K8)</f>
        <v>-0.375</v>
      </c>
      <c r="R8" s="2">
        <f t="shared" si="1"/>
        <v>0</v>
      </c>
      <c r="S8" s="2">
        <f t="shared" ref="S8:S13" si="9">SUM(K8:R8)</f>
        <v>-12527.012500000001</v>
      </c>
      <c r="W8" s="84">
        <v>44438</v>
      </c>
      <c r="X8" s="2">
        <v>4550</v>
      </c>
    </row>
    <row r="9" spans="2:24">
      <c r="B9" s="84">
        <f t="shared" si="2"/>
        <v>44475</v>
      </c>
      <c r="C9" s="2"/>
      <c r="D9" s="83"/>
      <c r="F9" s="9">
        <v>44434</v>
      </c>
      <c r="G9" s="4" t="s">
        <v>54</v>
      </c>
      <c r="H9" s="3" t="s">
        <v>8</v>
      </c>
      <c r="I9" s="2">
        <v>100</v>
      </c>
      <c r="J9" s="2">
        <v>135.97999999999999</v>
      </c>
      <c r="K9" s="2">
        <f t="shared" si="3"/>
        <v>13597.999999999998</v>
      </c>
      <c r="L9" s="2">
        <v>-20</v>
      </c>
      <c r="M9" s="2">
        <f t="shared" si="4"/>
        <v>-7.2069399999999986</v>
      </c>
      <c r="N9" s="2">
        <f t="shared" si="5"/>
        <v>0</v>
      </c>
      <c r="O9" s="2">
        <f t="shared" si="6"/>
        <v>-6.7989999999999995</v>
      </c>
      <c r="P9" s="2">
        <f t="shared" si="7"/>
        <v>-1.3597999999999997E-2</v>
      </c>
      <c r="Q9" s="2">
        <f t="shared" si="8"/>
        <v>-0.40793999999999997</v>
      </c>
      <c r="R9" s="2">
        <f t="shared" si="1"/>
        <v>0</v>
      </c>
      <c r="S9" s="2">
        <f t="shared" si="9"/>
        <v>13563.572521999999</v>
      </c>
      <c r="W9" s="84">
        <v>44439</v>
      </c>
      <c r="X9" s="2">
        <v>13983</v>
      </c>
    </row>
    <row r="10" spans="2:24">
      <c r="B10" s="84">
        <f t="shared" si="2"/>
        <v>44476</v>
      </c>
      <c r="C10" s="2"/>
      <c r="D10" s="83"/>
      <c r="F10" s="9">
        <v>44434</v>
      </c>
      <c r="G10" s="4" t="s">
        <v>54</v>
      </c>
      <c r="H10" s="3" t="s">
        <v>6</v>
      </c>
      <c r="I10" s="2">
        <v>100</v>
      </c>
      <c r="J10" s="2">
        <v>155</v>
      </c>
      <c r="K10" s="2">
        <f t="shared" si="3"/>
        <v>-15500</v>
      </c>
      <c r="L10" s="2">
        <v>-20</v>
      </c>
      <c r="M10" s="2">
        <f t="shared" si="4"/>
        <v>-8.2149999999999999</v>
      </c>
      <c r="N10" s="2">
        <f t="shared" si="5"/>
        <v>0</v>
      </c>
      <c r="O10" s="2">
        <f t="shared" si="6"/>
        <v>0</v>
      </c>
      <c r="P10" s="2">
        <f t="shared" si="7"/>
        <v>-1.55E-2</v>
      </c>
      <c r="Q10" s="2">
        <f t="shared" si="8"/>
        <v>-0.46500000000000002</v>
      </c>
      <c r="R10" s="2">
        <f t="shared" si="1"/>
        <v>0</v>
      </c>
      <c r="S10" s="2">
        <f t="shared" si="9"/>
        <v>-15528.6955</v>
      </c>
      <c r="W10" s="84">
        <v>44440</v>
      </c>
      <c r="X10" s="2">
        <v>37366.519999999997</v>
      </c>
    </row>
    <row r="11" spans="2:24">
      <c r="B11" s="84">
        <f t="shared" si="2"/>
        <v>44477</v>
      </c>
      <c r="C11" s="2"/>
      <c r="D11" s="83"/>
      <c r="F11" s="9">
        <v>44434</v>
      </c>
      <c r="G11" s="4" t="s">
        <v>54</v>
      </c>
      <c r="H11" s="3" t="s">
        <v>8</v>
      </c>
      <c r="I11" s="2">
        <v>100</v>
      </c>
      <c r="J11" s="2">
        <v>147.25</v>
      </c>
      <c r="K11" s="2">
        <f t="shared" si="3"/>
        <v>14725</v>
      </c>
      <c r="L11" s="2">
        <v>-20</v>
      </c>
      <c r="M11" s="2">
        <f t="shared" si="4"/>
        <v>-7.8042499999999997</v>
      </c>
      <c r="N11" s="2">
        <f t="shared" si="5"/>
        <v>0</v>
      </c>
      <c r="O11" s="2">
        <f t="shared" si="6"/>
        <v>-7.3624999999999998</v>
      </c>
      <c r="P11" s="2">
        <f t="shared" si="7"/>
        <v>-1.4724999999999999E-2</v>
      </c>
      <c r="Q11" s="2">
        <f t="shared" si="8"/>
        <v>-0.44175000000000003</v>
      </c>
      <c r="R11" s="2">
        <f t="shared" si="1"/>
        <v>0</v>
      </c>
      <c r="S11" s="2">
        <f t="shared" si="9"/>
        <v>14689.376775000001</v>
      </c>
      <c r="W11" s="84">
        <v>44441</v>
      </c>
      <c r="X11" s="2">
        <v>8750.5815280000261</v>
      </c>
    </row>
    <row r="12" spans="2:24">
      <c r="B12" s="84">
        <f t="shared" si="2"/>
        <v>44480</v>
      </c>
      <c r="C12" s="2"/>
      <c r="D12" s="83"/>
      <c r="F12" s="9">
        <v>44434</v>
      </c>
      <c r="G12" s="4" t="s">
        <v>54</v>
      </c>
      <c r="H12" s="3" t="s">
        <v>6</v>
      </c>
      <c r="I12" s="2">
        <v>200</v>
      </c>
      <c r="J12" s="2">
        <v>117</v>
      </c>
      <c r="K12" s="2">
        <f t="shared" si="3"/>
        <v>-23400</v>
      </c>
      <c r="L12" s="2">
        <v>-20</v>
      </c>
      <c r="M12" s="2">
        <f t="shared" si="4"/>
        <v>-12.401999999999999</v>
      </c>
      <c r="N12" s="2">
        <f t="shared" si="5"/>
        <v>0</v>
      </c>
      <c r="O12" s="2">
        <f t="shared" si="6"/>
        <v>0</v>
      </c>
      <c r="P12" s="2">
        <f t="shared" si="7"/>
        <v>-2.3400000000000001E-2</v>
      </c>
      <c r="Q12" s="2">
        <f t="shared" si="8"/>
        <v>-0.70200000000000007</v>
      </c>
      <c r="R12" s="2">
        <f t="shared" si="1"/>
        <v>0</v>
      </c>
      <c r="S12" s="2">
        <f t="shared" si="9"/>
        <v>-23433.127399999998</v>
      </c>
      <c r="W12" s="84">
        <v>44442</v>
      </c>
      <c r="X12" s="2">
        <v>-9347</v>
      </c>
    </row>
    <row r="13" spans="2:24">
      <c r="B13" s="84">
        <f t="shared" si="2"/>
        <v>44481</v>
      </c>
      <c r="C13" s="2"/>
      <c r="D13" s="83"/>
      <c r="F13" s="9">
        <v>44434</v>
      </c>
      <c r="G13" s="4" t="s">
        <v>54</v>
      </c>
      <c r="H13" s="3" t="s">
        <v>8</v>
      </c>
      <c r="I13" s="2">
        <v>200</v>
      </c>
      <c r="J13" s="2">
        <v>128.69999999999999</v>
      </c>
      <c r="K13" s="2">
        <f t="shared" si="3"/>
        <v>25739.999999999996</v>
      </c>
      <c r="L13" s="2">
        <v>-20</v>
      </c>
      <c r="M13" s="2">
        <f t="shared" si="4"/>
        <v>-13.642199999999997</v>
      </c>
      <c r="N13" s="2">
        <f t="shared" si="5"/>
        <v>0</v>
      </c>
      <c r="O13" s="2">
        <f t="shared" si="6"/>
        <v>-12.87</v>
      </c>
      <c r="P13" s="2">
        <f t="shared" si="7"/>
        <v>-2.5739999999999996E-2</v>
      </c>
      <c r="Q13" s="2">
        <f t="shared" si="8"/>
        <v>-0.77219999999999989</v>
      </c>
      <c r="R13" s="2">
        <f t="shared" si="1"/>
        <v>0</v>
      </c>
      <c r="S13" s="2">
        <f t="shared" si="9"/>
        <v>25692.689859999999</v>
      </c>
      <c r="W13" s="84">
        <v>44445</v>
      </c>
      <c r="X13" s="2">
        <v>-6400</v>
      </c>
    </row>
    <row r="14" spans="2:24">
      <c r="B14" s="84">
        <f t="shared" si="2"/>
        <v>44482</v>
      </c>
      <c r="C14" s="2"/>
      <c r="D14" s="83"/>
      <c r="F14" s="4"/>
      <c r="G14" s="4"/>
      <c r="H14" s="3"/>
      <c r="I14" s="2"/>
      <c r="J14" s="2"/>
      <c r="K14" s="2"/>
      <c r="L14" s="2"/>
      <c r="M14" s="2"/>
      <c r="N14" s="2"/>
      <c r="O14" s="2"/>
      <c r="P14" s="2"/>
      <c r="Q14" s="2"/>
      <c r="R14" s="2"/>
      <c r="S14" s="2"/>
      <c r="W14" s="84">
        <v>44446</v>
      </c>
      <c r="X14" s="2">
        <v>9256.74</v>
      </c>
    </row>
    <row r="15" spans="2:24">
      <c r="B15" s="84">
        <f t="shared" si="2"/>
        <v>44483</v>
      </c>
      <c r="C15" s="2"/>
      <c r="D15" s="83"/>
      <c r="F15" s="4"/>
      <c r="G15" s="4"/>
      <c r="H15" s="3"/>
      <c r="I15" s="2"/>
      <c r="J15" s="2"/>
      <c r="K15" s="2"/>
      <c r="L15" s="2"/>
      <c r="M15" s="2"/>
      <c r="N15" s="2"/>
      <c r="O15" s="2"/>
      <c r="P15" s="2"/>
      <c r="Q15" s="2"/>
      <c r="R15" s="2"/>
      <c r="S15" s="2"/>
      <c r="W15" s="84">
        <v>44448</v>
      </c>
      <c r="X15" s="2">
        <v>2541.41</v>
      </c>
    </row>
    <row r="16" spans="2:24">
      <c r="B16" s="84">
        <f t="shared" si="2"/>
        <v>44484</v>
      </c>
      <c r="C16" s="2"/>
      <c r="D16" s="83"/>
      <c r="F16" s="4"/>
      <c r="G16" s="4"/>
      <c r="H16" s="3"/>
      <c r="I16" s="2"/>
      <c r="J16" s="2"/>
      <c r="K16" s="2"/>
      <c r="L16" s="2"/>
      <c r="M16" s="2"/>
      <c r="N16" s="2"/>
      <c r="O16" s="2"/>
      <c r="P16" s="2"/>
      <c r="Q16" s="2"/>
      <c r="R16" s="2"/>
      <c r="S16" s="2"/>
      <c r="W16" s="84">
        <v>44452</v>
      </c>
      <c r="X16" s="2">
        <v>5086</v>
      </c>
    </row>
    <row r="17" spans="2:24">
      <c r="B17" s="84">
        <f t="shared" si="2"/>
        <v>44487</v>
      </c>
      <c r="C17" s="2"/>
      <c r="D17" s="83"/>
      <c r="F17" s="4"/>
      <c r="G17" s="4"/>
      <c r="H17" s="3"/>
      <c r="I17" s="2"/>
      <c r="J17" s="2"/>
      <c r="K17" s="2"/>
      <c r="L17" s="2"/>
      <c r="M17" s="2"/>
      <c r="N17" s="2"/>
      <c r="O17" s="2"/>
      <c r="P17" s="2"/>
      <c r="Q17" s="2"/>
      <c r="R17" s="2"/>
      <c r="S17" s="2"/>
      <c r="W17" s="84">
        <v>44454</v>
      </c>
      <c r="X17" s="2">
        <v>-3621</v>
      </c>
    </row>
    <row r="18" spans="2:24">
      <c r="B18" s="84">
        <f t="shared" si="2"/>
        <v>44488</v>
      </c>
      <c r="C18" s="2"/>
      <c r="D18" s="83"/>
      <c r="F18" s="4"/>
      <c r="G18" s="4"/>
      <c r="H18" s="3"/>
      <c r="I18" s="2"/>
      <c r="J18" s="2"/>
      <c r="K18" s="2"/>
      <c r="L18" s="2"/>
      <c r="M18" s="2"/>
      <c r="N18" s="2"/>
      <c r="O18" s="2"/>
      <c r="P18" s="2"/>
      <c r="Q18" s="2"/>
      <c r="R18" s="2"/>
      <c r="S18" s="2"/>
      <c r="W18" s="84">
        <v>44455</v>
      </c>
      <c r="X18" s="2">
        <v>5290</v>
      </c>
    </row>
    <row r="19" spans="2:24">
      <c r="B19" s="84">
        <f t="shared" si="2"/>
        <v>44489</v>
      </c>
      <c r="C19" s="2"/>
      <c r="D19" s="83"/>
      <c r="F19" s="4"/>
      <c r="G19" s="4"/>
      <c r="H19" s="3"/>
      <c r="I19" s="2"/>
      <c r="J19" s="2"/>
      <c r="K19" s="2"/>
      <c r="L19" s="2"/>
      <c r="M19" s="2"/>
      <c r="N19" s="2"/>
      <c r="O19" s="2"/>
      <c r="P19" s="2"/>
      <c r="Q19" s="2"/>
      <c r="R19" s="2"/>
      <c r="S19" s="2"/>
      <c r="W19" s="84">
        <v>44456</v>
      </c>
      <c r="X19" s="2">
        <v>28524</v>
      </c>
    </row>
    <row r="20" spans="2:24">
      <c r="B20" s="84">
        <f t="shared" si="2"/>
        <v>44490</v>
      </c>
      <c r="C20" s="2"/>
      <c r="D20" s="83"/>
      <c r="F20" s="4"/>
      <c r="G20" s="4"/>
      <c r="H20" s="3"/>
      <c r="I20" s="2"/>
      <c r="J20" s="2"/>
      <c r="K20" s="2"/>
      <c r="L20" s="2"/>
      <c r="M20" s="2"/>
      <c r="N20" s="2"/>
      <c r="O20" s="2"/>
      <c r="P20" s="2"/>
      <c r="Q20" s="2"/>
      <c r="R20" s="2"/>
      <c r="S20" s="2"/>
      <c r="W20" s="84">
        <v>44459</v>
      </c>
      <c r="X20" s="2">
        <v>-10168</v>
      </c>
    </row>
    <row r="21" spans="2:24">
      <c r="B21" s="84">
        <f t="shared" si="2"/>
        <v>44491</v>
      </c>
      <c r="C21" s="2"/>
      <c r="D21" s="83"/>
      <c r="F21" s="4" t="s">
        <v>13</v>
      </c>
      <c r="G21" s="4" t="s">
        <v>13</v>
      </c>
      <c r="H21" s="3"/>
      <c r="I21" s="2"/>
      <c r="J21" s="2"/>
      <c r="K21" s="2"/>
      <c r="L21" s="2"/>
      <c r="M21" s="2"/>
      <c r="N21" s="2"/>
      <c r="O21" s="2"/>
      <c r="P21" s="2"/>
      <c r="Q21" s="2"/>
      <c r="R21" s="2"/>
      <c r="S21" s="2"/>
      <c r="W21" s="84">
        <v>44461</v>
      </c>
      <c r="X21" s="2">
        <v>2203</v>
      </c>
    </row>
    <row r="22" spans="2:24">
      <c r="B22" s="84">
        <f t="shared" si="2"/>
        <v>44494</v>
      </c>
      <c r="C22" s="2"/>
      <c r="D22" s="83"/>
      <c r="W22" s="84">
        <v>44462</v>
      </c>
      <c r="X22" s="2">
        <v>12191</v>
      </c>
    </row>
    <row r="23" spans="2:24">
      <c r="B23" s="84">
        <f t="shared" si="2"/>
        <v>44495</v>
      </c>
      <c r="C23" s="2"/>
      <c r="D23" s="83"/>
      <c r="W23" s="84">
        <v>44463</v>
      </c>
      <c r="X23" s="2">
        <v>7616</v>
      </c>
    </row>
    <row r="24" spans="2:24">
      <c r="B24" s="84">
        <f t="shared" si="2"/>
        <v>44496</v>
      </c>
      <c r="C24" s="2"/>
      <c r="D24" s="83"/>
      <c r="W24" s="84">
        <v>44466</v>
      </c>
      <c r="X24" s="2">
        <v>-10251</v>
      </c>
    </row>
    <row r="25" spans="2:24">
      <c r="B25" s="84">
        <f t="shared" si="2"/>
        <v>44497</v>
      </c>
      <c r="C25" s="2"/>
      <c r="D25" s="83"/>
      <c r="W25" s="84">
        <v>44467</v>
      </c>
      <c r="X25" s="2">
        <v>1412</v>
      </c>
    </row>
    <row r="26" spans="2:24">
      <c r="B26" s="84">
        <f t="shared" si="2"/>
        <v>44498</v>
      </c>
      <c r="C26" s="2"/>
      <c r="W26" s="84">
        <v>44468</v>
      </c>
      <c r="X26" s="2">
        <v>5784</v>
      </c>
    </row>
    <row r="27" spans="2:24">
      <c r="B27" s="84"/>
      <c r="C27" s="2"/>
    </row>
    <row r="28" spans="2:24">
      <c r="B28" s="84"/>
      <c r="C28" s="2"/>
    </row>
    <row r="29" spans="2:24">
      <c r="B29" s="84"/>
      <c r="C29" s="2"/>
    </row>
    <row r="30" spans="2:24">
      <c r="B30" s="84"/>
      <c r="C30" s="2"/>
    </row>
    <row r="31" spans="2:24">
      <c r="B31" s="84"/>
      <c r="C31" s="2"/>
    </row>
    <row r="32" spans="2:24">
      <c r="B32" s="84"/>
      <c r="C32" s="2"/>
    </row>
  </sheetData>
  <conditionalFormatting sqref="C3:D6 G5:R5 I6:R6 I14:R21 R5:R6">
    <cfRule type="cellIs" dxfId="169" priority="105" stopIfTrue="1" operator="lessThan">
      <formula>0</formula>
    </cfRule>
    <cfRule type="cellIs" dxfId="168" priority="106" stopIfTrue="1" operator="greaterThan">
      <formula>0</formula>
    </cfRule>
  </conditionalFormatting>
  <conditionalFormatting sqref="C3:D6">
    <cfRule type="cellIs" dxfId="167" priority="103" stopIfTrue="1" operator="lessThan">
      <formula>0</formula>
    </cfRule>
    <cfRule type="cellIs" dxfId="166" priority="104" stopIfTrue="1" operator="greaterThan">
      <formula>0</formula>
    </cfRule>
  </conditionalFormatting>
  <conditionalFormatting sqref="C7:D10 C12:D14 C16:D18 C21:D21 D19:D20">
    <cfRule type="cellIs" dxfId="165" priority="101" stopIfTrue="1" operator="lessThan">
      <formula>0</formula>
    </cfRule>
    <cfRule type="cellIs" dxfId="164" priority="102" stopIfTrue="1" operator="greaterThan">
      <formula>0</formula>
    </cfRule>
  </conditionalFormatting>
  <conditionalFormatting sqref="C7:D10 C12:D14 C16:D18 C21:D21 D19:D20">
    <cfRule type="cellIs" dxfId="163" priority="99" stopIfTrue="1" operator="lessThan">
      <formula>0</formula>
    </cfRule>
    <cfRule type="cellIs" dxfId="162" priority="100" stopIfTrue="1" operator="greaterThan">
      <formula>0</formula>
    </cfRule>
  </conditionalFormatting>
  <conditionalFormatting sqref="F5">
    <cfRule type="cellIs" dxfId="161" priority="85" stopIfTrue="1" operator="lessThan">
      <formula>0</formula>
    </cfRule>
    <cfRule type="cellIs" dxfId="160" priority="86" stopIfTrue="1" operator="greaterThan">
      <formula>0</formula>
    </cfRule>
  </conditionalFormatting>
  <conditionalFormatting sqref="F5">
    <cfRule type="cellIs" dxfId="159" priority="83" stopIfTrue="1" operator="lessThan">
      <formula>0</formula>
    </cfRule>
    <cfRule type="cellIs" dxfId="158" priority="84" stopIfTrue="1" operator="greaterThan">
      <formula>0</formula>
    </cfRule>
  </conditionalFormatting>
  <conditionalFormatting sqref="S5:S6 S14:S21">
    <cfRule type="cellIs" dxfId="157" priority="81" stopIfTrue="1" operator="lessThan">
      <formula>0</formula>
    </cfRule>
    <cfRule type="cellIs" dxfId="156" priority="82" stopIfTrue="1" operator="greaterThan">
      <formula>0</formula>
    </cfRule>
  </conditionalFormatting>
  <conditionalFormatting sqref="I7:R7">
    <cfRule type="cellIs" dxfId="155" priority="75" stopIfTrue="1" operator="lessThan">
      <formula>0</formula>
    </cfRule>
    <cfRule type="cellIs" dxfId="154" priority="76" stopIfTrue="1" operator="greaterThan">
      <formula>0</formula>
    </cfRule>
  </conditionalFormatting>
  <conditionalFormatting sqref="S7">
    <cfRule type="cellIs" dxfId="153" priority="73" stopIfTrue="1" operator="lessThan">
      <formula>0</formula>
    </cfRule>
    <cfRule type="cellIs" dxfId="152" priority="74" stopIfTrue="1" operator="greaterThan">
      <formula>0</formula>
    </cfRule>
  </conditionalFormatting>
  <conditionalFormatting sqref="I8:R13">
    <cfRule type="cellIs" dxfId="151" priority="71" stopIfTrue="1" operator="lessThan">
      <formula>0</formula>
    </cfRule>
    <cfRule type="cellIs" dxfId="150" priority="72" stopIfTrue="1" operator="greaterThan">
      <formula>0</formula>
    </cfRule>
  </conditionalFormatting>
  <conditionalFormatting sqref="S8:S13">
    <cfRule type="cellIs" dxfId="149" priority="69" stopIfTrue="1" operator="lessThan">
      <formula>0</formula>
    </cfRule>
    <cfRule type="cellIs" dxfId="148" priority="70" stopIfTrue="1" operator="greaterThan">
      <formula>0</formula>
    </cfRule>
  </conditionalFormatting>
  <conditionalFormatting sqref="C11:D11">
    <cfRule type="cellIs" dxfId="147" priority="67" stopIfTrue="1" operator="lessThan">
      <formula>0</formula>
    </cfRule>
    <cfRule type="cellIs" dxfId="146" priority="68" stopIfTrue="1" operator="greaterThan">
      <formula>0</formula>
    </cfRule>
  </conditionalFormatting>
  <conditionalFormatting sqref="C11:D11">
    <cfRule type="cellIs" dxfId="145" priority="65" stopIfTrue="1" operator="lessThan">
      <formula>0</formula>
    </cfRule>
    <cfRule type="cellIs" dxfId="144" priority="66" stopIfTrue="1" operator="greaterThan">
      <formula>0</formula>
    </cfRule>
  </conditionalFormatting>
  <conditionalFormatting sqref="C15:D18 C21:D22 D19:D20 C24:D25 D23 C25:C32">
    <cfRule type="cellIs" dxfId="143" priority="63" stopIfTrue="1" operator="lessThan">
      <formula>0</formula>
    </cfRule>
    <cfRule type="cellIs" dxfId="142" priority="64" stopIfTrue="1" operator="greaterThan">
      <formula>0</formula>
    </cfRule>
  </conditionalFormatting>
  <conditionalFormatting sqref="C15:D18 C21:D22 D19:D20 C24:D25 D23 C25:C32">
    <cfRule type="cellIs" dxfId="141" priority="61" stopIfTrue="1" operator="lessThan">
      <formula>0</formula>
    </cfRule>
    <cfRule type="cellIs" dxfId="140" priority="62" stopIfTrue="1" operator="greaterThan">
      <formula>0</formula>
    </cfRule>
  </conditionalFormatting>
  <conditionalFormatting sqref="C4:D4">
    <cfRule type="cellIs" dxfId="139" priority="59" operator="lessThan">
      <formula>0</formula>
    </cfRule>
    <cfRule type="cellIs" dxfId="138" priority="60" operator="greaterThan">
      <formula>0</formula>
    </cfRule>
  </conditionalFormatting>
  <conditionalFormatting sqref="C19">
    <cfRule type="cellIs" dxfId="137" priority="57" stopIfTrue="1" operator="lessThan">
      <formula>0</formula>
    </cfRule>
    <cfRule type="cellIs" dxfId="136" priority="58" stopIfTrue="1" operator="greaterThan">
      <formula>0</formula>
    </cfRule>
  </conditionalFormatting>
  <conditionalFormatting sqref="C19">
    <cfRule type="cellIs" dxfId="135" priority="55" stopIfTrue="1" operator="lessThan">
      <formula>0</formula>
    </cfRule>
    <cfRule type="cellIs" dxfId="134" priority="56" stopIfTrue="1" operator="greaterThan">
      <formula>0</formula>
    </cfRule>
  </conditionalFormatting>
  <conditionalFormatting sqref="C19">
    <cfRule type="cellIs" dxfId="133" priority="53" stopIfTrue="1" operator="lessThan">
      <formula>0</formula>
    </cfRule>
    <cfRule type="cellIs" dxfId="132" priority="54" stopIfTrue="1" operator="greaterThan">
      <formula>0</formula>
    </cfRule>
  </conditionalFormatting>
  <conditionalFormatting sqref="C19">
    <cfRule type="cellIs" dxfId="131" priority="51" stopIfTrue="1" operator="lessThan">
      <formula>0</formula>
    </cfRule>
    <cfRule type="cellIs" dxfId="130" priority="52" stopIfTrue="1" operator="greaterThan">
      <formula>0</formula>
    </cfRule>
  </conditionalFormatting>
  <conditionalFormatting sqref="C20">
    <cfRule type="cellIs" dxfId="129" priority="49" stopIfTrue="1" operator="lessThan">
      <formula>0</formula>
    </cfRule>
    <cfRule type="cellIs" dxfId="128" priority="50" stopIfTrue="1" operator="greaterThan">
      <formula>0</formula>
    </cfRule>
  </conditionalFormatting>
  <conditionalFormatting sqref="C20">
    <cfRule type="cellIs" dxfId="127" priority="47" stopIfTrue="1" operator="lessThan">
      <formula>0</formula>
    </cfRule>
    <cfRule type="cellIs" dxfId="126" priority="48" stopIfTrue="1" operator="greaterThan">
      <formula>0</formula>
    </cfRule>
  </conditionalFormatting>
  <conditionalFormatting sqref="C20">
    <cfRule type="cellIs" dxfId="125" priority="45" stopIfTrue="1" operator="lessThan">
      <formula>0</formula>
    </cfRule>
    <cfRule type="cellIs" dxfId="124" priority="46" stopIfTrue="1" operator="greaterThan">
      <formula>0</formula>
    </cfRule>
  </conditionalFormatting>
  <conditionalFormatting sqref="C20">
    <cfRule type="cellIs" dxfId="123" priority="43" stopIfTrue="1" operator="lessThan">
      <formula>0</formula>
    </cfRule>
    <cfRule type="cellIs" dxfId="122" priority="44" stopIfTrue="1" operator="greaterThan">
      <formula>0</formula>
    </cfRule>
  </conditionalFormatting>
  <conditionalFormatting sqref="C23">
    <cfRule type="cellIs" dxfId="121" priority="41" stopIfTrue="1" operator="lessThan">
      <formula>0</formula>
    </cfRule>
    <cfRule type="cellIs" dxfId="120" priority="42" stopIfTrue="1" operator="greaterThan">
      <formula>0</formula>
    </cfRule>
  </conditionalFormatting>
  <conditionalFormatting sqref="C23">
    <cfRule type="cellIs" dxfId="119" priority="39" stopIfTrue="1" operator="lessThan">
      <formula>0</formula>
    </cfRule>
    <cfRule type="cellIs" dxfId="118" priority="40" stopIfTrue="1" operator="greaterThan">
      <formula>0</formula>
    </cfRule>
  </conditionalFormatting>
  <conditionalFormatting sqref="X3:X6">
    <cfRule type="cellIs" dxfId="117" priority="37" stopIfTrue="1" operator="lessThan">
      <formula>0</formula>
    </cfRule>
    <cfRule type="cellIs" dxfId="116" priority="38" stopIfTrue="1" operator="greaterThan">
      <formula>0</formula>
    </cfRule>
  </conditionalFormatting>
  <conditionalFormatting sqref="X3:X6">
    <cfRule type="cellIs" dxfId="115" priority="35" stopIfTrue="1" operator="lessThan">
      <formula>0</formula>
    </cfRule>
    <cfRule type="cellIs" dxfId="114" priority="36" stopIfTrue="1" operator="greaterThan">
      <formula>0</formula>
    </cfRule>
  </conditionalFormatting>
  <conditionalFormatting sqref="X7:X10 X12:X14 X16:X18 X21">
    <cfRule type="cellIs" dxfId="113" priority="33" stopIfTrue="1" operator="lessThan">
      <formula>0</formula>
    </cfRule>
    <cfRule type="cellIs" dxfId="112" priority="34" stopIfTrue="1" operator="greaterThan">
      <formula>0</formula>
    </cfRule>
  </conditionalFormatting>
  <conditionalFormatting sqref="X7:X10 X12:X14 X16:X18 X21">
    <cfRule type="cellIs" dxfId="111" priority="31" stopIfTrue="1" operator="lessThan">
      <formula>0</formula>
    </cfRule>
    <cfRule type="cellIs" dxfId="110" priority="32" stopIfTrue="1" operator="greaterThan">
      <formula>0</formula>
    </cfRule>
  </conditionalFormatting>
  <conditionalFormatting sqref="X11">
    <cfRule type="cellIs" dxfId="109" priority="29" stopIfTrue="1" operator="lessThan">
      <formula>0</formula>
    </cfRule>
    <cfRule type="cellIs" dxfId="108" priority="30" stopIfTrue="1" operator="greaterThan">
      <formula>0</formula>
    </cfRule>
  </conditionalFormatting>
  <conditionalFormatting sqref="X11">
    <cfRule type="cellIs" dxfId="107" priority="27" stopIfTrue="1" operator="lessThan">
      <formula>0</formula>
    </cfRule>
    <cfRule type="cellIs" dxfId="106" priority="28" stopIfTrue="1" operator="greaterThan">
      <formula>0</formula>
    </cfRule>
  </conditionalFormatting>
  <conditionalFormatting sqref="X15:X18 X21:X22 X24:X26">
    <cfRule type="cellIs" dxfId="105" priority="25" stopIfTrue="1" operator="lessThan">
      <formula>0</formula>
    </cfRule>
    <cfRule type="cellIs" dxfId="104" priority="26" stopIfTrue="1" operator="greaterThan">
      <formula>0</formula>
    </cfRule>
  </conditionalFormatting>
  <conditionalFormatting sqref="X15:X18 X21:X22 X24:X26">
    <cfRule type="cellIs" dxfId="103" priority="23" stopIfTrue="1" operator="lessThan">
      <formula>0</formula>
    </cfRule>
    <cfRule type="cellIs" dxfId="102" priority="24" stopIfTrue="1" operator="greaterThan">
      <formula>0</formula>
    </cfRule>
  </conditionalFormatting>
  <conditionalFormatting sqref="X4">
    <cfRule type="cellIs" dxfId="101" priority="21" operator="lessThan">
      <formula>0</formula>
    </cfRule>
    <cfRule type="cellIs" dxfId="100" priority="22" operator="greaterThan">
      <formula>0</formula>
    </cfRule>
  </conditionalFormatting>
  <conditionalFormatting sqref="X19">
    <cfRule type="cellIs" dxfId="99" priority="19" stopIfTrue="1" operator="lessThan">
      <formula>0</formula>
    </cfRule>
    <cfRule type="cellIs" dxfId="98" priority="20" stopIfTrue="1" operator="greaterThan">
      <formula>0</formula>
    </cfRule>
  </conditionalFormatting>
  <conditionalFormatting sqref="X19">
    <cfRule type="cellIs" dxfId="97" priority="17" stopIfTrue="1" operator="lessThan">
      <formula>0</formula>
    </cfRule>
    <cfRule type="cellIs" dxfId="96" priority="18" stopIfTrue="1" operator="greaterThan">
      <formula>0</formula>
    </cfRule>
  </conditionalFormatting>
  <conditionalFormatting sqref="X19">
    <cfRule type="cellIs" dxfId="95" priority="15" stopIfTrue="1" operator="lessThan">
      <formula>0</formula>
    </cfRule>
    <cfRule type="cellIs" dxfId="94" priority="16" stopIfTrue="1" operator="greaterThan">
      <formula>0</formula>
    </cfRule>
  </conditionalFormatting>
  <conditionalFormatting sqref="X19">
    <cfRule type="cellIs" dxfId="93" priority="13" stopIfTrue="1" operator="lessThan">
      <formula>0</formula>
    </cfRule>
    <cfRule type="cellIs" dxfId="92" priority="14" stopIfTrue="1" operator="greaterThan">
      <formula>0</formula>
    </cfRule>
  </conditionalFormatting>
  <conditionalFormatting sqref="X20">
    <cfRule type="cellIs" dxfId="91" priority="11" stopIfTrue="1" operator="lessThan">
      <formula>0</formula>
    </cfRule>
    <cfRule type="cellIs" dxfId="90" priority="12" stopIfTrue="1" operator="greaterThan">
      <formula>0</formula>
    </cfRule>
  </conditionalFormatting>
  <conditionalFormatting sqref="X20">
    <cfRule type="cellIs" dxfId="89" priority="9" stopIfTrue="1" operator="lessThan">
      <formula>0</formula>
    </cfRule>
    <cfRule type="cellIs" dxfId="88" priority="10" stopIfTrue="1" operator="greaterThan">
      <formula>0</formula>
    </cfRule>
  </conditionalFormatting>
  <conditionalFormatting sqref="X20">
    <cfRule type="cellIs" dxfId="87" priority="7" stopIfTrue="1" operator="lessThan">
      <formula>0</formula>
    </cfRule>
    <cfRule type="cellIs" dxfId="86" priority="8" stopIfTrue="1" operator="greaterThan">
      <formula>0</formula>
    </cfRule>
  </conditionalFormatting>
  <conditionalFormatting sqref="X20">
    <cfRule type="cellIs" dxfId="85" priority="5" stopIfTrue="1" operator="lessThan">
      <formula>0</formula>
    </cfRule>
    <cfRule type="cellIs" dxfId="84" priority="6" stopIfTrue="1" operator="greaterThan">
      <formula>0</formula>
    </cfRule>
  </conditionalFormatting>
  <conditionalFormatting sqref="X23">
    <cfRule type="cellIs" dxfId="83" priority="3" stopIfTrue="1" operator="lessThan">
      <formula>0</formula>
    </cfRule>
    <cfRule type="cellIs" dxfId="82" priority="4" stopIfTrue="1" operator="greaterThan">
      <formula>0</formula>
    </cfRule>
  </conditionalFormatting>
  <conditionalFormatting sqref="X23">
    <cfRule type="cellIs" dxfId="81" priority="1" stopIfTrue="1" operator="lessThan">
      <formula>0</formula>
    </cfRule>
    <cfRule type="cellIs" dxfId="80" priority="2" stopIfTrue="1" operator="greater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T183"/>
  <sheetViews>
    <sheetView topLeftCell="B16" zoomScale="75" zoomScaleNormal="75" workbookViewId="0">
      <pane xSplit="3" topLeftCell="E1" activePane="topRight" state="frozen"/>
      <selection activeCell="B1" sqref="B1"/>
      <selection pane="topRight" activeCell="B44" sqref="B44"/>
    </sheetView>
  </sheetViews>
  <sheetFormatPr defaultRowHeight="15.75"/>
  <cols>
    <col min="1" max="1" width="9.140625" style="11"/>
    <col min="2" max="2" width="13.5703125" style="22" bestFit="1" customWidth="1"/>
    <col min="3" max="3" width="13.7109375" style="23" bestFit="1" customWidth="1"/>
    <col min="4" max="4" width="34.28515625" style="11" bestFit="1" customWidth="1"/>
    <col min="5" max="7" width="11.7109375" style="11" bestFit="1" customWidth="1"/>
    <col min="8" max="8" width="13.85546875" style="11" bestFit="1" customWidth="1"/>
    <col min="9" max="12" width="11.7109375" style="11" bestFit="1" customWidth="1"/>
    <col min="13" max="13" width="13.85546875" style="11" bestFit="1" customWidth="1"/>
    <col min="14" max="17" width="11.7109375" style="11" bestFit="1" customWidth="1"/>
    <col min="18" max="18" width="13.85546875" style="11" bestFit="1" customWidth="1"/>
    <col min="19" max="22" width="11.7109375" style="11" bestFit="1" customWidth="1"/>
    <col min="23" max="23" width="13.85546875" style="11" bestFit="1" customWidth="1"/>
    <col min="24" max="24" width="11.7109375" style="11" bestFit="1" customWidth="1"/>
    <col min="25" max="25" width="11.7109375" style="11" customWidth="1"/>
    <col min="26" max="41" width="11.7109375" style="11" bestFit="1" customWidth="1"/>
    <col min="42" max="45" width="9.140625" style="11"/>
    <col min="46" max="46" width="9.140625" style="113"/>
    <col min="47" max="16384" width="9.140625" style="11"/>
  </cols>
  <sheetData>
    <row r="1" spans="2:35">
      <c r="B1" s="25" t="s">
        <v>63</v>
      </c>
      <c r="C1" s="25"/>
      <c r="E1" s="10" t="s">
        <v>43</v>
      </c>
      <c r="F1" s="10"/>
      <c r="G1" s="10"/>
      <c r="H1" s="10"/>
      <c r="J1" s="10" t="s">
        <v>44</v>
      </c>
      <c r="K1" s="10"/>
      <c r="L1" s="10"/>
      <c r="M1" s="10"/>
      <c r="O1" s="10" t="s">
        <v>45</v>
      </c>
      <c r="P1" s="10"/>
      <c r="Q1" s="10"/>
      <c r="R1" s="10"/>
      <c r="T1" s="10" t="s">
        <v>46</v>
      </c>
      <c r="U1" s="10"/>
      <c r="V1" s="10"/>
      <c r="W1" s="10"/>
      <c r="Y1" s="10" t="s">
        <v>47</v>
      </c>
      <c r="Z1" s="10"/>
      <c r="AA1" s="10"/>
      <c r="AB1" s="10"/>
      <c r="AD1" s="10" t="s">
        <v>47</v>
      </c>
      <c r="AE1" s="10"/>
      <c r="AF1" s="10"/>
      <c r="AG1" s="10"/>
    </row>
    <row r="2" spans="2:35">
      <c r="B2" s="19" t="s">
        <v>66</v>
      </c>
      <c r="C2" s="32">
        <v>141986</v>
      </c>
      <c r="E2" s="12" t="s">
        <v>1</v>
      </c>
      <c r="F2" s="15" t="s">
        <v>6</v>
      </c>
      <c r="G2" s="12" t="s">
        <v>504</v>
      </c>
      <c r="H2" s="63">
        <v>0.05</v>
      </c>
      <c r="J2" s="12" t="s">
        <v>1</v>
      </c>
      <c r="K2" s="15" t="s">
        <v>6</v>
      </c>
      <c r="L2" s="12" t="s">
        <v>504</v>
      </c>
      <c r="M2" s="63">
        <f>H2</f>
        <v>0.05</v>
      </c>
      <c r="O2" s="12" t="s">
        <v>1</v>
      </c>
      <c r="P2" s="15" t="s">
        <v>6</v>
      </c>
      <c r="Q2" s="12" t="s">
        <v>504</v>
      </c>
      <c r="R2" s="63">
        <f>M2</f>
        <v>0.05</v>
      </c>
      <c r="T2" s="12" t="s">
        <v>1</v>
      </c>
      <c r="U2" s="15" t="s">
        <v>6</v>
      </c>
      <c r="V2" s="12" t="s">
        <v>504</v>
      </c>
      <c r="W2" s="63">
        <f>R2</f>
        <v>0.05</v>
      </c>
      <c r="Y2" s="12" t="s">
        <v>1</v>
      </c>
      <c r="Z2" s="15" t="s">
        <v>6</v>
      </c>
      <c r="AA2" s="12"/>
      <c r="AB2" s="63">
        <f>W2</f>
        <v>0.05</v>
      </c>
      <c r="AD2" s="12" t="s">
        <v>1</v>
      </c>
      <c r="AE2" s="15" t="s">
        <v>6</v>
      </c>
      <c r="AF2" s="12"/>
      <c r="AG2" s="63">
        <f>AB2</f>
        <v>0.05</v>
      </c>
    </row>
    <row r="3" spans="2:35">
      <c r="B3" s="19" t="s">
        <v>67</v>
      </c>
      <c r="C3" s="32">
        <f>C2-C10</f>
        <v>-83034</v>
      </c>
      <c r="E3" s="12" t="s">
        <v>21</v>
      </c>
      <c r="F3" s="15" t="s">
        <v>502</v>
      </c>
      <c r="G3" s="12" t="s">
        <v>481</v>
      </c>
      <c r="H3" s="13" t="str">
        <f>mrigxl_getIndexQuote(VLOOKUP(F3,Reference!$B$3:$H$6,5,0))</f>
        <v>AttributeError: 'float' object has no attribute 'upper'
    return True if code.upper() in index_list else False
  File "F:\Programs\lib\site-packages\nsetools\nse.py", line 321, in is_valid_index
    if self.is_valid_index(code):
  File "F:\Programs\lib\site-packages\nsetools\nse.py", line 332, in get_index_quote
    indexQuote = nse.get_index_quote(symbol)['lastPrice']
  File "f:\mrig analytics\development\mriganalytics\interface\..\mrigutilities.py", line 608, in getIndexQuote
    quote = mu.getIndexQuote(symbol)
  File "f:\mrig analytics\development\mriganalytics\interface\pyxcel.py", line 132, in mrigxl_getIndexQuote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J3" s="12" t="s">
        <v>21</v>
      </c>
      <c r="K3" s="15" t="s">
        <v>502</v>
      </c>
      <c r="L3" s="12" t="s">
        <v>481</v>
      </c>
      <c r="M3" s="13" t="str">
        <f>H3</f>
        <v>AttributeError: 'float' object has no attribute 'upper'
    return True if code.upper() in index_list else False
  File "F:\Programs\lib\site-packages\nsetools\nse.py", line 321, in is_valid_index
    if self.is_valid_index(code):
  File "F:\Programs\lib\site-packages\nsetools\nse.py", line 332, in get_index_quote
    indexQuote = nse.get_index_quote(symbol)['lastPrice']
  File "f:\mrig analytics\development\mriganalytics\interface\..\mrigutilities.py", line 608, in getIndexQuote
    quote = mu.getIndexQuote(symbol)
  File "f:\mrig analytics\development\mriganalytics\interface\pyxcel.py", line 132, in mrigxl_getIndexQuote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N3" s="105" t="e">
        <f>M3/H3-1</f>
        <v>#VALUE!</v>
      </c>
      <c r="O3" s="12" t="s">
        <v>21</v>
      </c>
      <c r="P3" s="15" t="s">
        <v>502</v>
      </c>
      <c r="Q3" s="12" t="s">
        <v>482</v>
      </c>
      <c r="R3" s="13">
        <v>17618</v>
      </c>
      <c r="T3" s="12" t="s">
        <v>21</v>
      </c>
      <c r="U3" s="15" t="s">
        <v>541</v>
      </c>
      <c r="V3" s="12" t="s">
        <v>481</v>
      </c>
      <c r="W3" s="13">
        <f>R3</f>
        <v>17618</v>
      </c>
      <c r="Y3" s="12" t="s">
        <v>21</v>
      </c>
      <c r="Z3" s="15" t="s">
        <v>502</v>
      </c>
      <c r="AA3" s="12"/>
      <c r="AB3" s="13"/>
      <c r="AD3" s="12" t="s">
        <v>21</v>
      </c>
      <c r="AE3" s="15" t="s">
        <v>542</v>
      </c>
      <c r="AF3" s="12"/>
      <c r="AG3" s="13"/>
      <c r="AI3" s="112"/>
    </row>
    <row r="4" spans="2:35">
      <c r="B4" s="19"/>
      <c r="C4" s="20"/>
      <c r="E4" s="12" t="s">
        <v>22</v>
      </c>
      <c r="F4" s="15">
        <v>18000</v>
      </c>
      <c r="G4" s="59">
        <v>44497</v>
      </c>
      <c r="H4" s="13">
        <f ca="1">(G$4-TODAY())/365</f>
        <v>-0.70958904109589038</v>
      </c>
      <c r="J4" s="12" t="s">
        <v>22</v>
      </c>
      <c r="K4" s="15">
        <v>18000</v>
      </c>
      <c r="L4" s="59">
        <v>44497</v>
      </c>
      <c r="M4" s="13">
        <f ca="1">(L$4-TODAY())/365</f>
        <v>-0.70958904109589038</v>
      </c>
      <c r="O4" s="12" t="s">
        <v>22</v>
      </c>
      <c r="P4" s="15">
        <v>17000</v>
      </c>
      <c r="Q4" s="59">
        <v>44497</v>
      </c>
      <c r="R4" s="13">
        <f ca="1">(Q$4-TODAY())/365</f>
        <v>-0.70958904109589038</v>
      </c>
      <c r="T4" s="12" t="s">
        <v>22</v>
      </c>
      <c r="U4" s="15">
        <v>150</v>
      </c>
      <c r="V4" s="59">
        <v>44497</v>
      </c>
      <c r="W4" s="13">
        <f ca="1">(V$4-TODAY())/365</f>
        <v>-0.70958904109589038</v>
      </c>
      <c r="Y4" s="12" t="s">
        <v>22</v>
      </c>
      <c r="Z4" s="15">
        <v>17000</v>
      </c>
      <c r="AA4" s="12"/>
      <c r="AB4" s="13"/>
      <c r="AD4" s="12" t="s">
        <v>22</v>
      </c>
      <c r="AE4" s="15">
        <v>470</v>
      </c>
      <c r="AF4" s="12"/>
      <c r="AG4" s="13"/>
    </row>
    <row r="5" spans="2:35">
      <c r="B5" s="19"/>
      <c r="C5" s="32"/>
      <c r="E5" s="12" t="s">
        <v>23</v>
      </c>
      <c r="F5" s="27">
        <v>274</v>
      </c>
      <c r="G5" s="62">
        <f>mrigxl_getIndexOptionQuote(F3,G4,F4,G3)</f>
        <v>-1</v>
      </c>
      <c r="H5" s="60">
        <f>IF(G5&gt;0,(G$5-F$5)*F$8,0)</f>
        <v>0</v>
      </c>
      <c r="J5" s="12" t="s">
        <v>23</v>
      </c>
      <c r="K5" s="27">
        <v>188</v>
      </c>
      <c r="L5" s="62">
        <f>G5</f>
        <v>-1</v>
      </c>
      <c r="M5" s="60">
        <f>IF(L5&gt;0,(L$5-K$5)*K$8,0)</f>
        <v>0</v>
      </c>
      <c r="O5" s="12" t="s">
        <v>23</v>
      </c>
      <c r="P5" s="27">
        <v>165</v>
      </c>
      <c r="Q5" s="62">
        <f>mrigxl_getIndexOptionQuote(P3,Q4,P4,Q3)</f>
        <v>-1</v>
      </c>
      <c r="R5" s="60">
        <f>IF(Q5&gt;0,(Q$5-P$5)*P$8,0)</f>
        <v>0</v>
      </c>
      <c r="T5" s="12" t="s">
        <v>23</v>
      </c>
      <c r="U5" s="27">
        <v>7.6</v>
      </c>
      <c r="V5" s="62">
        <f>mrigxl_getStockOptionQuote(U3,V4,U4,V3)</f>
        <v>-1</v>
      </c>
      <c r="W5" s="60">
        <f>IF(V5&gt;0,(V$5-U$5)*U$8,0)</f>
        <v>0</v>
      </c>
      <c r="Y5" s="12" t="s">
        <v>23</v>
      </c>
      <c r="Z5" s="27">
        <v>137</v>
      </c>
      <c r="AA5" s="12"/>
      <c r="AB5" s="60">
        <f>IF(AA5&gt;0,(AA$5-Z$5)*Z$8,0)</f>
        <v>0</v>
      </c>
      <c r="AD5" s="12" t="s">
        <v>23</v>
      </c>
      <c r="AE5" s="27">
        <v>12.9</v>
      </c>
      <c r="AF5" s="12"/>
      <c r="AG5" s="60">
        <f>IF(AF5&gt;0,(AF$5-AE$5)*AE$8,0)</f>
        <v>0</v>
      </c>
    </row>
    <row r="6" spans="2:35">
      <c r="B6" s="21" t="s">
        <v>51</v>
      </c>
      <c r="C6" s="29">
        <f>SUM(H6,M6,R6,W6,AB6,AG6)</f>
        <v>-42691.406255999995</v>
      </c>
      <c r="D6" s="11">
        <v>-29100</v>
      </c>
      <c r="E6" s="12" t="s">
        <v>49</v>
      </c>
      <c r="F6" s="27">
        <v>113.85</v>
      </c>
      <c r="G6" s="12" t="s">
        <v>51</v>
      </c>
      <c r="H6" s="26">
        <f>IF(AND(F8&lt;&gt;0,F6&lt;&gt;0),(F7-1)*F$10-H$27*2,0)</f>
        <v>-32149.141440000003</v>
      </c>
      <c r="J6" s="12" t="s">
        <v>49</v>
      </c>
      <c r="K6" s="27">
        <v>121</v>
      </c>
      <c r="L6" s="12" t="s">
        <v>51</v>
      </c>
      <c r="M6" s="26">
        <f>IF(AND(K8&lt;&gt;0,K6&lt;&gt;0),(K7-1)*K$10-M$27*2,0)</f>
        <v>-13496.561280000002</v>
      </c>
      <c r="O6" s="12" t="s">
        <v>49</v>
      </c>
      <c r="P6" s="27">
        <v>158</v>
      </c>
      <c r="Q6" s="12" t="s">
        <v>51</v>
      </c>
      <c r="R6" s="26">
        <f>IF(AND(P8&lt;&gt;0,P6&lt;&gt;0),(P7-1)*P$10-R$27*2,0)</f>
        <v>-1490.5224000000017</v>
      </c>
      <c r="T6" s="12" t="s">
        <v>49</v>
      </c>
      <c r="U6" s="27">
        <v>7.7</v>
      </c>
      <c r="V6" s="12" t="s">
        <v>51</v>
      </c>
      <c r="W6" s="26">
        <f>IF(AND(U8&lt;&gt;0,U6&lt;&gt;0),(U7-1)*U$10-W$27*2,0)</f>
        <v>645.97494400000892</v>
      </c>
      <c r="Y6" s="12" t="s">
        <v>49</v>
      </c>
      <c r="Z6" s="27">
        <v>150</v>
      </c>
      <c r="AA6" s="12" t="s">
        <v>51</v>
      </c>
      <c r="AB6" s="26">
        <f>IF(AND(Z8&lt;&gt;0,Z6&lt;&gt;0),(Z7-1)*Z$10-AB$27*2,0)</f>
        <v>3798.8439199999998</v>
      </c>
      <c r="AD6" s="12" t="s">
        <v>49</v>
      </c>
      <c r="AE6" s="27"/>
      <c r="AF6" s="12" t="s">
        <v>51</v>
      </c>
      <c r="AG6" s="26">
        <f>IF(AND(AE8&lt;&gt;0,AE6&lt;&gt;0),(AE7-1)*AE$10-AG$27*2,0)</f>
        <v>0</v>
      </c>
    </row>
    <row r="7" spans="2:35">
      <c r="B7" s="21" t="s">
        <v>52</v>
      </c>
      <c r="C7" s="103">
        <f>C6/AVERAGEIF(E10:AB10,"&gt;0",E10:AB10)</f>
        <v>-0.94861359559150282</v>
      </c>
      <c r="E7" s="12" t="s">
        <v>50</v>
      </c>
      <c r="F7" s="17">
        <f>F6/F$5</f>
        <v>0.41551094890510948</v>
      </c>
      <c r="G7" s="12" t="s">
        <v>52</v>
      </c>
      <c r="H7" s="14">
        <f>IF(F$8&lt;&gt;0,H6/F$10,0)</f>
        <v>-0.58666316496350368</v>
      </c>
      <c r="J7" s="12" t="s">
        <v>50</v>
      </c>
      <c r="K7" s="17">
        <f>K6/K$5</f>
        <v>0.6436170212765957</v>
      </c>
      <c r="L7" s="12" t="s">
        <v>52</v>
      </c>
      <c r="M7" s="14">
        <f>IF(K$8&lt;&gt;0,M6/K$10,0)</f>
        <v>-0.35895109787234047</v>
      </c>
      <c r="O7" s="12" t="s">
        <v>50</v>
      </c>
      <c r="P7" s="17">
        <f>P6/P$5</f>
        <v>0.95757575757575752</v>
      </c>
      <c r="Q7" s="12" t="s">
        <v>52</v>
      </c>
      <c r="R7" s="14">
        <f>IF(P$8&lt;&gt;0,R6/P$10,0)</f>
        <v>-4.5167345454545503E-2</v>
      </c>
      <c r="T7" s="12" t="s">
        <v>50</v>
      </c>
      <c r="U7" s="17">
        <f>U6/U$5</f>
        <v>1.0131578947368423</v>
      </c>
      <c r="V7" s="12" t="s">
        <v>52</v>
      </c>
      <c r="W7" s="14">
        <f>IF(U$8&lt;&gt;0,W6/U$10,0)</f>
        <v>1.103853287764882E-2</v>
      </c>
      <c r="Y7" s="12" t="s">
        <v>50</v>
      </c>
      <c r="Z7" s="17">
        <f>Z6/Z$5</f>
        <v>1.0948905109489051</v>
      </c>
      <c r="AA7" s="12" t="s">
        <v>52</v>
      </c>
      <c r="AB7" s="14">
        <f>IF(Z$8&lt;&gt;0,AB6/Z$10,0)</f>
        <v>9.2429292457420917E-2</v>
      </c>
      <c r="AD7" s="12" t="s">
        <v>50</v>
      </c>
      <c r="AE7" s="17">
        <f>AE6/AE$5</f>
        <v>0</v>
      </c>
      <c r="AF7" s="12" t="s">
        <v>52</v>
      </c>
      <c r="AG7" s="14">
        <f>IF(AE$8&lt;&gt;0,AG6/AE$10,0)</f>
        <v>0</v>
      </c>
    </row>
    <row r="8" spans="2:35">
      <c r="B8" s="21"/>
      <c r="C8" s="20"/>
      <c r="E8" s="12" t="s">
        <v>483</v>
      </c>
      <c r="F8" s="42">
        <v>200</v>
      </c>
      <c r="G8" s="12" t="s">
        <v>505</v>
      </c>
      <c r="H8" s="63">
        <v>0.16</v>
      </c>
      <c r="J8" s="12" t="s">
        <v>483</v>
      </c>
      <c r="K8" s="42">
        <v>200</v>
      </c>
      <c r="L8" s="12" t="s">
        <v>505</v>
      </c>
      <c r="M8" s="63">
        <v>0.14180000000000001</v>
      </c>
      <c r="O8" s="12" t="s">
        <v>483</v>
      </c>
      <c r="P8" s="15">
        <v>200</v>
      </c>
      <c r="Q8" s="12" t="s">
        <v>505</v>
      </c>
      <c r="R8" s="63">
        <v>0.18729999999999999</v>
      </c>
      <c r="T8" s="12" t="s">
        <v>483</v>
      </c>
      <c r="U8" s="15">
        <v>7700</v>
      </c>
      <c r="V8" s="12" t="s">
        <v>505</v>
      </c>
      <c r="W8" s="63">
        <v>0.16</v>
      </c>
      <c r="Y8" s="12" t="s">
        <v>483</v>
      </c>
      <c r="Z8" s="15">
        <v>300</v>
      </c>
      <c r="AA8" s="12" t="s">
        <v>505</v>
      </c>
      <c r="AB8" s="63">
        <v>0.12</v>
      </c>
      <c r="AD8" s="12" t="s">
        <v>483</v>
      </c>
      <c r="AE8" s="15">
        <v>3000</v>
      </c>
      <c r="AF8" s="12" t="s">
        <v>505</v>
      </c>
      <c r="AG8" s="63">
        <v>0.12</v>
      </c>
    </row>
    <row r="9" spans="2:35">
      <c r="B9" s="21"/>
      <c r="C9" s="20"/>
      <c r="E9" s="12" t="s">
        <v>34</v>
      </c>
      <c r="F9" s="15" t="s">
        <v>538</v>
      </c>
      <c r="G9" s="12" t="s">
        <v>145</v>
      </c>
      <c r="H9" s="64">
        <v>1.0699999999999999E-2</v>
      </c>
      <c r="J9" s="12" t="s">
        <v>34</v>
      </c>
      <c r="K9" s="15">
        <v>50</v>
      </c>
      <c r="L9" s="12" t="s">
        <v>145</v>
      </c>
      <c r="M9" s="64">
        <v>1.0699999999999999E-2</v>
      </c>
      <c r="O9" s="12" t="s">
        <v>34</v>
      </c>
      <c r="P9" s="15">
        <v>50</v>
      </c>
      <c r="Q9" s="12" t="s">
        <v>145</v>
      </c>
      <c r="R9" s="64">
        <v>1.0699999999999999E-2</v>
      </c>
      <c r="T9" s="12" t="s">
        <v>34</v>
      </c>
      <c r="U9" s="15">
        <v>50</v>
      </c>
      <c r="V9" s="12" t="s">
        <v>145</v>
      </c>
      <c r="W9" s="64">
        <v>1.0699999999999999E-2</v>
      </c>
      <c r="Y9" s="12" t="s">
        <v>34</v>
      </c>
      <c r="Z9" s="15">
        <v>50</v>
      </c>
      <c r="AA9" s="12" t="s">
        <v>145</v>
      </c>
      <c r="AB9" s="64">
        <v>1.0699999999999999E-2</v>
      </c>
      <c r="AD9" s="12" t="s">
        <v>34</v>
      </c>
      <c r="AE9" s="15">
        <v>50</v>
      </c>
      <c r="AF9" s="12" t="s">
        <v>145</v>
      </c>
      <c r="AG9" s="64">
        <v>1.0699999999999999E-2</v>
      </c>
    </row>
    <row r="10" spans="2:35">
      <c r="B10" s="21" t="s">
        <v>20</v>
      </c>
      <c r="C10" s="29">
        <f>SUM(F10,K10,P10,U10,Z10)</f>
        <v>225020</v>
      </c>
      <c r="E10" s="12" t="s">
        <v>20</v>
      </c>
      <c r="F10" s="16">
        <f>F$5*F$8</f>
        <v>54800</v>
      </c>
      <c r="G10" s="12"/>
      <c r="H10" s="13"/>
      <c r="J10" s="12" t="s">
        <v>20</v>
      </c>
      <c r="K10" s="16">
        <f>K$5*K$8</f>
        <v>37600</v>
      </c>
      <c r="L10" s="12"/>
      <c r="M10" s="13"/>
      <c r="O10" s="12" t="s">
        <v>20</v>
      </c>
      <c r="P10" s="16">
        <f>P$5*P$8</f>
        <v>33000</v>
      </c>
      <c r="Q10" s="12"/>
      <c r="R10" s="13"/>
      <c r="T10" s="12" t="s">
        <v>20</v>
      </c>
      <c r="U10" s="16">
        <f>U$5*U$8</f>
        <v>58520</v>
      </c>
      <c r="V10" s="12"/>
      <c r="W10" s="13"/>
      <c r="Y10" s="12" t="s">
        <v>20</v>
      </c>
      <c r="Z10" s="16">
        <f>Z$5*Z$8</f>
        <v>41100</v>
      </c>
      <c r="AA10" s="12"/>
      <c r="AB10" s="13"/>
      <c r="AD10" s="12" t="s">
        <v>20</v>
      </c>
      <c r="AE10" s="16">
        <f>AE$5*AE$8</f>
        <v>38700</v>
      </c>
      <c r="AF10" s="12"/>
      <c r="AG10" s="13"/>
    </row>
    <row r="11" spans="2:35">
      <c r="B11" s="21"/>
      <c r="C11" s="20"/>
      <c r="E11" s="12" t="s">
        <v>17</v>
      </c>
      <c r="F11" s="26">
        <f>(1+F12)*F$5</f>
        <v>260.3</v>
      </c>
      <c r="G11" s="12" t="s">
        <v>65</v>
      </c>
      <c r="H11" s="26">
        <f>1*F$8-H$27*2</f>
        <v>80.858560000000011</v>
      </c>
      <c r="J11" s="12" t="s">
        <v>17</v>
      </c>
      <c r="K11" s="26">
        <f>(1+K12)*K$5</f>
        <v>178.6</v>
      </c>
      <c r="L11" s="12" t="s">
        <v>65</v>
      </c>
      <c r="M11" s="26">
        <f>1*K$8-M$27*2</f>
        <v>103.43872000000002</v>
      </c>
      <c r="O11" s="12" t="s">
        <v>17</v>
      </c>
      <c r="P11" s="26">
        <f>(1+P12)*P$5</f>
        <v>158.4</v>
      </c>
      <c r="Q11" s="12" t="s">
        <v>65</v>
      </c>
      <c r="R11" s="26">
        <f>1*P$8-R$27*2</f>
        <v>109.47760000000001</v>
      </c>
      <c r="T11" s="12" t="s">
        <v>17</v>
      </c>
      <c r="U11" s="26">
        <f>(1+U12)*U$5</f>
        <v>7.22</v>
      </c>
      <c r="V11" s="12" t="s">
        <v>65</v>
      </c>
      <c r="W11" s="26">
        <f>1*U$8-W$27*2</f>
        <v>7575.9749439999996</v>
      </c>
      <c r="Y11" s="12" t="s">
        <v>17</v>
      </c>
      <c r="Z11" s="26">
        <f>(1+Z12)*Z$5</f>
        <v>130.15</v>
      </c>
      <c r="AA11" s="12" t="s">
        <v>65</v>
      </c>
      <c r="AB11" s="26">
        <f>1*Z$8-AB$27*2</f>
        <v>198.84392000000003</v>
      </c>
      <c r="AD11" s="12" t="s">
        <v>17</v>
      </c>
      <c r="AE11" s="26">
        <f>(1+AE12)*AE$5</f>
        <v>12.254999999999999</v>
      </c>
      <c r="AF11" s="12" t="s">
        <v>65</v>
      </c>
      <c r="AG11" s="26">
        <f>1*AE$8-AG$27*2</f>
        <v>2901.9946399999999</v>
      </c>
    </row>
    <row r="12" spans="2:35">
      <c r="B12" s="21"/>
      <c r="C12" s="20"/>
      <c r="E12" s="12" t="s">
        <v>28</v>
      </c>
      <c r="F12" s="31">
        <v>-0.05</v>
      </c>
      <c r="G12" s="12" t="s">
        <v>29</v>
      </c>
      <c r="H12" s="26">
        <f>F12*F$10-H$27*2</f>
        <v>-2859.1414399999999</v>
      </c>
      <c r="J12" s="12" t="s">
        <v>28</v>
      </c>
      <c r="K12" s="31">
        <v>-0.05</v>
      </c>
      <c r="L12" s="12" t="s">
        <v>29</v>
      </c>
      <c r="M12" s="26">
        <f>K12*K$10-M$27*2</f>
        <v>-1976.5612799999999</v>
      </c>
      <c r="O12" s="12" t="s">
        <v>28</v>
      </c>
      <c r="P12" s="31">
        <v>-0.04</v>
      </c>
      <c r="Q12" s="12" t="s">
        <v>29</v>
      </c>
      <c r="R12" s="26">
        <f>P12*P$10-R$27*2</f>
        <v>-1410.5224000000001</v>
      </c>
      <c r="T12" s="12" t="s">
        <v>28</v>
      </c>
      <c r="U12" s="31">
        <v>-0.05</v>
      </c>
      <c r="V12" s="12" t="s">
        <v>29</v>
      </c>
      <c r="W12" s="26">
        <f>U12*U$10-W$27*2</f>
        <v>-3050.0250559999999</v>
      </c>
      <c r="Y12" s="12" t="s">
        <v>28</v>
      </c>
      <c r="Z12" s="31">
        <v>-0.05</v>
      </c>
      <c r="AA12" s="12" t="s">
        <v>29</v>
      </c>
      <c r="AB12" s="26">
        <f>Z12*Z$10-AB$27*2</f>
        <v>-2156.1560800000002</v>
      </c>
      <c r="AD12" s="12" t="s">
        <v>28</v>
      </c>
      <c r="AE12" s="31">
        <v>-0.05</v>
      </c>
      <c r="AF12" s="12" t="s">
        <v>29</v>
      </c>
      <c r="AG12" s="26">
        <f>AE12*AE$10-AG$27*2</f>
        <v>-2033.0053599999999</v>
      </c>
    </row>
    <row r="13" spans="2:35">
      <c r="B13" s="21" t="s">
        <v>30</v>
      </c>
      <c r="C13" s="29">
        <f>SUM(H13,M13,R13,W13,AB13)</f>
        <v>12369.593744</v>
      </c>
      <c r="E13" s="12" t="s">
        <v>24</v>
      </c>
      <c r="F13" s="26">
        <f>(1+F14)*F$5</f>
        <v>287.7</v>
      </c>
      <c r="G13" s="12" t="s">
        <v>30</v>
      </c>
      <c r="H13" s="26">
        <f>(F14)*F$10-H$27*2</f>
        <v>2620.8585600000001</v>
      </c>
      <c r="J13" s="12" t="s">
        <v>24</v>
      </c>
      <c r="K13" s="26">
        <f>(1+K14)*K$5</f>
        <v>197.4</v>
      </c>
      <c r="L13" s="12" t="s">
        <v>30</v>
      </c>
      <c r="M13" s="26">
        <f>(K14)*K$10-M$27*2</f>
        <v>1783.4387200000001</v>
      </c>
      <c r="O13" s="12" t="s">
        <v>24</v>
      </c>
      <c r="P13" s="26">
        <f>(1+P14)*P$5</f>
        <v>181.50000000000003</v>
      </c>
      <c r="Q13" s="12" t="s">
        <v>30</v>
      </c>
      <c r="R13" s="26">
        <f>(P14)*P$10-R$27*2</f>
        <v>3209.4776000000002</v>
      </c>
      <c r="T13" s="12" t="s">
        <v>24</v>
      </c>
      <c r="U13" s="26">
        <f>(1+U14)*U$5</f>
        <v>7.9799999999999995</v>
      </c>
      <c r="V13" s="12" t="s">
        <v>30</v>
      </c>
      <c r="W13" s="26">
        <f>(U14)*U$10-W$27*2</f>
        <v>2801.9749440000001</v>
      </c>
      <c r="Y13" s="12" t="s">
        <v>24</v>
      </c>
      <c r="Z13" s="26">
        <f>(1+Z14)*Z$5</f>
        <v>143.85</v>
      </c>
      <c r="AA13" s="12" t="s">
        <v>30</v>
      </c>
      <c r="AB13" s="26">
        <f>(Z14)*Z$10-AB$27*2</f>
        <v>1953.84392</v>
      </c>
      <c r="AD13" s="12" t="s">
        <v>24</v>
      </c>
      <c r="AE13" s="26">
        <f>(1+AE14)*AE$5</f>
        <v>13.545000000000002</v>
      </c>
      <c r="AF13" s="12" t="s">
        <v>30</v>
      </c>
      <c r="AG13" s="26">
        <f>(AE14)*AE$10-AG$27*2</f>
        <v>1836.9946400000001</v>
      </c>
    </row>
    <row r="14" spans="2:35">
      <c r="B14" s="21" t="s">
        <v>36</v>
      </c>
      <c r="C14" s="24">
        <f>IF(C$10&lt;&gt;0,C13/C$10,0)</f>
        <v>5.4971085876810946E-2</v>
      </c>
      <c r="E14" s="12" t="s">
        <v>35</v>
      </c>
      <c r="F14" s="31">
        <v>0.05</v>
      </c>
      <c r="G14" s="12" t="s">
        <v>36</v>
      </c>
      <c r="H14" s="14">
        <f>IF(F$8&lt;&gt;0,H13/F$10,0)</f>
        <v>4.7825886131386865E-2</v>
      </c>
      <c r="J14" s="12" t="s">
        <v>35</v>
      </c>
      <c r="K14" s="31">
        <v>0.05</v>
      </c>
      <c r="L14" s="12" t="s">
        <v>36</v>
      </c>
      <c r="M14" s="14">
        <f>IF(K$8&lt;&gt;0,M13/K$10,0)</f>
        <v>4.7431880851063833E-2</v>
      </c>
      <c r="O14" s="12" t="s">
        <v>35</v>
      </c>
      <c r="P14" s="31">
        <v>0.1</v>
      </c>
      <c r="Q14" s="12" t="s">
        <v>36</v>
      </c>
      <c r="R14" s="14">
        <f>IF(P$8&lt;&gt;0,R13/P$10,0)</f>
        <v>9.7256896969696971E-2</v>
      </c>
      <c r="T14" s="12" t="s">
        <v>35</v>
      </c>
      <c r="U14" s="31">
        <v>0.05</v>
      </c>
      <c r="V14" s="12" t="s">
        <v>36</v>
      </c>
      <c r="W14" s="14">
        <f>IF(U$8&lt;&gt;0,W13/U$10,0)</f>
        <v>4.7880638140806564E-2</v>
      </c>
      <c r="Y14" s="12" t="s">
        <v>35</v>
      </c>
      <c r="Z14" s="31">
        <v>0.05</v>
      </c>
      <c r="AA14" s="12" t="s">
        <v>36</v>
      </c>
      <c r="AB14" s="14">
        <f>IF(Z$8&lt;&gt;0,AB13/Z$10,0)</f>
        <v>4.7538781508515815E-2</v>
      </c>
      <c r="AD14" s="12" t="s">
        <v>35</v>
      </c>
      <c r="AE14" s="31">
        <v>0.05</v>
      </c>
      <c r="AF14" s="12" t="s">
        <v>36</v>
      </c>
      <c r="AG14" s="14">
        <f>IF(AE$8&lt;&gt;0,AG13/AE$10,0)</f>
        <v>4.7467561757105946E-2</v>
      </c>
    </row>
    <row r="15" spans="2:35">
      <c r="B15" s="21" t="s">
        <v>31</v>
      </c>
      <c r="C15" s="29">
        <f>SUM(H15,M15,R15,W15,AB15)</f>
        <v>30750.593743999998</v>
      </c>
      <c r="E15" s="12" t="s">
        <v>25</v>
      </c>
      <c r="F15" s="26">
        <f>(1+F16)*F$5</f>
        <v>328.8</v>
      </c>
      <c r="G15" s="12" t="s">
        <v>31</v>
      </c>
      <c r="H15" s="26">
        <f>IF(ISNUMBER(F15),(F16)*F$10-H$27*2,0)</f>
        <v>10840.858560000001</v>
      </c>
      <c r="J15" s="12" t="s">
        <v>25</v>
      </c>
      <c r="K15" s="26">
        <f>(1+K16)*K$5</f>
        <v>206.8</v>
      </c>
      <c r="L15" s="12" t="s">
        <v>31</v>
      </c>
      <c r="M15" s="26">
        <f>IF(ISNUMBER(K15),(K16)*K$10-M$27*2,0)</f>
        <v>3663.4387200000001</v>
      </c>
      <c r="O15" s="12" t="s">
        <v>25</v>
      </c>
      <c r="P15" s="26">
        <f>(1+P16)*P$5</f>
        <v>198</v>
      </c>
      <c r="Q15" s="12" t="s">
        <v>31</v>
      </c>
      <c r="R15" s="26">
        <f>IF(ISNUMBER(P15),(P16)*P$10-R$27*2,0)</f>
        <v>6509.4776000000002</v>
      </c>
      <c r="T15" s="12" t="s">
        <v>25</v>
      </c>
      <c r="U15" s="26">
        <f>(1+U16)*U$5</f>
        <v>8.36</v>
      </c>
      <c r="V15" s="12" t="s">
        <v>31</v>
      </c>
      <c r="W15" s="26">
        <f>IF(ISNUMBER(U15),(U16)*U$10-W$27*2,0)</f>
        <v>5727.9749439999996</v>
      </c>
      <c r="Y15" s="12" t="s">
        <v>25</v>
      </c>
      <c r="Z15" s="26">
        <f>(1+Z16)*Z$5</f>
        <v>150.70000000000002</v>
      </c>
      <c r="AA15" s="12" t="s">
        <v>31</v>
      </c>
      <c r="AB15" s="26">
        <f>IF(ISNUMBER(Z15),(Z16)*Z$10-AB$27*2,0)</f>
        <v>4008.8439199999998</v>
      </c>
      <c r="AD15" s="12" t="s">
        <v>25</v>
      </c>
      <c r="AE15" s="26">
        <f>(1+AE16)*AE$5</f>
        <v>14.190000000000001</v>
      </c>
      <c r="AF15" s="12" t="s">
        <v>31</v>
      </c>
      <c r="AG15" s="26">
        <f>IF(ISNUMBER(AE15),(AE16)*AE$10-AG$27*2,0)</f>
        <v>3771.9946399999999</v>
      </c>
    </row>
    <row r="16" spans="2:35">
      <c r="B16" s="21" t="s">
        <v>36</v>
      </c>
      <c r="C16" s="24">
        <f>IF(C$10&lt;&gt;0,C15/C$10,0)</f>
        <v>0.13665715822593547</v>
      </c>
      <c r="E16" s="12" t="s">
        <v>37</v>
      </c>
      <c r="F16" s="31">
        <v>0.2</v>
      </c>
      <c r="G16" s="12" t="s">
        <v>38</v>
      </c>
      <c r="H16" s="14">
        <f>IF(F$8&lt;&gt;0,H15/F$10,0)</f>
        <v>0.19782588613138688</v>
      </c>
      <c r="J16" s="12" t="s">
        <v>37</v>
      </c>
      <c r="K16" s="31">
        <v>0.1</v>
      </c>
      <c r="L16" s="12" t="s">
        <v>38</v>
      </c>
      <c r="M16" s="14">
        <f>IF(K$8&lt;&gt;0,M15/K$10,0)</f>
        <v>9.7431880851063829E-2</v>
      </c>
      <c r="O16" s="12" t="s">
        <v>37</v>
      </c>
      <c r="P16" s="31">
        <v>0.2</v>
      </c>
      <c r="Q16" s="12" t="s">
        <v>38</v>
      </c>
      <c r="R16" s="14">
        <f>IF(P$8&lt;&gt;0,R15/P$10,0)</f>
        <v>0.19725689696969698</v>
      </c>
      <c r="T16" s="12" t="s">
        <v>37</v>
      </c>
      <c r="U16" s="31">
        <v>0.1</v>
      </c>
      <c r="V16" s="12" t="s">
        <v>38</v>
      </c>
      <c r="W16" s="14">
        <f>IF(U$8&lt;&gt;0,W15/U$10,0)</f>
        <v>9.7880638140806553E-2</v>
      </c>
      <c r="Y16" s="12" t="s">
        <v>37</v>
      </c>
      <c r="Z16" s="31">
        <v>0.1</v>
      </c>
      <c r="AA16" s="12" t="s">
        <v>38</v>
      </c>
      <c r="AB16" s="14">
        <f>IF(Z$8&lt;&gt;0,AB15/Z$10,0)</f>
        <v>9.7538781508515804E-2</v>
      </c>
      <c r="AD16" s="12" t="s">
        <v>37</v>
      </c>
      <c r="AE16" s="31">
        <v>0.1</v>
      </c>
      <c r="AF16" s="12" t="s">
        <v>38</v>
      </c>
      <c r="AG16" s="14">
        <f>IF(AE$8&lt;&gt;0,AG15/AE$10,0)</f>
        <v>9.7467561757105942E-2</v>
      </c>
    </row>
    <row r="17" spans="2:33">
      <c r="B17" s="21" t="s">
        <v>32</v>
      </c>
      <c r="C17" s="29">
        <f>SUM(H17,M17,R17,W17,AB17)</f>
        <v>51197.593743999998</v>
      </c>
      <c r="E17" s="12" t="s">
        <v>26</v>
      </c>
      <c r="F17" s="26">
        <f>(1+F18)*F$5</f>
        <v>356.2</v>
      </c>
      <c r="G17" s="12" t="s">
        <v>32</v>
      </c>
      <c r="H17" s="26">
        <f>IF(ISNUMBER(F17),(F18)*F$10-H$27*2,0)</f>
        <v>16320.858560000001</v>
      </c>
      <c r="J17" s="12" t="s">
        <v>26</v>
      </c>
      <c r="K17" s="26">
        <f>(1+K18)*K$5</f>
        <v>225.6</v>
      </c>
      <c r="L17" s="12" t="s">
        <v>32</v>
      </c>
      <c r="M17" s="26">
        <f>IF(ISNUMBER(K17),(K18)*K$10-M$27*2,0)</f>
        <v>7423.4387200000001</v>
      </c>
      <c r="O17" s="12" t="s">
        <v>26</v>
      </c>
      <c r="P17" s="26">
        <f>(1+P18)*P$5</f>
        <v>214.5</v>
      </c>
      <c r="Q17" s="12" t="s">
        <v>32</v>
      </c>
      <c r="R17" s="26">
        <f>IF(ISNUMBER(P17),(P18)*P$10-R$27*2,0)</f>
        <v>9809.4776000000002</v>
      </c>
      <c r="T17" s="12" t="s">
        <v>26</v>
      </c>
      <c r="U17" s="26">
        <f>(1+U18)*U$5</f>
        <v>9.1199999999999992</v>
      </c>
      <c r="V17" s="12" t="s">
        <v>32</v>
      </c>
      <c r="W17" s="26">
        <f>IF(ISNUMBER(U17),(U18)*U$10-W$27*2,0)</f>
        <v>11579.974944</v>
      </c>
      <c r="Y17" s="12" t="s">
        <v>26</v>
      </c>
      <c r="Z17" s="26">
        <f>(1+Z18)*Z$5</f>
        <v>157.54999999999998</v>
      </c>
      <c r="AA17" s="12" t="s">
        <v>32</v>
      </c>
      <c r="AB17" s="26">
        <f>IF(ISNUMBER(Z17),(Z18)*Z$10-AB$27*2,0)</f>
        <v>6063.8439200000003</v>
      </c>
      <c r="AD17" s="12" t="s">
        <v>26</v>
      </c>
      <c r="AE17" s="26">
        <f>(1+AE18)*AE$5</f>
        <v>14.834999999999999</v>
      </c>
      <c r="AF17" s="12" t="s">
        <v>32</v>
      </c>
      <c r="AG17" s="26">
        <f>IF(ISNUMBER(AE17),(AE18)*AE$10-AG$27*2,0)</f>
        <v>5706.9946399999999</v>
      </c>
    </row>
    <row r="18" spans="2:33">
      <c r="B18" s="21" t="s">
        <v>36</v>
      </c>
      <c r="C18" s="24">
        <f>IF(C$10&lt;&gt;0,C17/C$10,0)</f>
        <v>0.22752463667229578</v>
      </c>
      <c r="E18" s="12" t="s">
        <v>39</v>
      </c>
      <c r="F18" s="31">
        <v>0.3</v>
      </c>
      <c r="G18" s="12" t="s">
        <v>40</v>
      </c>
      <c r="H18" s="14">
        <f>IF(F$8&lt;&gt;0,H17/F$10,0)</f>
        <v>0.29782588613138689</v>
      </c>
      <c r="J18" s="12" t="s">
        <v>39</v>
      </c>
      <c r="K18" s="31">
        <v>0.2</v>
      </c>
      <c r="L18" s="12" t="s">
        <v>40</v>
      </c>
      <c r="M18" s="14">
        <f>IF(K$8&lt;&gt;0,M17/K$10,0)</f>
        <v>0.19743188085106383</v>
      </c>
      <c r="O18" s="12" t="s">
        <v>39</v>
      </c>
      <c r="P18" s="31">
        <v>0.3</v>
      </c>
      <c r="Q18" s="12" t="s">
        <v>40</v>
      </c>
      <c r="R18" s="14">
        <f>IF(P$8&lt;&gt;0,R17/P$10,0)</f>
        <v>0.29725689696969698</v>
      </c>
      <c r="T18" s="12" t="s">
        <v>39</v>
      </c>
      <c r="U18" s="31">
        <v>0.2</v>
      </c>
      <c r="V18" s="12" t="s">
        <v>40</v>
      </c>
      <c r="W18" s="14">
        <f>IF(U$8&lt;&gt;0,W17/U$10,0)</f>
        <v>0.19788063814080656</v>
      </c>
      <c r="Y18" s="12" t="s">
        <v>39</v>
      </c>
      <c r="Z18" s="31">
        <v>0.15</v>
      </c>
      <c r="AA18" s="12" t="s">
        <v>40</v>
      </c>
      <c r="AB18" s="14">
        <f>IF(Z$8&lt;&gt;0,AB17/Z$10,0)</f>
        <v>0.14753878150851582</v>
      </c>
      <c r="AD18" s="12" t="s">
        <v>39</v>
      </c>
      <c r="AE18" s="31">
        <v>0.15</v>
      </c>
      <c r="AF18" s="12" t="s">
        <v>40</v>
      </c>
      <c r="AG18" s="14">
        <f>IF(AE$8&lt;&gt;0,AG17/AE$10,0)</f>
        <v>0.14746756175710593</v>
      </c>
    </row>
    <row r="19" spans="2:33">
      <c r="B19" s="21" t="s">
        <v>33</v>
      </c>
      <c r="C19" s="29">
        <f>SUM(H19,M19,R19,W19,AB19)</f>
        <v>80424.593743999998</v>
      </c>
      <c r="E19" s="12" t="s">
        <v>27</v>
      </c>
      <c r="F19" s="26">
        <f>(1+F20)*F$5</f>
        <v>411</v>
      </c>
      <c r="G19" s="12" t="s">
        <v>33</v>
      </c>
      <c r="H19" s="26">
        <f>IF(ISNUMBER(F19),(F20)*F$10-H$27*2,0)</f>
        <v>27280.858560000001</v>
      </c>
      <c r="J19" s="12" t="s">
        <v>27</v>
      </c>
      <c r="K19" s="26">
        <f>(1+K20)*K$5</f>
        <v>244.4</v>
      </c>
      <c r="L19" s="12" t="s">
        <v>33</v>
      </c>
      <c r="M19" s="26">
        <f>IF(ISNUMBER(K19),(K20)*K$10-M$27*2,0)</f>
        <v>11183.43872</v>
      </c>
      <c r="O19" s="12" t="s">
        <v>27</v>
      </c>
      <c r="P19" s="26">
        <f>(1+P20)*P$5</f>
        <v>247.5</v>
      </c>
      <c r="Q19" s="12" t="s">
        <v>33</v>
      </c>
      <c r="R19" s="26">
        <f>IF(ISNUMBER(P19),(P20)*P$10-R$27*2,0)</f>
        <v>16409.477599999998</v>
      </c>
      <c r="T19" s="12" t="s">
        <v>27</v>
      </c>
      <c r="U19" s="26">
        <f>(1+U20)*U$5</f>
        <v>9.879999999999999</v>
      </c>
      <c r="V19" s="12" t="s">
        <v>33</v>
      </c>
      <c r="W19" s="26">
        <f>IF(ISNUMBER(U19),(U20)*U$10-W$27*2,0)</f>
        <v>17431.974944000001</v>
      </c>
      <c r="Y19" s="12" t="s">
        <v>27</v>
      </c>
      <c r="Z19" s="26">
        <f>(1+Z20)*Z$5</f>
        <v>164.4</v>
      </c>
      <c r="AA19" s="12" t="s">
        <v>33</v>
      </c>
      <c r="AB19" s="26">
        <f>IF(ISNUMBER(Z19),(Z20)*Z$10-AB$27*2,0)</f>
        <v>8118.8439200000003</v>
      </c>
      <c r="AD19" s="12" t="s">
        <v>27</v>
      </c>
      <c r="AE19" s="26">
        <f>(1+AE20)*AE$5</f>
        <v>15.48</v>
      </c>
      <c r="AF19" s="12" t="s">
        <v>33</v>
      </c>
      <c r="AG19" s="26">
        <f>IF(ISNUMBER(AE19),(AE20)*AE$10-AG$27*2,0)</f>
        <v>7641.9946399999999</v>
      </c>
    </row>
    <row r="20" spans="2:33">
      <c r="B20" s="21" t="s">
        <v>36</v>
      </c>
      <c r="C20" s="24">
        <f>IF(C$10&lt;&gt;0,C19/C$10,0)</f>
        <v>0.35741086900719937</v>
      </c>
      <c r="E20" s="12" t="s">
        <v>41</v>
      </c>
      <c r="F20" s="31">
        <v>0.5</v>
      </c>
      <c r="G20" s="12" t="s">
        <v>42</v>
      </c>
      <c r="H20" s="14">
        <f>IF(F$8&lt;&gt;0,H19/F$10,0)</f>
        <v>0.4978258861313869</v>
      </c>
      <c r="J20" s="12" t="s">
        <v>41</v>
      </c>
      <c r="K20" s="31">
        <v>0.3</v>
      </c>
      <c r="L20" s="12" t="s">
        <v>42</v>
      </c>
      <c r="M20" s="14">
        <f>IF(K$8&lt;&gt;0,M19/K$10,0)</f>
        <v>0.29743188085106381</v>
      </c>
      <c r="O20" s="12" t="s">
        <v>41</v>
      </c>
      <c r="P20" s="31">
        <v>0.5</v>
      </c>
      <c r="Q20" s="12" t="s">
        <v>42</v>
      </c>
      <c r="R20" s="14">
        <f>IF(P$8&lt;&gt;0,R19/P$10,0)</f>
        <v>0.49725689696969694</v>
      </c>
      <c r="T20" s="12" t="s">
        <v>41</v>
      </c>
      <c r="U20" s="31">
        <v>0.3</v>
      </c>
      <c r="V20" s="12" t="s">
        <v>42</v>
      </c>
      <c r="W20" s="14">
        <f>IF(U$8&lt;&gt;0,W19/U$10,0)</f>
        <v>0.29788063814080656</v>
      </c>
      <c r="Y20" s="12" t="s">
        <v>41</v>
      </c>
      <c r="Z20" s="31">
        <v>0.2</v>
      </c>
      <c r="AA20" s="12" t="s">
        <v>42</v>
      </c>
      <c r="AB20" s="14">
        <f>IF(Z$8&lt;&gt;0,AB19/Z$10,0)</f>
        <v>0.19753878150851581</v>
      </c>
      <c r="AD20" s="12" t="s">
        <v>41</v>
      </c>
      <c r="AE20" s="31">
        <v>0.2</v>
      </c>
      <c r="AF20" s="12" t="s">
        <v>42</v>
      </c>
      <c r="AG20" s="14">
        <f>IF(AE$8&lt;&gt;0,AG19/AE$10,0)</f>
        <v>0.19746756175710595</v>
      </c>
    </row>
    <row r="21" spans="2:33">
      <c r="B21" s="21"/>
      <c r="C21" s="20"/>
      <c r="E21" s="12" t="s">
        <v>62</v>
      </c>
      <c r="F21" s="27">
        <v>1</v>
      </c>
      <c r="G21" s="12" t="s">
        <v>503</v>
      </c>
      <c r="H21" s="26" t="e">
        <f ca="1">OptionPrice(LEFT(G3),H3,F4,H4,H2,H8,H9)</f>
        <v>#VALUE!</v>
      </c>
      <c r="J21" s="12" t="s">
        <v>62</v>
      </c>
      <c r="K21" s="27">
        <v>1</v>
      </c>
      <c r="L21" s="12" t="s">
        <v>503</v>
      </c>
      <c r="M21" s="26" t="e">
        <f ca="1">OptionPrice(LEFT(L3),M3,K4,M4,M2,M8,M9)</f>
        <v>#VALUE!</v>
      </c>
      <c r="O21" s="12" t="s">
        <v>62</v>
      </c>
      <c r="P21" s="27">
        <v>1</v>
      </c>
      <c r="Q21" s="12" t="s">
        <v>503</v>
      </c>
      <c r="R21" s="26" t="e">
        <f ca="1">OptionPrice(LEFT(Q3),R3,P4,R4,R2,R8,R9)</f>
        <v>#VALUE!</v>
      </c>
      <c r="T21" s="12" t="s">
        <v>62</v>
      </c>
      <c r="U21" s="27">
        <v>1</v>
      </c>
      <c r="V21" s="12" t="s">
        <v>503</v>
      </c>
      <c r="W21" s="26" t="e">
        <f ca="1">OptionPrice(LEFT(V3),W3,U4,W4,W2,W8,W9)</f>
        <v>#VALUE!</v>
      </c>
      <c r="Y21" s="12" t="s">
        <v>62</v>
      </c>
      <c r="Z21" s="27">
        <v>1</v>
      </c>
      <c r="AA21" s="12" t="s">
        <v>503</v>
      </c>
      <c r="AB21" s="26">
        <f>OptionPrice(LEFT(AA3),AB3,Z4,AB4,AB2,AB8,AB9)</f>
        <v>0</v>
      </c>
      <c r="AD21" s="12" t="s">
        <v>62</v>
      </c>
      <c r="AE21" s="27">
        <v>1</v>
      </c>
      <c r="AF21" s="12" t="s">
        <v>503</v>
      </c>
      <c r="AG21" s="26">
        <f>OptionPrice(LEFT(AF3),AG3,AE4,AG4,AG2,AG8,AG9)</f>
        <v>0</v>
      </c>
    </row>
    <row r="22" spans="2:33">
      <c r="B22" s="21"/>
      <c r="C22" s="20"/>
      <c r="E22" s="12" t="s">
        <v>58</v>
      </c>
      <c r="F22" s="27"/>
      <c r="G22" s="12" t="s">
        <v>500</v>
      </c>
      <c r="H22" s="14" t="e">
        <f>OptionDelta(LEFT(G3),H3,F4,H4,H2,H8,H9)</f>
        <v>#VALUE!</v>
      </c>
      <c r="J22" s="12" t="s">
        <v>58</v>
      </c>
      <c r="K22" s="27"/>
      <c r="L22" s="12" t="s">
        <v>500</v>
      </c>
      <c r="M22" s="14" t="e">
        <f>OptionDelta(LEFT(L3),M3,K4,M4,M2,M8,M9)</f>
        <v>#VALUE!</v>
      </c>
      <c r="O22" s="12" t="s">
        <v>58</v>
      </c>
      <c r="P22" s="27"/>
      <c r="Q22" s="12" t="s">
        <v>500</v>
      </c>
      <c r="R22" s="14" t="e">
        <f ca="1">OptionDelta(LEFT(Q3),R3,P4,R4,R2,R8,R9)</f>
        <v>#VALUE!</v>
      </c>
      <c r="T22" s="12" t="s">
        <v>58</v>
      </c>
      <c r="U22" s="27"/>
      <c r="V22" s="12" t="s">
        <v>500</v>
      </c>
      <c r="W22" s="14" t="e">
        <f ca="1">OptionDelta(LEFT(V3),W3,U4,W4,W2,W8,W9)</f>
        <v>#VALUE!</v>
      </c>
      <c r="Y22" s="12" t="s">
        <v>58</v>
      </c>
      <c r="Z22" s="27"/>
      <c r="AA22" s="12" t="s">
        <v>500</v>
      </c>
      <c r="AB22" s="14">
        <f>OptionDelta(LEFT(AA3),AB3,Z4,AB4,AB2,AB8,AB9)</f>
        <v>0</v>
      </c>
      <c r="AD22" s="12" t="s">
        <v>58</v>
      </c>
      <c r="AE22" s="27"/>
      <c r="AF22" s="12" t="s">
        <v>500</v>
      </c>
      <c r="AG22" s="14">
        <f>OptionDelta(LEFT(AF3),AG3,AE4,AG4,AG2,AG8,AG9)</f>
        <v>0</v>
      </c>
    </row>
    <row r="23" spans="2:33">
      <c r="B23" s="21"/>
      <c r="C23" s="20"/>
      <c r="E23" s="12" t="s">
        <v>59</v>
      </c>
      <c r="F23" s="17">
        <f>(1-F22/F$21)</f>
        <v>1</v>
      </c>
      <c r="G23" s="12" t="s">
        <v>75</v>
      </c>
      <c r="H23" s="26" t="e">
        <f ca="1">OptionTheta(LEFT(G3),H3,F4,H4,H2,H8,H9)</f>
        <v>#VALUE!</v>
      </c>
      <c r="J23" s="12" t="s">
        <v>59</v>
      </c>
      <c r="K23" s="17">
        <f>(1-K22/K$21)</f>
        <v>1</v>
      </c>
      <c r="L23" s="12" t="s">
        <v>75</v>
      </c>
      <c r="M23" s="26" t="e">
        <f ca="1">OptionTheta(LEFT(L3),M3,K4,M4,M2,M8,M9)</f>
        <v>#VALUE!</v>
      </c>
      <c r="O23" s="12" t="s">
        <v>59</v>
      </c>
      <c r="P23" s="17">
        <f>(1-P22/P$21)</f>
        <v>1</v>
      </c>
      <c r="Q23" s="12" t="s">
        <v>75</v>
      </c>
      <c r="R23" s="26" t="e">
        <f ca="1">OptionTheta(LEFT(Q3),R3,P4,R4,R2,R8,R9)</f>
        <v>#VALUE!</v>
      </c>
      <c r="T23" s="12" t="s">
        <v>59</v>
      </c>
      <c r="U23" s="17">
        <f>(1-U22/U$21)</f>
        <v>1</v>
      </c>
      <c r="V23" s="12" t="s">
        <v>75</v>
      </c>
      <c r="W23" s="26" t="e">
        <f ca="1">OptionTheta(LEFT(V3),W3,U4,W4,W2,W8,W9)</f>
        <v>#VALUE!</v>
      </c>
      <c r="Y23" s="12" t="s">
        <v>59</v>
      </c>
      <c r="Z23" s="17">
        <f>(1-Z22/Z$21)</f>
        <v>1</v>
      </c>
      <c r="AA23" s="12" t="s">
        <v>75</v>
      </c>
      <c r="AB23" s="26">
        <f>OptionTheta(LEFT(AA3),AB3,Z4,AB4,AB2,AB8,AB9)</f>
        <v>0</v>
      </c>
      <c r="AD23" s="12" t="s">
        <v>59</v>
      </c>
      <c r="AE23" s="17">
        <f>(1-AE22/AE$21)</f>
        <v>1</v>
      </c>
      <c r="AF23" s="12" t="s">
        <v>75</v>
      </c>
      <c r="AG23" s="26">
        <f>OptionTheta(LEFT(AF3),AG3,AE4,AG4,AG2,AG8,AG9)</f>
        <v>0</v>
      </c>
    </row>
    <row r="24" spans="2:33">
      <c r="B24" s="21"/>
      <c r="C24" s="20"/>
      <c r="E24" s="12" t="s">
        <v>60</v>
      </c>
      <c r="F24" s="27"/>
      <c r="G24" s="12" t="s">
        <v>77</v>
      </c>
      <c r="H24" s="14" t="e">
        <f>OptionGamma(H3,F4,H4,H2,H8,H9)</f>
        <v>#VALUE!</v>
      </c>
      <c r="J24" s="12" t="s">
        <v>60</v>
      </c>
      <c r="K24" s="27"/>
      <c r="L24" s="12" t="s">
        <v>77</v>
      </c>
      <c r="M24" s="14" t="e">
        <f>OptionGamma(M3,K4,M4,M2,M8,M9)</f>
        <v>#VALUE!</v>
      </c>
      <c r="O24" s="12" t="s">
        <v>60</v>
      </c>
      <c r="P24" s="27"/>
      <c r="Q24" s="12" t="s">
        <v>77</v>
      </c>
      <c r="R24" s="14" t="e">
        <f ca="1">OptionGamma(R3,P4,R4,R2,R8,R9)</f>
        <v>#VALUE!</v>
      </c>
      <c r="T24" s="12" t="s">
        <v>60</v>
      </c>
      <c r="U24" s="27"/>
      <c r="V24" s="12" t="s">
        <v>77</v>
      </c>
      <c r="W24" s="14" t="e">
        <f ca="1">OptionGamma(W3,U4,W4,W2,W8,W9)</f>
        <v>#VALUE!</v>
      </c>
      <c r="Y24" s="12" t="s">
        <v>60</v>
      </c>
      <c r="Z24" s="27"/>
      <c r="AA24" s="12" t="s">
        <v>77</v>
      </c>
      <c r="AB24" s="14" t="e">
        <f>OptionGamma(AB3,Z4,AB4,AB2,AB8,AB9)</f>
        <v>#VALUE!</v>
      </c>
      <c r="AD24" s="12" t="s">
        <v>60</v>
      </c>
      <c r="AE24" s="27"/>
      <c r="AF24" s="12" t="s">
        <v>77</v>
      </c>
      <c r="AG24" s="14" t="e">
        <f>OptionGamma(AG3,AE4,AG4,AG2,AG8,AG9)</f>
        <v>#VALUE!</v>
      </c>
    </row>
    <row r="25" spans="2:33">
      <c r="B25" s="21"/>
      <c r="C25" s="20"/>
      <c r="E25" s="12" t="s">
        <v>61</v>
      </c>
      <c r="F25" s="17">
        <f>(1-F24/F$21)</f>
        <v>1</v>
      </c>
      <c r="G25" s="12" t="s">
        <v>537</v>
      </c>
      <c r="H25" s="14" t="e">
        <f ca="1">ImpliedVolatility(LEFT(G3),H3,F4,H2,H4,H9,G5,12%)</f>
        <v>#VALUE!</v>
      </c>
      <c r="J25" s="12" t="s">
        <v>61</v>
      </c>
      <c r="K25" s="17">
        <f>(1-K24/K$21)</f>
        <v>1</v>
      </c>
      <c r="L25" s="12" t="s">
        <v>537</v>
      </c>
      <c r="M25" s="14" t="e">
        <f ca="1">ImpliedVolatility(LEFT(L3),M3,K4,M2,M4,M9,L5,12%)</f>
        <v>#VALUE!</v>
      </c>
      <c r="O25" s="12" t="s">
        <v>61</v>
      </c>
      <c r="P25" s="17">
        <f>(1-P24/P$21)</f>
        <v>1</v>
      </c>
      <c r="Q25" s="12" t="s">
        <v>537</v>
      </c>
      <c r="R25" s="14" t="e">
        <f ca="1">ImpliedVolatility(LEFT(Q3),R3,P4,R2,R4,R9,Q5,12%)</f>
        <v>#VALUE!</v>
      </c>
      <c r="T25" s="12" t="s">
        <v>61</v>
      </c>
      <c r="U25" s="17">
        <f>(1-U24/U$21)</f>
        <v>1</v>
      </c>
      <c r="V25" s="12" t="s">
        <v>537</v>
      </c>
      <c r="W25" s="14" t="e">
        <f ca="1">ImpliedVolatility(LEFT(V3),W3,U4,W2,W4,W9,V5,12%)</f>
        <v>#VALUE!</v>
      </c>
      <c r="Y25" s="12" t="s">
        <v>61</v>
      </c>
      <c r="Z25" s="17">
        <f>(1-Z24/Z$21)</f>
        <v>1</v>
      </c>
      <c r="AA25" s="12" t="s">
        <v>537</v>
      </c>
      <c r="AB25" s="14">
        <f>ImpliedVolatility(LEFT(AA3),AB3,Z4,AB2,AB4,AB9,AA5,12%)</f>
        <v>0.12</v>
      </c>
      <c r="AD25" s="12" t="s">
        <v>61</v>
      </c>
      <c r="AE25" s="17">
        <f>(1-AE24/AE$21)</f>
        <v>1</v>
      </c>
      <c r="AF25" s="12" t="s">
        <v>537</v>
      </c>
      <c r="AG25" s="14">
        <f>ImpliedVolatility(LEFT(AF3),AG3,AE4,AG2,AG4,AG9,AF5,12%)</f>
        <v>0.12</v>
      </c>
    </row>
    <row r="26" spans="2:33">
      <c r="B26" s="19"/>
      <c r="C26" s="20"/>
      <c r="E26" s="12" t="s">
        <v>5</v>
      </c>
      <c r="F26" s="28">
        <f>IF(F8&lt;&gt;0,20,0)</f>
        <v>20</v>
      </c>
      <c r="G26" s="12"/>
      <c r="H26" s="13"/>
      <c r="J26" s="12" t="s">
        <v>5</v>
      </c>
      <c r="K26" s="28">
        <f>IF(K8&lt;&gt;0,20,0)</f>
        <v>20</v>
      </c>
      <c r="L26" s="12"/>
      <c r="M26" s="13"/>
      <c r="O26" s="12" t="s">
        <v>5</v>
      </c>
      <c r="P26" s="28">
        <f>IF(P8&lt;&gt;0,20,0)</f>
        <v>20</v>
      </c>
      <c r="Q26" s="12"/>
      <c r="R26" s="13"/>
      <c r="T26" s="12" t="s">
        <v>5</v>
      </c>
      <c r="U26" s="28">
        <f>IF(U8&lt;&gt;0,20,0)</f>
        <v>20</v>
      </c>
      <c r="V26" s="12"/>
      <c r="W26" s="13"/>
      <c r="Y26" s="12" t="s">
        <v>5</v>
      </c>
      <c r="Z26" s="28">
        <f>IF(Z8&lt;&gt;0,20,0)</f>
        <v>20</v>
      </c>
      <c r="AA26" s="12"/>
      <c r="AB26" s="13"/>
      <c r="AD26" s="12" t="s">
        <v>5</v>
      </c>
      <c r="AE26" s="28">
        <f>IF(AE8&lt;&gt;0,20,0)</f>
        <v>20</v>
      </c>
      <c r="AF26" s="12"/>
      <c r="AG26" s="13"/>
    </row>
    <row r="27" spans="2:33">
      <c r="B27" s="19" t="s">
        <v>64</v>
      </c>
      <c r="C27" s="26">
        <f>SUM(H27,M27,R27,W27,AB27)</f>
        <v>265.70312799999999</v>
      </c>
      <c r="E27" s="12" t="s">
        <v>14</v>
      </c>
      <c r="F27" s="28">
        <f>0.053%*F$10</f>
        <v>29.044</v>
      </c>
      <c r="G27" s="12" t="s">
        <v>53</v>
      </c>
      <c r="H27" s="26">
        <f>SUM(F$26:F$31)</f>
        <v>59.570719999999994</v>
      </c>
      <c r="J27" s="12" t="s">
        <v>14</v>
      </c>
      <c r="K27" s="28">
        <f>0.053%*K$10</f>
        <v>19.928000000000001</v>
      </c>
      <c r="L27" s="12" t="s">
        <v>53</v>
      </c>
      <c r="M27" s="26">
        <f>SUM(K$26:K$31)</f>
        <v>48.280639999999991</v>
      </c>
      <c r="O27" s="12" t="s">
        <v>14</v>
      </c>
      <c r="P27" s="28">
        <f>0.053%*P$10</f>
        <v>17.489999999999998</v>
      </c>
      <c r="Q27" s="12" t="s">
        <v>53</v>
      </c>
      <c r="R27" s="26">
        <f>SUM(P$26:P$31)</f>
        <v>45.261199999999995</v>
      </c>
      <c r="T27" s="12" t="s">
        <v>14</v>
      </c>
      <c r="U27" s="28">
        <f>0.053%*U$10</f>
        <v>31.015599999999999</v>
      </c>
      <c r="V27" s="12" t="s">
        <v>53</v>
      </c>
      <c r="W27" s="26">
        <f>SUM(U$26:U$31)</f>
        <v>62.012528000000003</v>
      </c>
      <c r="Y27" s="12" t="s">
        <v>14</v>
      </c>
      <c r="Z27" s="28">
        <f>0.053%*Z$10</f>
        <v>21.782999999999998</v>
      </c>
      <c r="AA27" s="12" t="s">
        <v>53</v>
      </c>
      <c r="AB27" s="26">
        <f>SUM(Z$26:Z$31)</f>
        <v>50.578039999999994</v>
      </c>
      <c r="AD27" s="12" t="s">
        <v>14</v>
      </c>
      <c r="AE27" s="28">
        <f>0.053%*AE$10</f>
        <v>20.510999999999999</v>
      </c>
      <c r="AF27" s="12" t="s">
        <v>53</v>
      </c>
      <c r="AG27" s="26">
        <f>SUM(AE$26:AE$31)</f>
        <v>49.002679999999991</v>
      </c>
    </row>
    <row r="28" spans="2:33">
      <c r="B28" s="19"/>
      <c r="C28" s="20"/>
      <c r="E28" s="12" t="s">
        <v>9</v>
      </c>
      <c r="F28" s="28">
        <f>18%*(F26+F27)</f>
        <v>8.8279199999999989</v>
      </c>
      <c r="G28" s="12"/>
      <c r="H28" s="13"/>
      <c r="J28" s="12" t="s">
        <v>9</v>
      </c>
      <c r="K28" s="28">
        <f>18%*(K26+K27)</f>
        <v>7.1870399999999997</v>
      </c>
      <c r="L28" s="12"/>
      <c r="M28" s="13"/>
      <c r="O28" s="12" t="s">
        <v>9</v>
      </c>
      <c r="P28" s="28">
        <f>18%*(P26+P27)</f>
        <v>6.7481999999999989</v>
      </c>
      <c r="Q28" s="12"/>
      <c r="R28" s="13"/>
      <c r="T28" s="12" t="s">
        <v>9</v>
      </c>
      <c r="U28" s="28">
        <f>18%*(U26+U27)</f>
        <v>9.1828079999999996</v>
      </c>
      <c r="V28" s="12"/>
      <c r="W28" s="13"/>
      <c r="Y28" s="12" t="s">
        <v>9</v>
      </c>
      <c r="Z28" s="28">
        <f>18%*(Z26+Z27)</f>
        <v>7.5209399999999995</v>
      </c>
      <c r="AA28" s="12"/>
      <c r="AB28" s="13"/>
      <c r="AD28" s="12" t="s">
        <v>9</v>
      </c>
      <c r="AE28" s="28">
        <f>18%*(AE26+AE27)</f>
        <v>7.2919799999999988</v>
      </c>
      <c r="AF28" s="12"/>
      <c r="AG28" s="13"/>
    </row>
    <row r="29" spans="2:33">
      <c r="B29" s="19"/>
      <c r="C29" s="20"/>
      <c r="E29" s="12" t="s">
        <v>10</v>
      </c>
      <c r="F29" s="28">
        <f>0.05%*F$10*(IF(F$2="B",0,1))</f>
        <v>0</v>
      </c>
      <c r="G29" s="12"/>
      <c r="H29" s="13"/>
      <c r="J29" s="12" t="s">
        <v>10</v>
      </c>
      <c r="K29" s="28">
        <f>0.05%*K$10*(IF(K$2="B",0,1))</f>
        <v>0</v>
      </c>
      <c r="L29" s="12"/>
      <c r="M29" s="13"/>
      <c r="O29" s="12" t="s">
        <v>10</v>
      </c>
      <c r="P29" s="28">
        <f>0.05%*P$10*(IF(P$2="B",0,1))</f>
        <v>0</v>
      </c>
      <c r="Q29" s="12"/>
      <c r="R29" s="13"/>
      <c r="T29" s="12" t="s">
        <v>10</v>
      </c>
      <c r="U29" s="28">
        <f>0.05%*U$10*(IF(U$2="B",0,1))</f>
        <v>0</v>
      </c>
      <c r="V29" s="12"/>
      <c r="W29" s="13"/>
      <c r="Y29" s="12" t="s">
        <v>10</v>
      </c>
      <c r="Z29" s="28">
        <f>0.05%*Z$10*(IF(Z$2="B",0,1))</f>
        <v>0</v>
      </c>
      <c r="AA29" s="12"/>
      <c r="AB29" s="13"/>
      <c r="AD29" s="12" t="s">
        <v>10</v>
      </c>
      <c r="AE29" s="28">
        <f>0.05%*AE$10*(IF(AE$2="B",0,1))</f>
        <v>0</v>
      </c>
      <c r="AF29" s="12"/>
      <c r="AG29" s="13"/>
    </row>
    <row r="30" spans="2:33">
      <c r="B30" s="19"/>
      <c r="C30" s="20"/>
      <c r="E30" s="12" t="s">
        <v>11</v>
      </c>
      <c r="F30" s="28">
        <f>10/10000000*F$10</f>
        <v>5.4799999999999995E-2</v>
      </c>
      <c r="G30" s="12"/>
      <c r="H30" s="13"/>
      <c r="J30" s="12" t="s">
        <v>11</v>
      </c>
      <c r="K30" s="28">
        <f>10/10000000*K$10</f>
        <v>3.7600000000000001E-2</v>
      </c>
      <c r="L30" s="12"/>
      <c r="M30" s="13"/>
      <c r="O30" s="12" t="s">
        <v>11</v>
      </c>
      <c r="P30" s="28">
        <f>10/10000000*P$10</f>
        <v>3.3000000000000002E-2</v>
      </c>
      <c r="Q30" s="12"/>
      <c r="R30" s="13"/>
      <c r="T30" s="12" t="s">
        <v>11</v>
      </c>
      <c r="U30" s="28">
        <f>10/10000000*U$10</f>
        <v>5.8519999999999996E-2</v>
      </c>
      <c r="V30" s="12"/>
      <c r="W30" s="13"/>
      <c r="Y30" s="12" t="s">
        <v>11</v>
      </c>
      <c r="Z30" s="28">
        <f>10/10000000*Z$10</f>
        <v>4.1099999999999998E-2</v>
      </c>
      <c r="AA30" s="12"/>
      <c r="AB30" s="13"/>
      <c r="AD30" s="12" t="s">
        <v>11</v>
      </c>
      <c r="AE30" s="28">
        <f>10/10000000*AE$10</f>
        <v>3.8699999999999998E-2</v>
      </c>
      <c r="AF30" s="12"/>
      <c r="AG30" s="13"/>
    </row>
    <row r="31" spans="2:33">
      <c r="B31" s="19"/>
      <c r="C31" s="20"/>
      <c r="E31" s="12" t="s">
        <v>12</v>
      </c>
      <c r="F31" s="28">
        <f>300/10000000*F$10*(IF(F$2="B",1,0))</f>
        <v>1.6440000000000001</v>
      </c>
      <c r="G31" s="12"/>
      <c r="H31" s="13"/>
      <c r="J31" s="12" t="s">
        <v>12</v>
      </c>
      <c r="K31" s="28">
        <f>300/10000000*K$10*(IF(K$2="B",1,0))</f>
        <v>1.1280000000000001</v>
      </c>
      <c r="L31" s="12"/>
      <c r="M31" s="13"/>
      <c r="O31" s="12" t="s">
        <v>12</v>
      </c>
      <c r="P31" s="28">
        <f>300/10000000*P$10*(IF(P$2="B",1,0))</f>
        <v>0.99</v>
      </c>
      <c r="Q31" s="12"/>
      <c r="R31" s="13"/>
      <c r="T31" s="12" t="s">
        <v>12</v>
      </c>
      <c r="U31" s="28">
        <f>300/10000000*U$10*(IF(U$2="B",1,0))</f>
        <v>1.7556</v>
      </c>
      <c r="V31" s="12"/>
      <c r="W31" s="13"/>
      <c r="Y31" s="12" t="s">
        <v>12</v>
      </c>
      <c r="Z31" s="28">
        <f>300/10000000*Z$10*(IF(Z$2="B",1,0))</f>
        <v>1.2330000000000001</v>
      </c>
      <c r="AA31" s="12"/>
      <c r="AB31" s="13"/>
      <c r="AD31" s="12" t="s">
        <v>12</v>
      </c>
      <c r="AE31" s="28">
        <f>300/10000000*AE$10*(IF(AE$2="B",1,0))</f>
        <v>1.161</v>
      </c>
      <c r="AF31" s="12"/>
      <c r="AG31" s="13"/>
    </row>
    <row r="33" spans="2:41">
      <c r="E33" s="18">
        <v>0.97</v>
      </c>
    </row>
    <row r="34" spans="2:41">
      <c r="D34" s="104">
        <v>3.0000000000000001E-3</v>
      </c>
      <c r="E34" s="104"/>
      <c r="H34" s="18"/>
      <c r="K34" s="30"/>
      <c r="M34" s="18"/>
      <c r="P34" s="30"/>
      <c r="R34" s="18"/>
      <c r="U34" s="30"/>
      <c r="W34" s="18"/>
      <c r="Z34" s="30"/>
      <c r="AB34" s="18"/>
    </row>
    <row r="35" spans="2:41">
      <c r="B35" s="22" t="s">
        <v>548</v>
      </c>
      <c r="C35" s="23" t="str">
        <f>H3</f>
        <v>AttributeError: 'float' object has no attribute 'upper'
    return True if code.upper() in index_list else False
  File "F:\Programs\lib\site-packages\nsetools\nse.py", line 321, in is_valid_index
    if self.is_valid_index(code):
  File "F:\Programs\lib\site-packages\nsetools\nse.py", line 332, in get_index_quote
    indexQuote = nse.get_index_quote(symbol)['lastPrice']
  File "f:\mrig analytics\development\mriganalytics\interface\..\mrigutilities.py", line 608, in getIndexQuote
    quote = mu.getIndexQuote(symbol)
  File "f:\mrig analytics\development\mriganalytics\interface\pyxcel.py", line 132, in mrigxl_getIndexQuote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D35" s="13" t="s">
        <v>79</v>
      </c>
      <c r="E35" s="109" t="e">
        <f>E33*C35</f>
        <v>#VALUE!</v>
      </c>
      <c r="F35" s="110" t="e">
        <f t="shared" ref="F35:AD35" si="0">E35*(1+$D$34)</f>
        <v>#VALUE!</v>
      </c>
      <c r="G35" s="110" t="e">
        <f t="shared" si="0"/>
        <v>#VALUE!</v>
      </c>
      <c r="H35" s="110" t="e">
        <f t="shared" si="0"/>
        <v>#VALUE!</v>
      </c>
      <c r="I35" s="110" t="e">
        <f t="shared" si="0"/>
        <v>#VALUE!</v>
      </c>
      <c r="J35" s="110" t="e">
        <f t="shared" si="0"/>
        <v>#VALUE!</v>
      </c>
      <c r="K35" s="110" t="e">
        <f t="shared" si="0"/>
        <v>#VALUE!</v>
      </c>
      <c r="L35" s="110" t="e">
        <f t="shared" si="0"/>
        <v>#VALUE!</v>
      </c>
      <c r="M35" s="110" t="e">
        <f t="shared" si="0"/>
        <v>#VALUE!</v>
      </c>
      <c r="N35" s="110" t="e">
        <f t="shared" si="0"/>
        <v>#VALUE!</v>
      </c>
      <c r="O35" s="110" t="e">
        <f t="shared" si="0"/>
        <v>#VALUE!</v>
      </c>
      <c r="P35" s="110" t="e">
        <f t="shared" si="0"/>
        <v>#VALUE!</v>
      </c>
      <c r="Q35" s="110" t="e">
        <f t="shared" si="0"/>
        <v>#VALUE!</v>
      </c>
      <c r="R35" s="110" t="e">
        <f t="shared" si="0"/>
        <v>#VALUE!</v>
      </c>
      <c r="S35" s="110" t="e">
        <f t="shared" si="0"/>
        <v>#VALUE!</v>
      </c>
      <c r="T35" s="110" t="e">
        <f t="shared" si="0"/>
        <v>#VALUE!</v>
      </c>
      <c r="U35" s="110" t="e">
        <f t="shared" si="0"/>
        <v>#VALUE!</v>
      </c>
      <c r="V35" s="110" t="e">
        <f t="shared" si="0"/>
        <v>#VALUE!</v>
      </c>
      <c r="W35" s="110" t="e">
        <f t="shared" si="0"/>
        <v>#VALUE!</v>
      </c>
      <c r="X35" s="110" t="e">
        <f t="shared" si="0"/>
        <v>#VALUE!</v>
      </c>
      <c r="Y35" s="110" t="e">
        <f t="shared" si="0"/>
        <v>#VALUE!</v>
      </c>
      <c r="Z35" s="110" t="e">
        <f t="shared" si="0"/>
        <v>#VALUE!</v>
      </c>
      <c r="AA35" s="110" t="e">
        <f t="shared" si="0"/>
        <v>#VALUE!</v>
      </c>
      <c r="AB35" s="110" t="e">
        <f t="shared" si="0"/>
        <v>#VALUE!</v>
      </c>
      <c r="AC35" s="110" t="e">
        <f t="shared" si="0"/>
        <v>#VALUE!</v>
      </c>
      <c r="AD35" s="110" t="e">
        <f t="shared" si="0"/>
        <v>#VALUE!</v>
      </c>
      <c r="AE35" s="110" t="e">
        <f t="shared" ref="AE35:AO35" si="1">AD35*(1+$D$34)</f>
        <v>#VALUE!</v>
      </c>
      <c r="AF35" s="110" t="e">
        <f t="shared" si="1"/>
        <v>#VALUE!</v>
      </c>
      <c r="AG35" s="110" t="e">
        <f t="shared" si="1"/>
        <v>#VALUE!</v>
      </c>
      <c r="AH35" s="110" t="e">
        <f t="shared" si="1"/>
        <v>#VALUE!</v>
      </c>
      <c r="AI35" s="110" t="e">
        <f t="shared" si="1"/>
        <v>#VALUE!</v>
      </c>
      <c r="AJ35" s="110" t="e">
        <f t="shared" si="1"/>
        <v>#VALUE!</v>
      </c>
      <c r="AK35" s="110" t="e">
        <f t="shared" si="1"/>
        <v>#VALUE!</v>
      </c>
      <c r="AL35" s="110" t="e">
        <f t="shared" si="1"/>
        <v>#VALUE!</v>
      </c>
      <c r="AM35" s="110" t="e">
        <f t="shared" si="1"/>
        <v>#VALUE!</v>
      </c>
      <c r="AN35" s="110" t="e">
        <f t="shared" si="1"/>
        <v>#VALUE!</v>
      </c>
      <c r="AO35" s="110" t="e">
        <f t="shared" si="1"/>
        <v>#VALUE!</v>
      </c>
    </row>
    <row r="36" spans="2:41">
      <c r="B36" s="22" t="s">
        <v>543</v>
      </c>
      <c r="C36" s="23">
        <v>-1</v>
      </c>
      <c r="D36" s="114">
        <f ca="1">WORKDAY(TODAY(),0)</f>
        <v>44756</v>
      </c>
      <c r="E36" s="127" t="e">
        <f>E35/$C$35-1</f>
        <v>#VALUE!</v>
      </c>
      <c r="F36" s="127" t="e">
        <f t="shared" ref="F36:AO36" si="2">F35/$C$35-1</f>
        <v>#VALUE!</v>
      </c>
      <c r="G36" s="127" t="e">
        <f t="shared" si="2"/>
        <v>#VALUE!</v>
      </c>
      <c r="H36" s="127" t="e">
        <f t="shared" si="2"/>
        <v>#VALUE!</v>
      </c>
      <c r="I36" s="127" t="e">
        <f t="shared" si="2"/>
        <v>#VALUE!</v>
      </c>
      <c r="J36" s="127" t="e">
        <f t="shared" si="2"/>
        <v>#VALUE!</v>
      </c>
      <c r="K36" s="127" t="e">
        <f t="shared" si="2"/>
        <v>#VALUE!</v>
      </c>
      <c r="L36" s="127" t="e">
        <f t="shared" si="2"/>
        <v>#VALUE!</v>
      </c>
      <c r="M36" s="127" t="e">
        <f t="shared" si="2"/>
        <v>#VALUE!</v>
      </c>
      <c r="N36" s="127" t="e">
        <f t="shared" si="2"/>
        <v>#VALUE!</v>
      </c>
      <c r="O36" s="127" t="e">
        <f t="shared" si="2"/>
        <v>#VALUE!</v>
      </c>
      <c r="P36" s="127" t="e">
        <f t="shared" si="2"/>
        <v>#VALUE!</v>
      </c>
      <c r="Q36" s="127" t="e">
        <f t="shared" si="2"/>
        <v>#VALUE!</v>
      </c>
      <c r="R36" s="127" t="e">
        <f t="shared" si="2"/>
        <v>#VALUE!</v>
      </c>
      <c r="S36" s="127" t="e">
        <f t="shared" si="2"/>
        <v>#VALUE!</v>
      </c>
      <c r="T36" s="127" t="e">
        <f t="shared" si="2"/>
        <v>#VALUE!</v>
      </c>
      <c r="U36" s="127" t="e">
        <f t="shared" si="2"/>
        <v>#VALUE!</v>
      </c>
      <c r="V36" s="127" t="e">
        <f t="shared" si="2"/>
        <v>#VALUE!</v>
      </c>
      <c r="W36" s="127" t="e">
        <f t="shared" si="2"/>
        <v>#VALUE!</v>
      </c>
      <c r="X36" s="127" t="e">
        <f t="shared" si="2"/>
        <v>#VALUE!</v>
      </c>
      <c r="Y36" s="127" t="e">
        <f t="shared" si="2"/>
        <v>#VALUE!</v>
      </c>
      <c r="Z36" s="127" t="e">
        <f t="shared" si="2"/>
        <v>#VALUE!</v>
      </c>
      <c r="AA36" s="127" t="e">
        <f t="shared" si="2"/>
        <v>#VALUE!</v>
      </c>
      <c r="AB36" s="127" t="e">
        <f t="shared" si="2"/>
        <v>#VALUE!</v>
      </c>
      <c r="AC36" s="127" t="e">
        <f t="shared" si="2"/>
        <v>#VALUE!</v>
      </c>
      <c r="AD36" s="127" t="e">
        <f t="shared" si="2"/>
        <v>#VALUE!</v>
      </c>
      <c r="AE36" s="127" t="e">
        <f t="shared" si="2"/>
        <v>#VALUE!</v>
      </c>
      <c r="AF36" s="127" t="e">
        <f t="shared" si="2"/>
        <v>#VALUE!</v>
      </c>
      <c r="AG36" s="127" t="e">
        <f t="shared" si="2"/>
        <v>#VALUE!</v>
      </c>
      <c r="AH36" s="127" t="e">
        <f t="shared" si="2"/>
        <v>#VALUE!</v>
      </c>
      <c r="AI36" s="127" t="e">
        <f t="shared" si="2"/>
        <v>#VALUE!</v>
      </c>
      <c r="AJ36" s="127" t="e">
        <f t="shared" si="2"/>
        <v>#VALUE!</v>
      </c>
      <c r="AK36" s="127" t="e">
        <f t="shared" si="2"/>
        <v>#VALUE!</v>
      </c>
      <c r="AL36" s="127" t="e">
        <f t="shared" si="2"/>
        <v>#VALUE!</v>
      </c>
      <c r="AM36" s="127" t="e">
        <f t="shared" si="2"/>
        <v>#VALUE!</v>
      </c>
      <c r="AN36" s="127" t="e">
        <f t="shared" si="2"/>
        <v>#VALUE!</v>
      </c>
      <c r="AO36" s="127" t="e">
        <f t="shared" si="2"/>
        <v>#VALUE!</v>
      </c>
    </row>
    <row r="37" spans="2:41">
      <c r="B37" s="22" t="s">
        <v>22</v>
      </c>
      <c r="C37" s="23">
        <v>18600</v>
      </c>
      <c r="D37" s="111">
        <f ca="1">D36</f>
        <v>44756</v>
      </c>
      <c r="E37" s="115">
        <f ca="1">IFERROR((OptionPrice(LEFT($C$42),E$35,$C$37,($C$38-$D37+1)/365,$C$39,$C$41,$C$40)-$C$43)*$C$44,0)</f>
        <v>0</v>
      </c>
      <c r="F37" s="115">
        <f t="shared" ref="F37:U52" ca="1" si="3">IFERROR((OptionPrice(LEFT($C$42),F$35,$C$37,($C$38-$D37+1)/365,$C$39,$C$41,$C$40)-$C$43)*$C$44,0)</f>
        <v>0</v>
      </c>
      <c r="G37" s="115">
        <f t="shared" ca="1" si="3"/>
        <v>0</v>
      </c>
      <c r="H37" s="115">
        <f t="shared" ca="1" si="3"/>
        <v>0</v>
      </c>
      <c r="I37" s="115">
        <f t="shared" ca="1" si="3"/>
        <v>0</v>
      </c>
      <c r="J37" s="115">
        <f t="shared" ca="1" si="3"/>
        <v>0</v>
      </c>
      <c r="K37" s="115">
        <f t="shared" ca="1" si="3"/>
        <v>0</v>
      </c>
      <c r="L37" s="115">
        <f t="shared" ca="1" si="3"/>
        <v>0</v>
      </c>
      <c r="M37" s="115">
        <f t="shared" ca="1" si="3"/>
        <v>0</v>
      </c>
      <c r="N37" s="115">
        <f t="shared" ca="1" si="3"/>
        <v>0</v>
      </c>
      <c r="O37" s="115">
        <f t="shared" ca="1" si="3"/>
        <v>0</v>
      </c>
      <c r="P37" s="115">
        <f t="shared" ca="1" si="3"/>
        <v>0</v>
      </c>
      <c r="Q37" s="115">
        <f t="shared" ca="1" si="3"/>
        <v>0</v>
      </c>
      <c r="R37" s="115">
        <f t="shared" ca="1" si="3"/>
        <v>0</v>
      </c>
      <c r="S37" s="115">
        <f t="shared" ca="1" si="3"/>
        <v>0</v>
      </c>
      <c r="T37" s="115">
        <f t="shared" ca="1" si="3"/>
        <v>0</v>
      </c>
      <c r="U37" s="115">
        <f t="shared" ca="1" si="3"/>
        <v>0</v>
      </c>
      <c r="V37" s="115">
        <f t="shared" ref="V37:AK52" ca="1" si="4">IFERROR((OptionPrice(LEFT($C$42),V$35,$C$37,($C$38-$D37+1)/365,$C$39,$C$41,$C$40)-$C$43)*$C$44,0)</f>
        <v>0</v>
      </c>
      <c r="W37" s="115">
        <f t="shared" ca="1" si="4"/>
        <v>0</v>
      </c>
      <c r="X37" s="115">
        <f t="shared" ca="1" si="4"/>
        <v>0</v>
      </c>
      <c r="Y37" s="115">
        <f t="shared" ca="1" si="4"/>
        <v>0</v>
      </c>
      <c r="Z37" s="115">
        <f t="shared" ca="1" si="4"/>
        <v>0</v>
      </c>
      <c r="AA37" s="115">
        <f t="shared" ca="1" si="4"/>
        <v>0</v>
      </c>
      <c r="AB37" s="115">
        <f t="shared" ca="1" si="4"/>
        <v>0</v>
      </c>
      <c r="AC37" s="115">
        <f t="shared" ca="1" si="4"/>
        <v>0</v>
      </c>
      <c r="AD37" s="115">
        <f t="shared" ca="1" si="4"/>
        <v>0</v>
      </c>
      <c r="AE37" s="115">
        <f t="shared" ca="1" si="4"/>
        <v>0</v>
      </c>
      <c r="AF37" s="115">
        <f t="shared" ca="1" si="4"/>
        <v>0</v>
      </c>
      <c r="AG37" s="115">
        <f t="shared" ca="1" si="4"/>
        <v>0</v>
      </c>
      <c r="AH37" s="115">
        <f t="shared" ca="1" si="4"/>
        <v>0</v>
      </c>
      <c r="AI37" s="115">
        <f t="shared" ca="1" si="4"/>
        <v>0</v>
      </c>
      <c r="AJ37" s="115">
        <f t="shared" ca="1" si="4"/>
        <v>0</v>
      </c>
      <c r="AK37" s="115">
        <f t="shared" ca="1" si="4"/>
        <v>0</v>
      </c>
      <c r="AL37" s="115">
        <f t="shared" ref="AL37:AO68" ca="1" si="5">IFERROR((OptionPrice(LEFT($C$42),AL$35,$C$37,($C$38-$D37+1)/365,$C$39,$C$41,$C$40)-$C$43)*$C$44,0)</f>
        <v>0</v>
      </c>
      <c r="AM37" s="115">
        <f t="shared" ca="1" si="5"/>
        <v>0</v>
      </c>
      <c r="AN37" s="115">
        <f t="shared" ca="1" si="5"/>
        <v>0</v>
      </c>
      <c r="AO37" s="115">
        <f t="shared" ca="1" si="5"/>
        <v>0</v>
      </c>
    </row>
    <row r="38" spans="2:41">
      <c r="B38" s="22" t="s">
        <v>78</v>
      </c>
      <c r="C38" s="106">
        <v>44525</v>
      </c>
      <c r="D38" s="111">
        <f ca="1">WORKDAY(D37,1)</f>
        <v>44757</v>
      </c>
      <c r="E38" s="115">
        <f t="shared" ref="E38:T53" ca="1" si="6">IFERROR((OptionPrice(LEFT($C$42),E$35,$C$37,($C$38-$D38+1)/365,$C$39,$C$41,$C$40)-$C$43)*$C$44,0)</f>
        <v>0</v>
      </c>
      <c r="F38" s="115">
        <f t="shared" ca="1" si="3"/>
        <v>0</v>
      </c>
      <c r="G38" s="115">
        <f t="shared" ca="1" si="3"/>
        <v>0</v>
      </c>
      <c r="H38" s="115">
        <f t="shared" ca="1" si="3"/>
        <v>0</v>
      </c>
      <c r="I38" s="115">
        <f t="shared" ca="1" si="3"/>
        <v>0</v>
      </c>
      <c r="J38" s="115">
        <f t="shared" ca="1" si="3"/>
        <v>0</v>
      </c>
      <c r="K38" s="115">
        <f t="shared" ca="1" si="3"/>
        <v>0</v>
      </c>
      <c r="L38" s="115">
        <f t="shared" ca="1" si="3"/>
        <v>0</v>
      </c>
      <c r="M38" s="115">
        <f t="shared" ca="1" si="3"/>
        <v>0</v>
      </c>
      <c r="N38" s="115">
        <f t="shared" ca="1" si="3"/>
        <v>0</v>
      </c>
      <c r="O38" s="115">
        <f t="shared" ca="1" si="3"/>
        <v>0</v>
      </c>
      <c r="P38" s="115">
        <f t="shared" ca="1" si="3"/>
        <v>0</v>
      </c>
      <c r="Q38" s="115">
        <f t="shared" ca="1" si="3"/>
        <v>0</v>
      </c>
      <c r="R38" s="115">
        <f t="shared" ca="1" si="3"/>
        <v>0</v>
      </c>
      <c r="S38" s="115">
        <f t="shared" ca="1" si="3"/>
        <v>0</v>
      </c>
      <c r="T38" s="115">
        <f t="shared" ca="1" si="3"/>
        <v>0</v>
      </c>
      <c r="U38" s="115">
        <f t="shared" ca="1" si="3"/>
        <v>0</v>
      </c>
      <c r="V38" s="115">
        <f t="shared" ca="1" si="4"/>
        <v>0</v>
      </c>
      <c r="W38" s="115">
        <f t="shared" ca="1" si="4"/>
        <v>0</v>
      </c>
      <c r="X38" s="115">
        <f t="shared" ca="1" si="4"/>
        <v>0</v>
      </c>
      <c r="Y38" s="115">
        <f t="shared" ca="1" si="4"/>
        <v>0</v>
      </c>
      <c r="Z38" s="115">
        <f t="shared" ca="1" si="4"/>
        <v>0</v>
      </c>
      <c r="AA38" s="115">
        <f t="shared" ca="1" si="4"/>
        <v>0</v>
      </c>
      <c r="AB38" s="115">
        <f t="shared" ca="1" si="4"/>
        <v>0</v>
      </c>
      <c r="AC38" s="115">
        <f t="shared" ca="1" si="4"/>
        <v>0</v>
      </c>
      <c r="AD38" s="115">
        <f t="shared" ca="1" si="4"/>
        <v>0</v>
      </c>
      <c r="AE38" s="115">
        <f t="shared" ca="1" si="4"/>
        <v>0</v>
      </c>
      <c r="AF38" s="115">
        <f t="shared" ca="1" si="4"/>
        <v>0</v>
      </c>
      <c r="AG38" s="115">
        <f t="shared" ca="1" si="4"/>
        <v>0</v>
      </c>
      <c r="AH38" s="115">
        <f t="shared" ca="1" si="4"/>
        <v>0</v>
      </c>
      <c r="AI38" s="115">
        <f t="shared" ca="1" si="4"/>
        <v>0</v>
      </c>
      <c r="AJ38" s="115">
        <f t="shared" ca="1" si="4"/>
        <v>0</v>
      </c>
      <c r="AK38" s="115">
        <f t="shared" ca="1" si="4"/>
        <v>0</v>
      </c>
      <c r="AL38" s="115">
        <f t="shared" ca="1" si="5"/>
        <v>0</v>
      </c>
      <c r="AM38" s="115">
        <f t="shared" ca="1" si="5"/>
        <v>0</v>
      </c>
      <c r="AN38" s="115">
        <f t="shared" ca="1" si="5"/>
        <v>0</v>
      </c>
      <c r="AO38" s="115">
        <f t="shared" ca="1" si="5"/>
        <v>0</v>
      </c>
    </row>
    <row r="39" spans="2:41">
      <c r="B39" s="22" t="s">
        <v>504</v>
      </c>
      <c r="C39" s="107">
        <v>0.05</v>
      </c>
      <c r="D39" s="111">
        <f t="shared" ref="D39:D68" ca="1" si="7">WORKDAY(D38,1)</f>
        <v>44760</v>
      </c>
      <c r="E39" s="115">
        <f t="shared" ca="1" si="6"/>
        <v>0</v>
      </c>
      <c r="F39" s="115">
        <f t="shared" ca="1" si="3"/>
        <v>0</v>
      </c>
      <c r="G39" s="115">
        <f t="shared" ca="1" si="3"/>
        <v>0</v>
      </c>
      <c r="H39" s="115">
        <f t="shared" ca="1" si="3"/>
        <v>0</v>
      </c>
      <c r="I39" s="115">
        <f t="shared" ca="1" si="3"/>
        <v>0</v>
      </c>
      <c r="J39" s="115">
        <f t="shared" ca="1" si="3"/>
        <v>0</v>
      </c>
      <c r="K39" s="115">
        <f t="shared" ca="1" si="3"/>
        <v>0</v>
      </c>
      <c r="L39" s="115">
        <f t="shared" ca="1" si="3"/>
        <v>0</v>
      </c>
      <c r="M39" s="115">
        <f t="shared" ca="1" si="3"/>
        <v>0</v>
      </c>
      <c r="N39" s="115">
        <f t="shared" ca="1" si="3"/>
        <v>0</v>
      </c>
      <c r="O39" s="115">
        <f t="shared" ca="1" si="3"/>
        <v>0</v>
      </c>
      <c r="P39" s="115">
        <f t="shared" ca="1" si="3"/>
        <v>0</v>
      </c>
      <c r="Q39" s="115">
        <f t="shared" ca="1" si="3"/>
        <v>0</v>
      </c>
      <c r="R39" s="115">
        <f t="shared" ca="1" si="3"/>
        <v>0</v>
      </c>
      <c r="S39" s="115">
        <f t="shared" ca="1" si="3"/>
        <v>0</v>
      </c>
      <c r="T39" s="115">
        <f t="shared" ca="1" si="3"/>
        <v>0</v>
      </c>
      <c r="U39" s="115">
        <f t="shared" ca="1" si="3"/>
        <v>0</v>
      </c>
      <c r="V39" s="115">
        <f t="shared" ca="1" si="4"/>
        <v>0</v>
      </c>
      <c r="W39" s="115">
        <f t="shared" ca="1" si="4"/>
        <v>0</v>
      </c>
      <c r="X39" s="115">
        <f t="shared" ca="1" si="4"/>
        <v>0</v>
      </c>
      <c r="Y39" s="115">
        <f t="shared" ca="1" si="4"/>
        <v>0</v>
      </c>
      <c r="Z39" s="115">
        <f t="shared" ca="1" si="4"/>
        <v>0</v>
      </c>
      <c r="AA39" s="115">
        <f t="shared" ca="1" si="4"/>
        <v>0</v>
      </c>
      <c r="AB39" s="115">
        <f t="shared" ca="1" si="4"/>
        <v>0</v>
      </c>
      <c r="AC39" s="115">
        <f t="shared" ca="1" si="4"/>
        <v>0</v>
      </c>
      <c r="AD39" s="115">
        <f t="shared" ca="1" si="4"/>
        <v>0</v>
      </c>
      <c r="AE39" s="115">
        <f t="shared" ca="1" si="4"/>
        <v>0</v>
      </c>
      <c r="AF39" s="115">
        <f t="shared" ca="1" si="4"/>
        <v>0</v>
      </c>
      <c r="AG39" s="115">
        <f t="shared" ca="1" si="4"/>
        <v>0</v>
      </c>
      <c r="AH39" s="115">
        <f t="shared" ca="1" si="4"/>
        <v>0</v>
      </c>
      <c r="AI39" s="115">
        <f t="shared" ca="1" si="4"/>
        <v>0</v>
      </c>
      <c r="AJ39" s="115">
        <f t="shared" ca="1" si="4"/>
        <v>0</v>
      </c>
      <c r="AK39" s="115">
        <f t="shared" ca="1" si="4"/>
        <v>0</v>
      </c>
      <c r="AL39" s="115">
        <f t="shared" ca="1" si="5"/>
        <v>0</v>
      </c>
      <c r="AM39" s="115">
        <f t="shared" ca="1" si="5"/>
        <v>0</v>
      </c>
      <c r="AN39" s="115">
        <f t="shared" ca="1" si="5"/>
        <v>0</v>
      </c>
      <c r="AO39" s="115">
        <f t="shared" ca="1" si="5"/>
        <v>0</v>
      </c>
    </row>
    <row r="40" spans="2:41">
      <c r="B40" s="22" t="s">
        <v>539</v>
      </c>
      <c r="C40" s="108">
        <v>0</v>
      </c>
      <c r="D40" s="111">
        <f t="shared" ca="1" si="7"/>
        <v>44761</v>
      </c>
      <c r="E40" s="115">
        <f t="shared" ca="1" si="6"/>
        <v>0</v>
      </c>
      <c r="F40" s="115">
        <f t="shared" ca="1" si="3"/>
        <v>0</v>
      </c>
      <c r="G40" s="115">
        <f t="shared" ca="1" si="3"/>
        <v>0</v>
      </c>
      <c r="H40" s="115">
        <f t="shared" ca="1" si="3"/>
        <v>0</v>
      </c>
      <c r="I40" s="115">
        <f t="shared" ca="1" si="3"/>
        <v>0</v>
      </c>
      <c r="J40" s="115">
        <f t="shared" ca="1" si="3"/>
        <v>0</v>
      </c>
      <c r="K40" s="115">
        <f t="shared" ca="1" si="3"/>
        <v>0</v>
      </c>
      <c r="L40" s="115">
        <f t="shared" ca="1" si="3"/>
        <v>0</v>
      </c>
      <c r="M40" s="115">
        <f t="shared" ca="1" si="3"/>
        <v>0</v>
      </c>
      <c r="N40" s="115">
        <f t="shared" ca="1" si="3"/>
        <v>0</v>
      </c>
      <c r="O40" s="115">
        <f t="shared" ca="1" si="3"/>
        <v>0</v>
      </c>
      <c r="P40" s="115">
        <f t="shared" ca="1" si="3"/>
        <v>0</v>
      </c>
      <c r="Q40" s="115">
        <f t="shared" ca="1" si="3"/>
        <v>0</v>
      </c>
      <c r="R40" s="115">
        <f t="shared" ca="1" si="3"/>
        <v>0</v>
      </c>
      <c r="S40" s="115">
        <f t="shared" ca="1" si="3"/>
        <v>0</v>
      </c>
      <c r="T40" s="115">
        <f t="shared" ca="1" si="3"/>
        <v>0</v>
      </c>
      <c r="U40" s="115">
        <f t="shared" ca="1" si="3"/>
        <v>0</v>
      </c>
      <c r="V40" s="115">
        <f t="shared" ca="1" si="4"/>
        <v>0</v>
      </c>
      <c r="W40" s="115">
        <f t="shared" ca="1" si="4"/>
        <v>0</v>
      </c>
      <c r="X40" s="115">
        <f t="shared" ca="1" si="4"/>
        <v>0</v>
      </c>
      <c r="Y40" s="115">
        <f t="shared" ca="1" si="4"/>
        <v>0</v>
      </c>
      <c r="Z40" s="115">
        <f t="shared" ca="1" si="4"/>
        <v>0</v>
      </c>
      <c r="AA40" s="115">
        <f t="shared" ca="1" si="4"/>
        <v>0</v>
      </c>
      <c r="AB40" s="115">
        <f t="shared" ca="1" si="4"/>
        <v>0</v>
      </c>
      <c r="AC40" s="115">
        <f t="shared" ca="1" si="4"/>
        <v>0</v>
      </c>
      <c r="AD40" s="115">
        <f t="shared" ca="1" si="4"/>
        <v>0</v>
      </c>
      <c r="AE40" s="115">
        <f t="shared" ca="1" si="4"/>
        <v>0</v>
      </c>
      <c r="AF40" s="115">
        <f t="shared" ca="1" si="4"/>
        <v>0</v>
      </c>
      <c r="AG40" s="115">
        <f t="shared" ca="1" si="4"/>
        <v>0</v>
      </c>
      <c r="AH40" s="115">
        <f t="shared" ca="1" si="4"/>
        <v>0</v>
      </c>
      <c r="AI40" s="115">
        <f t="shared" ca="1" si="4"/>
        <v>0</v>
      </c>
      <c r="AJ40" s="115">
        <f t="shared" ca="1" si="4"/>
        <v>0</v>
      </c>
      <c r="AK40" s="115">
        <f t="shared" ca="1" si="4"/>
        <v>0</v>
      </c>
      <c r="AL40" s="115">
        <f t="shared" ca="1" si="5"/>
        <v>0</v>
      </c>
      <c r="AM40" s="115">
        <f t="shared" ca="1" si="5"/>
        <v>0</v>
      </c>
      <c r="AN40" s="115">
        <f t="shared" ca="1" si="5"/>
        <v>0</v>
      </c>
      <c r="AO40" s="115">
        <f t="shared" ca="1" si="5"/>
        <v>0</v>
      </c>
    </row>
    <row r="41" spans="2:41">
      <c r="B41" s="22" t="s">
        <v>505</v>
      </c>
      <c r="C41" s="108">
        <f>18%</f>
        <v>0.18</v>
      </c>
      <c r="D41" s="111">
        <f t="shared" ca="1" si="7"/>
        <v>44762</v>
      </c>
      <c r="E41" s="115">
        <f t="shared" ca="1" si="6"/>
        <v>0</v>
      </c>
      <c r="F41" s="115">
        <f t="shared" ca="1" si="3"/>
        <v>0</v>
      </c>
      <c r="G41" s="115">
        <f t="shared" ca="1" si="3"/>
        <v>0</v>
      </c>
      <c r="H41" s="115">
        <f t="shared" ca="1" si="3"/>
        <v>0</v>
      </c>
      <c r="I41" s="115">
        <f t="shared" ca="1" si="3"/>
        <v>0</v>
      </c>
      <c r="J41" s="115">
        <f t="shared" ca="1" si="3"/>
        <v>0</v>
      </c>
      <c r="K41" s="115">
        <f t="shared" ca="1" si="3"/>
        <v>0</v>
      </c>
      <c r="L41" s="115">
        <f t="shared" ca="1" si="3"/>
        <v>0</v>
      </c>
      <c r="M41" s="115">
        <f t="shared" ca="1" si="3"/>
        <v>0</v>
      </c>
      <c r="N41" s="115">
        <f t="shared" ca="1" si="3"/>
        <v>0</v>
      </c>
      <c r="O41" s="115">
        <f t="shared" ca="1" si="3"/>
        <v>0</v>
      </c>
      <c r="P41" s="115">
        <f t="shared" ca="1" si="3"/>
        <v>0</v>
      </c>
      <c r="Q41" s="115">
        <f t="shared" ca="1" si="3"/>
        <v>0</v>
      </c>
      <c r="R41" s="115">
        <f t="shared" ca="1" si="3"/>
        <v>0</v>
      </c>
      <c r="S41" s="115">
        <f t="shared" ca="1" si="3"/>
        <v>0</v>
      </c>
      <c r="T41" s="115">
        <f t="shared" ca="1" si="3"/>
        <v>0</v>
      </c>
      <c r="U41" s="115">
        <f t="shared" ca="1" si="3"/>
        <v>0</v>
      </c>
      <c r="V41" s="115">
        <f t="shared" ca="1" si="4"/>
        <v>0</v>
      </c>
      <c r="W41" s="115">
        <f t="shared" ca="1" si="4"/>
        <v>0</v>
      </c>
      <c r="X41" s="115">
        <f t="shared" ca="1" si="4"/>
        <v>0</v>
      </c>
      <c r="Y41" s="115">
        <f t="shared" ca="1" si="4"/>
        <v>0</v>
      </c>
      <c r="Z41" s="115">
        <f t="shared" ca="1" si="4"/>
        <v>0</v>
      </c>
      <c r="AA41" s="115">
        <f t="shared" ca="1" si="4"/>
        <v>0</v>
      </c>
      <c r="AB41" s="115">
        <f t="shared" ca="1" si="4"/>
        <v>0</v>
      </c>
      <c r="AC41" s="115">
        <f t="shared" ca="1" si="4"/>
        <v>0</v>
      </c>
      <c r="AD41" s="115">
        <f t="shared" ca="1" si="4"/>
        <v>0</v>
      </c>
      <c r="AE41" s="115">
        <f t="shared" ca="1" si="4"/>
        <v>0</v>
      </c>
      <c r="AF41" s="115">
        <f t="shared" ca="1" si="4"/>
        <v>0</v>
      </c>
      <c r="AG41" s="115">
        <f t="shared" ca="1" si="4"/>
        <v>0</v>
      </c>
      <c r="AH41" s="115">
        <f t="shared" ca="1" si="4"/>
        <v>0</v>
      </c>
      <c r="AI41" s="115">
        <f t="shared" ca="1" si="4"/>
        <v>0</v>
      </c>
      <c r="AJ41" s="115">
        <f t="shared" ca="1" si="4"/>
        <v>0</v>
      </c>
      <c r="AK41" s="115">
        <f t="shared" ca="1" si="4"/>
        <v>0</v>
      </c>
      <c r="AL41" s="115">
        <f t="shared" ca="1" si="5"/>
        <v>0</v>
      </c>
      <c r="AM41" s="115">
        <f t="shared" ca="1" si="5"/>
        <v>0</v>
      </c>
      <c r="AN41" s="115">
        <f t="shared" ca="1" si="5"/>
        <v>0</v>
      </c>
      <c r="AO41" s="115">
        <f t="shared" ca="1" si="5"/>
        <v>0</v>
      </c>
    </row>
    <row r="42" spans="2:41">
      <c r="B42" s="22" t="s">
        <v>540</v>
      </c>
      <c r="C42" s="23" t="s">
        <v>481</v>
      </c>
      <c r="D42" s="111">
        <f t="shared" ca="1" si="7"/>
        <v>44763</v>
      </c>
      <c r="E42" s="115">
        <f t="shared" ca="1" si="6"/>
        <v>0</v>
      </c>
      <c r="F42" s="115">
        <f t="shared" ca="1" si="3"/>
        <v>0</v>
      </c>
      <c r="G42" s="115">
        <f t="shared" ca="1" si="3"/>
        <v>0</v>
      </c>
      <c r="H42" s="115">
        <f t="shared" ca="1" si="3"/>
        <v>0</v>
      </c>
      <c r="I42" s="115">
        <f t="shared" ca="1" si="3"/>
        <v>0</v>
      </c>
      <c r="J42" s="115">
        <f t="shared" ca="1" si="3"/>
        <v>0</v>
      </c>
      <c r="K42" s="115">
        <f t="shared" ca="1" si="3"/>
        <v>0</v>
      </c>
      <c r="L42" s="115">
        <f t="shared" ca="1" si="3"/>
        <v>0</v>
      </c>
      <c r="M42" s="115">
        <f t="shared" ca="1" si="3"/>
        <v>0</v>
      </c>
      <c r="N42" s="115">
        <f t="shared" ca="1" si="3"/>
        <v>0</v>
      </c>
      <c r="O42" s="115">
        <f t="shared" ca="1" si="3"/>
        <v>0</v>
      </c>
      <c r="P42" s="115">
        <f t="shared" ca="1" si="3"/>
        <v>0</v>
      </c>
      <c r="Q42" s="115">
        <f t="shared" ca="1" si="3"/>
        <v>0</v>
      </c>
      <c r="R42" s="115">
        <f t="shared" ca="1" si="3"/>
        <v>0</v>
      </c>
      <c r="S42" s="115">
        <f t="shared" ca="1" si="3"/>
        <v>0</v>
      </c>
      <c r="T42" s="115">
        <f t="shared" ca="1" si="3"/>
        <v>0</v>
      </c>
      <c r="U42" s="115">
        <f t="shared" ca="1" si="3"/>
        <v>0</v>
      </c>
      <c r="V42" s="115">
        <f t="shared" ca="1" si="4"/>
        <v>0</v>
      </c>
      <c r="W42" s="115">
        <f t="shared" ca="1" si="4"/>
        <v>0</v>
      </c>
      <c r="X42" s="115">
        <f t="shared" ca="1" si="4"/>
        <v>0</v>
      </c>
      <c r="Y42" s="115">
        <f t="shared" ca="1" si="4"/>
        <v>0</v>
      </c>
      <c r="Z42" s="115">
        <f t="shared" ca="1" si="4"/>
        <v>0</v>
      </c>
      <c r="AA42" s="115">
        <f t="shared" ca="1" si="4"/>
        <v>0</v>
      </c>
      <c r="AB42" s="115">
        <f t="shared" ca="1" si="4"/>
        <v>0</v>
      </c>
      <c r="AC42" s="115">
        <f t="shared" ca="1" si="4"/>
        <v>0</v>
      </c>
      <c r="AD42" s="115">
        <f t="shared" ca="1" si="4"/>
        <v>0</v>
      </c>
      <c r="AE42" s="115">
        <f t="shared" ca="1" si="4"/>
        <v>0</v>
      </c>
      <c r="AF42" s="115">
        <f t="shared" ca="1" si="4"/>
        <v>0</v>
      </c>
      <c r="AG42" s="115">
        <f t="shared" ca="1" si="4"/>
        <v>0</v>
      </c>
      <c r="AH42" s="115">
        <f t="shared" ca="1" si="4"/>
        <v>0</v>
      </c>
      <c r="AI42" s="115">
        <f t="shared" ca="1" si="4"/>
        <v>0</v>
      </c>
      <c r="AJ42" s="115">
        <f t="shared" ca="1" si="4"/>
        <v>0</v>
      </c>
      <c r="AK42" s="115">
        <f t="shared" ca="1" si="4"/>
        <v>0</v>
      </c>
      <c r="AL42" s="115">
        <f t="shared" ca="1" si="5"/>
        <v>0</v>
      </c>
      <c r="AM42" s="115">
        <f t="shared" ca="1" si="5"/>
        <v>0</v>
      </c>
      <c r="AN42" s="115">
        <f t="shared" ca="1" si="5"/>
        <v>0</v>
      </c>
      <c r="AO42" s="115">
        <f t="shared" ca="1" si="5"/>
        <v>0</v>
      </c>
    </row>
    <row r="43" spans="2:41">
      <c r="B43" s="22" t="s">
        <v>23</v>
      </c>
      <c r="C43" s="23">
        <v>58</v>
      </c>
      <c r="D43" s="111">
        <f t="shared" ca="1" si="7"/>
        <v>44764</v>
      </c>
      <c r="E43" s="115">
        <f t="shared" ca="1" si="6"/>
        <v>0</v>
      </c>
      <c r="F43" s="115">
        <f t="shared" ca="1" si="3"/>
        <v>0</v>
      </c>
      <c r="G43" s="115">
        <f t="shared" ca="1" si="3"/>
        <v>0</v>
      </c>
      <c r="H43" s="115">
        <f t="shared" ca="1" si="3"/>
        <v>0</v>
      </c>
      <c r="I43" s="115">
        <f t="shared" ca="1" si="3"/>
        <v>0</v>
      </c>
      <c r="J43" s="115">
        <f t="shared" ca="1" si="3"/>
        <v>0</v>
      </c>
      <c r="K43" s="115">
        <f t="shared" ca="1" si="3"/>
        <v>0</v>
      </c>
      <c r="L43" s="115">
        <f t="shared" ca="1" si="3"/>
        <v>0</v>
      </c>
      <c r="M43" s="115">
        <f t="shared" ca="1" si="3"/>
        <v>0</v>
      </c>
      <c r="N43" s="115">
        <f t="shared" ca="1" si="3"/>
        <v>0</v>
      </c>
      <c r="O43" s="115">
        <f t="shared" ca="1" si="3"/>
        <v>0</v>
      </c>
      <c r="P43" s="115">
        <f t="shared" ca="1" si="3"/>
        <v>0</v>
      </c>
      <c r="Q43" s="115">
        <f t="shared" ca="1" si="3"/>
        <v>0</v>
      </c>
      <c r="R43" s="115">
        <f t="shared" ca="1" si="3"/>
        <v>0</v>
      </c>
      <c r="S43" s="115">
        <f t="shared" ca="1" si="3"/>
        <v>0</v>
      </c>
      <c r="T43" s="115">
        <f t="shared" ca="1" si="3"/>
        <v>0</v>
      </c>
      <c r="U43" s="115">
        <f t="shared" ca="1" si="3"/>
        <v>0</v>
      </c>
      <c r="V43" s="115">
        <f t="shared" ca="1" si="4"/>
        <v>0</v>
      </c>
      <c r="W43" s="115">
        <f t="shared" ca="1" si="4"/>
        <v>0</v>
      </c>
      <c r="X43" s="115">
        <f t="shared" ca="1" si="4"/>
        <v>0</v>
      </c>
      <c r="Y43" s="115">
        <f t="shared" ca="1" si="4"/>
        <v>0</v>
      </c>
      <c r="Z43" s="115">
        <f t="shared" ca="1" si="4"/>
        <v>0</v>
      </c>
      <c r="AA43" s="115">
        <f t="shared" ca="1" si="4"/>
        <v>0</v>
      </c>
      <c r="AB43" s="115">
        <f t="shared" ca="1" si="4"/>
        <v>0</v>
      </c>
      <c r="AC43" s="115">
        <f t="shared" ca="1" si="4"/>
        <v>0</v>
      </c>
      <c r="AD43" s="115">
        <f t="shared" ca="1" si="4"/>
        <v>0</v>
      </c>
      <c r="AE43" s="115">
        <f t="shared" ca="1" si="4"/>
        <v>0</v>
      </c>
      <c r="AF43" s="115">
        <f t="shared" ca="1" si="4"/>
        <v>0</v>
      </c>
      <c r="AG43" s="115">
        <f t="shared" ca="1" si="4"/>
        <v>0</v>
      </c>
      <c r="AH43" s="115">
        <f t="shared" ca="1" si="4"/>
        <v>0</v>
      </c>
      <c r="AI43" s="115">
        <f t="shared" ca="1" si="4"/>
        <v>0</v>
      </c>
      <c r="AJ43" s="115">
        <f t="shared" ca="1" si="4"/>
        <v>0</v>
      </c>
      <c r="AK43" s="115">
        <f t="shared" ca="1" si="4"/>
        <v>0</v>
      </c>
      <c r="AL43" s="115">
        <f t="shared" ca="1" si="5"/>
        <v>0</v>
      </c>
      <c r="AM43" s="115">
        <f t="shared" ca="1" si="5"/>
        <v>0</v>
      </c>
      <c r="AN43" s="115">
        <f t="shared" ca="1" si="5"/>
        <v>0</v>
      </c>
      <c r="AO43" s="115">
        <f t="shared" ca="1" si="5"/>
        <v>0</v>
      </c>
    </row>
    <row r="44" spans="2:41">
      <c r="B44" s="22" t="s">
        <v>3</v>
      </c>
      <c r="C44" s="23">
        <v>250</v>
      </c>
      <c r="D44" s="111">
        <f t="shared" ca="1" si="7"/>
        <v>44767</v>
      </c>
      <c r="E44" s="115">
        <f t="shared" ca="1" si="6"/>
        <v>0</v>
      </c>
      <c r="F44" s="115">
        <f t="shared" ca="1" si="3"/>
        <v>0</v>
      </c>
      <c r="G44" s="115">
        <f t="shared" ca="1" si="3"/>
        <v>0</v>
      </c>
      <c r="H44" s="115">
        <f t="shared" ca="1" si="3"/>
        <v>0</v>
      </c>
      <c r="I44" s="115">
        <f t="shared" ca="1" si="3"/>
        <v>0</v>
      </c>
      <c r="J44" s="115">
        <f t="shared" ca="1" si="3"/>
        <v>0</v>
      </c>
      <c r="K44" s="115">
        <f t="shared" ca="1" si="3"/>
        <v>0</v>
      </c>
      <c r="L44" s="115">
        <f t="shared" ca="1" si="3"/>
        <v>0</v>
      </c>
      <c r="M44" s="115">
        <f t="shared" ca="1" si="3"/>
        <v>0</v>
      </c>
      <c r="N44" s="115">
        <f t="shared" ca="1" si="3"/>
        <v>0</v>
      </c>
      <c r="O44" s="115">
        <f t="shared" ca="1" si="3"/>
        <v>0</v>
      </c>
      <c r="P44" s="115">
        <f t="shared" ca="1" si="3"/>
        <v>0</v>
      </c>
      <c r="Q44" s="115">
        <f t="shared" ca="1" si="3"/>
        <v>0</v>
      </c>
      <c r="R44" s="115">
        <f t="shared" ca="1" si="3"/>
        <v>0</v>
      </c>
      <c r="S44" s="115">
        <f t="shared" ca="1" si="3"/>
        <v>0</v>
      </c>
      <c r="T44" s="115">
        <f t="shared" ca="1" si="3"/>
        <v>0</v>
      </c>
      <c r="U44" s="115">
        <f t="shared" ca="1" si="3"/>
        <v>0</v>
      </c>
      <c r="V44" s="115">
        <f t="shared" ca="1" si="4"/>
        <v>0</v>
      </c>
      <c r="W44" s="115">
        <f t="shared" ca="1" si="4"/>
        <v>0</v>
      </c>
      <c r="X44" s="115">
        <f t="shared" ca="1" si="4"/>
        <v>0</v>
      </c>
      <c r="Y44" s="115">
        <f t="shared" ca="1" si="4"/>
        <v>0</v>
      </c>
      <c r="Z44" s="115">
        <f t="shared" ca="1" si="4"/>
        <v>0</v>
      </c>
      <c r="AA44" s="115">
        <f t="shared" ca="1" si="4"/>
        <v>0</v>
      </c>
      <c r="AB44" s="115">
        <f t="shared" ca="1" si="4"/>
        <v>0</v>
      </c>
      <c r="AC44" s="115">
        <f t="shared" ca="1" si="4"/>
        <v>0</v>
      </c>
      <c r="AD44" s="115">
        <f t="shared" ca="1" si="4"/>
        <v>0</v>
      </c>
      <c r="AE44" s="115">
        <f t="shared" ca="1" si="4"/>
        <v>0</v>
      </c>
      <c r="AF44" s="115">
        <f t="shared" ca="1" si="4"/>
        <v>0</v>
      </c>
      <c r="AG44" s="115">
        <f t="shared" ca="1" si="4"/>
        <v>0</v>
      </c>
      <c r="AH44" s="115">
        <f t="shared" ca="1" si="4"/>
        <v>0</v>
      </c>
      <c r="AI44" s="115">
        <f t="shared" ca="1" si="4"/>
        <v>0</v>
      </c>
      <c r="AJ44" s="115">
        <f t="shared" ca="1" si="4"/>
        <v>0</v>
      </c>
      <c r="AK44" s="115">
        <f t="shared" ca="1" si="4"/>
        <v>0</v>
      </c>
      <c r="AL44" s="115">
        <f t="shared" ca="1" si="5"/>
        <v>0</v>
      </c>
      <c r="AM44" s="115">
        <f t="shared" ca="1" si="5"/>
        <v>0</v>
      </c>
      <c r="AN44" s="115">
        <f t="shared" ca="1" si="5"/>
        <v>0</v>
      </c>
      <c r="AO44" s="115">
        <f t="shared" ca="1" si="5"/>
        <v>0</v>
      </c>
    </row>
    <row r="45" spans="2:41">
      <c r="B45" s="22" t="s">
        <v>537</v>
      </c>
      <c r="C45" s="126" t="e">
        <f ca="1">ImpliedVolatility(LEFT(C42),C35,C37,C39,C47,C40,C46,12%)</f>
        <v>#VALUE!</v>
      </c>
      <c r="D45" s="111">
        <f t="shared" ca="1" si="7"/>
        <v>44768</v>
      </c>
      <c r="E45" s="115">
        <f t="shared" ca="1" si="6"/>
        <v>0</v>
      </c>
      <c r="F45" s="115">
        <f t="shared" ca="1" si="3"/>
        <v>0</v>
      </c>
      <c r="G45" s="115">
        <f t="shared" ca="1" si="3"/>
        <v>0</v>
      </c>
      <c r="H45" s="115">
        <f t="shared" ca="1" si="3"/>
        <v>0</v>
      </c>
      <c r="I45" s="115">
        <f t="shared" ca="1" si="3"/>
        <v>0</v>
      </c>
      <c r="J45" s="115">
        <f t="shared" ca="1" si="3"/>
        <v>0</v>
      </c>
      <c r="K45" s="115">
        <f t="shared" ca="1" si="3"/>
        <v>0</v>
      </c>
      <c r="L45" s="115">
        <f t="shared" ca="1" si="3"/>
        <v>0</v>
      </c>
      <c r="M45" s="115">
        <f t="shared" ca="1" si="3"/>
        <v>0</v>
      </c>
      <c r="N45" s="115">
        <f t="shared" ca="1" si="3"/>
        <v>0</v>
      </c>
      <c r="O45" s="115">
        <f t="shared" ca="1" si="3"/>
        <v>0</v>
      </c>
      <c r="P45" s="115">
        <f t="shared" ca="1" si="3"/>
        <v>0</v>
      </c>
      <c r="Q45" s="115">
        <f t="shared" ca="1" si="3"/>
        <v>0</v>
      </c>
      <c r="R45" s="115">
        <f t="shared" ca="1" si="3"/>
        <v>0</v>
      </c>
      <c r="S45" s="115">
        <f t="shared" ca="1" si="3"/>
        <v>0</v>
      </c>
      <c r="T45" s="115">
        <f t="shared" ca="1" si="3"/>
        <v>0</v>
      </c>
      <c r="U45" s="115">
        <f t="shared" ca="1" si="3"/>
        <v>0</v>
      </c>
      <c r="V45" s="115">
        <f t="shared" ca="1" si="4"/>
        <v>0</v>
      </c>
      <c r="W45" s="115">
        <f t="shared" ca="1" si="4"/>
        <v>0</v>
      </c>
      <c r="X45" s="115">
        <f t="shared" ca="1" si="4"/>
        <v>0</v>
      </c>
      <c r="Y45" s="115">
        <f t="shared" ca="1" si="4"/>
        <v>0</v>
      </c>
      <c r="Z45" s="115">
        <f t="shared" ca="1" si="4"/>
        <v>0</v>
      </c>
      <c r="AA45" s="115">
        <f t="shared" ca="1" si="4"/>
        <v>0</v>
      </c>
      <c r="AB45" s="115">
        <f t="shared" ca="1" si="4"/>
        <v>0</v>
      </c>
      <c r="AC45" s="115">
        <f t="shared" ca="1" si="4"/>
        <v>0</v>
      </c>
      <c r="AD45" s="115">
        <f t="shared" ca="1" si="4"/>
        <v>0</v>
      </c>
      <c r="AE45" s="115">
        <f t="shared" ca="1" si="4"/>
        <v>0</v>
      </c>
      <c r="AF45" s="115">
        <f t="shared" ca="1" si="4"/>
        <v>0</v>
      </c>
      <c r="AG45" s="115">
        <f t="shared" ca="1" si="4"/>
        <v>0</v>
      </c>
      <c r="AH45" s="115">
        <f t="shared" ca="1" si="4"/>
        <v>0</v>
      </c>
      <c r="AI45" s="115">
        <f t="shared" ca="1" si="4"/>
        <v>0</v>
      </c>
      <c r="AJ45" s="115">
        <f t="shared" ca="1" si="4"/>
        <v>0</v>
      </c>
      <c r="AK45" s="115">
        <f t="shared" ca="1" si="4"/>
        <v>0</v>
      </c>
      <c r="AL45" s="115">
        <f t="shared" ca="1" si="5"/>
        <v>0</v>
      </c>
      <c r="AM45" s="115">
        <f t="shared" ca="1" si="5"/>
        <v>0</v>
      </c>
      <c r="AN45" s="115">
        <f t="shared" ca="1" si="5"/>
        <v>0</v>
      </c>
      <c r="AO45" s="115">
        <f t="shared" ca="1" si="5"/>
        <v>0</v>
      </c>
    </row>
    <row r="46" spans="2:41">
      <c r="B46" s="22" t="s">
        <v>487</v>
      </c>
      <c r="C46" s="23">
        <v>16.8</v>
      </c>
      <c r="D46" s="111">
        <f t="shared" ca="1" si="7"/>
        <v>44769</v>
      </c>
      <c r="E46" s="115">
        <f t="shared" ca="1" si="6"/>
        <v>0</v>
      </c>
      <c r="F46" s="115">
        <f t="shared" ca="1" si="3"/>
        <v>0</v>
      </c>
      <c r="G46" s="115">
        <f t="shared" ca="1" si="3"/>
        <v>0</v>
      </c>
      <c r="H46" s="115">
        <f t="shared" ca="1" si="3"/>
        <v>0</v>
      </c>
      <c r="I46" s="115">
        <f t="shared" ca="1" si="3"/>
        <v>0</v>
      </c>
      <c r="J46" s="115">
        <f t="shared" ca="1" si="3"/>
        <v>0</v>
      </c>
      <c r="K46" s="115">
        <f t="shared" ca="1" si="3"/>
        <v>0</v>
      </c>
      <c r="L46" s="115">
        <f t="shared" ca="1" si="3"/>
        <v>0</v>
      </c>
      <c r="M46" s="115">
        <f t="shared" ca="1" si="3"/>
        <v>0</v>
      </c>
      <c r="N46" s="115">
        <f t="shared" ca="1" si="3"/>
        <v>0</v>
      </c>
      <c r="O46" s="115">
        <f t="shared" ca="1" si="3"/>
        <v>0</v>
      </c>
      <c r="P46" s="115">
        <f t="shared" ca="1" si="3"/>
        <v>0</v>
      </c>
      <c r="Q46" s="115">
        <f t="shared" ca="1" si="3"/>
        <v>0</v>
      </c>
      <c r="R46" s="115">
        <f t="shared" ca="1" si="3"/>
        <v>0</v>
      </c>
      <c r="S46" s="115">
        <f t="shared" ca="1" si="3"/>
        <v>0</v>
      </c>
      <c r="T46" s="115">
        <f t="shared" ca="1" si="3"/>
        <v>0</v>
      </c>
      <c r="U46" s="115">
        <f t="shared" ca="1" si="3"/>
        <v>0</v>
      </c>
      <c r="V46" s="115">
        <f t="shared" ca="1" si="4"/>
        <v>0</v>
      </c>
      <c r="W46" s="115">
        <f t="shared" ca="1" si="4"/>
        <v>0</v>
      </c>
      <c r="X46" s="115">
        <f t="shared" ca="1" si="4"/>
        <v>0</v>
      </c>
      <c r="Y46" s="115">
        <f t="shared" ca="1" si="4"/>
        <v>0</v>
      </c>
      <c r="Z46" s="115">
        <f t="shared" ca="1" si="4"/>
        <v>0</v>
      </c>
      <c r="AA46" s="115">
        <f t="shared" ca="1" si="4"/>
        <v>0</v>
      </c>
      <c r="AB46" s="115">
        <f t="shared" ca="1" si="4"/>
        <v>0</v>
      </c>
      <c r="AC46" s="115">
        <f t="shared" ca="1" si="4"/>
        <v>0</v>
      </c>
      <c r="AD46" s="115">
        <f t="shared" ca="1" si="4"/>
        <v>0</v>
      </c>
      <c r="AE46" s="115">
        <f t="shared" ca="1" si="4"/>
        <v>0</v>
      </c>
      <c r="AF46" s="115">
        <f t="shared" ca="1" si="4"/>
        <v>0</v>
      </c>
      <c r="AG46" s="115">
        <f t="shared" ca="1" si="4"/>
        <v>0</v>
      </c>
      <c r="AH46" s="115">
        <f t="shared" ca="1" si="4"/>
        <v>0</v>
      </c>
      <c r="AI46" s="115">
        <f t="shared" ca="1" si="4"/>
        <v>0</v>
      </c>
      <c r="AJ46" s="115">
        <f t="shared" ca="1" si="4"/>
        <v>0</v>
      </c>
      <c r="AK46" s="115">
        <f t="shared" ca="1" si="4"/>
        <v>0</v>
      </c>
      <c r="AL46" s="115">
        <f t="shared" ca="1" si="5"/>
        <v>0</v>
      </c>
      <c r="AM46" s="115">
        <f t="shared" ca="1" si="5"/>
        <v>0</v>
      </c>
      <c r="AN46" s="115">
        <f t="shared" ca="1" si="5"/>
        <v>0</v>
      </c>
      <c r="AO46" s="115">
        <f t="shared" ca="1" si="5"/>
        <v>0</v>
      </c>
    </row>
    <row r="47" spans="2:41">
      <c r="B47" s="22" t="s">
        <v>556</v>
      </c>
      <c r="C47" s="23">
        <f ca="1">(C38-TODAY())/365</f>
        <v>-0.63287671232876708</v>
      </c>
      <c r="D47" s="111">
        <f t="shared" ca="1" si="7"/>
        <v>44770</v>
      </c>
      <c r="E47" s="115">
        <f t="shared" ca="1" si="6"/>
        <v>0</v>
      </c>
      <c r="F47" s="115">
        <f t="shared" ca="1" si="3"/>
        <v>0</v>
      </c>
      <c r="G47" s="115">
        <f t="shared" ca="1" si="3"/>
        <v>0</v>
      </c>
      <c r="H47" s="115">
        <f t="shared" ca="1" si="3"/>
        <v>0</v>
      </c>
      <c r="I47" s="115">
        <f t="shared" ca="1" si="3"/>
        <v>0</v>
      </c>
      <c r="J47" s="115">
        <f t="shared" ca="1" si="3"/>
        <v>0</v>
      </c>
      <c r="K47" s="115">
        <f t="shared" ca="1" si="3"/>
        <v>0</v>
      </c>
      <c r="L47" s="115">
        <f t="shared" ca="1" si="3"/>
        <v>0</v>
      </c>
      <c r="M47" s="115">
        <f t="shared" ca="1" si="3"/>
        <v>0</v>
      </c>
      <c r="N47" s="115">
        <f t="shared" ca="1" si="3"/>
        <v>0</v>
      </c>
      <c r="O47" s="115">
        <f t="shared" ca="1" si="3"/>
        <v>0</v>
      </c>
      <c r="P47" s="115">
        <f t="shared" ca="1" si="3"/>
        <v>0</v>
      </c>
      <c r="Q47" s="115">
        <f t="shared" ca="1" si="3"/>
        <v>0</v>
      </c>
      <c r="R47" s="115">
        <f t="shared" ca="1" si="3"/>
        <v>0</v>
      </c>
      <c r="S47" s="115">
        <f t="shared" ca="1" si="3"/>
        <v>0</v>
      </c>
      <c r="T47" s="115">
        <f t="shared" ca="1" si="3"/>
        <v>0</v>
      </c>
      <c r="U47" s="115">
        <f t="shared" ca="1" si="3"/>
        <v>0</v>
      </c>
      <c r="V47" s="115">
        <f t="shared" ca="1" si="4"/>
        <v>0</v>
      </c>
      <c r="W47" s="115">
        <f t="shared" ca="1" si="4"/>
        <v>0</v>
      </c>
      <c r="X47" s="115">
        <f t="shared" ca="1" si="4"/>
        <v>0</v>
      </c>
      <c r="Y47" s="115">
        <f t="shared" ca="1" si="4"/>
        <v>0</v>
      </c>
      <c r="Z47" s="115">
        <f t="shared" ca="1" si="4"/>
        <v>0</v>
      </c>
      <c r="AA47" s="115">
        <f t="shared" ca="1" si="4"/>
        <v>0</v>
      </c>
      <c r="AB47" s="115">
        <f t="shared" ca="1" si="4"/>
        <v>0</v>
      </c>
      <c r="AC47" s="115">
        <f t="shared" ca="1" si="4"/>
        <v>0</v>
      </c>
      <c r="AD47" s="115">
        <f t="shared" ca="1" si="4"/>
        <v>0</v>
      </c>
      <c r="AE47" s="115">
        <f t="shared" ca="1" si="4"/>
        <v>0</v>
      </c>
      <c r="AF47" s="115">
        <f t="shared" ca="1" si="4"/>
        <v>0</v>
      </c>
      <c r="AG47" s="115">
        <f t="shared" ca="1" si="4"/>
        <v>0</v>
      </c>
      <c r="AH47" s="115">
        <f t="shared" ca="1" si="4"/>
        <v>0</v>
      </c>
      <c r="AI47" s="115">
        <f t="shared" ca="1" si="4"/>
        <v>0</v>
      </c>
      <c r="AJ47" s="115">
        <f t="shared" ca="1" si="4"/>
        <v>0</v>
      </c>
      <c r="AK47" s="115">
        <f t="shared" ca="1" si="4"/>
        <v>0</v>
      </c>
      <c r="AL47" s="115">
        <f t="shared" ca="1" si="5"/>
        <v>0</v>
      </c>
      <c r="AM47" s="115">
        <f t="shared" ca="1" si="5"/>
        <v>0</v>
      </c>
      <c r="AN47" s="115">
        <f t="shared" ca="1" si="5"/>
        <v>0</v>
      </c>
      <c r="AO47" s="115">
        <f t="shared" ca="1" si="5"/>
        <v>0</v>
      </c>
    </row>
    <row r="48" spans="2:41">
      <c r="C48" s="23">
        <f>C44*C43</f>
        <v>14500</v>
      </c>
      <c r="D48" s="111">
        <f t="shared" ca="1" si="7"/>
        <v>44771</v>
      </c>
      <c r="E48" s="115">
        <f t="shared" ca="1" si="6"/>
        <v>0</v>
      </c>
      <c r="F48" s="115">
        <f t="shared" ca="1" si="3"/>
        <v>0</v>
      </c>
      <c r="G48" s="115">
        <f t="shared" ca="1" si="3"/>
        <v>0</v>
      </c>
      <c r="H48" s="115">
        <f t="shared" ca="1" si="3"/>
        <v>0</v>
      </c>
      <c r="I48" s="115">
        <f t="shared" ca="1" si="3"/>
        <v>0</v>
      </c>
      <c r="J48" s="115">
        <f t="shared" ca="1" si="3"/>
        <v>0</v>
      </c>
      <c r="K48" s="115">
        <f t="shared" ca="1" si="3"/>
        <v>0</v>
      </c>
      <c r="L48" s="115">
        <f t="shared" ca="1" si="3"/>
        <v>0</v>
      </c>
      <c r="M48" s="115">
        <f t="shared" ca="1" si="3"/>
        <v>0</v>
      </c>
      <c r="N48" s="115">
        <f t="shared" ca="1" si="3"/>
        <v>0</v>
      </c>
      <c r="O48" s="115">
        <f t="shared" ca="1" si="3"/>
        <v>0</v>
      </c>
      <c r="P48" s="115">
        <f t="shared" ca="1" si="3"/>
        <v>0</v>
      </c>
      <c r="Q48" s="115">
        <f t="shared" ca="1" si="3"/>
        <v>0</v>
      </c>
      <c r="R48" s="115">
        <f t="shared" ca="1" si="3"/>
        <v>0</v>
      </c>
      <c r="S48" s="115">
        <f t="shared" ca="1" si="3"/>
        <v>0</v>
      </c>
      <c r="T48" s="115">
        <f t="shared" ca="1" si="3"/>
        <v>0</v>
      </c>
      <c r="U48" s="115">
        <f t="shared" ca="1" si="3"/>
        <v>0</v>
      </c>
      <c r="V48" s="115">
        <f t="shared" ca="1" si="4"/>
        <v>0</v>
      </c>
      <c r="W48" s="115">
        <f t="shared" ca="1" si="4"/>
        <v>0</v>
      </c>
      <c r="X48" s="115">
        <f t="shared" ca="1" si="4"/>
        <v>0</v>
      </c>
      <c r="Y48" s="115">
        <f t="shared" ca="1" si="4"/>
        <v>0</v>
      </c>
      <c r="Z48" s="115">
        <f t="shared" ca="1" si="4"/>
        <v>0</v>
      </c>
      <c r="AA48" s="115">
        <f t="shared" ca="1" si="4"/>
        <v>0</v>
      </c>
      <c r="AB48" s="115">
        <f t="shared" ca="1" si="4"/>
        <v>0</v>
      </c>
      <c r="AC48" s="115">
        <f t="shared" ca="1" si="4"/>
        <v>0</v>
      </c>
      <c r="AD48" s="115">
        <f t="shared" ca="1" si="4"/>
        <v>0</v>
      </c>
      <c r="AE48" s="115">
        <f t="shared" ca="1" si="4"/>
        <v>0</v>
      </c>
      <c r="AF48" s="115">
        <f t="shared" ca="1" si="4"/>
        <v>0</v>
      </c>
      <c r="AG48" s="115">
        <f t="shared" ca="1" si="4"/>
        <v>0</v>
      </c>
      <c r="AH48" s="115">
        <f t="shared" ca="1" si="4"/>
        <v>0</v>
      </c>
      <c r="AI48" s="115">
        <f t="shared" ca="1" si="4"/>
        <v>0</v>
      </c>
      <c r="AJ48" s="115">
        <f t="shared" ca="1" si="4"/>
        <v>0</v>
      </c>
      <c r="AK48" s="115">
        <f t="shared" ca="1" si="4"/>
        <v>0</v>
      </c>
      <c r="AL48" s="115">
        <f t="shared" ca="1" si="5"/>
        <v>0</v>
      </c>
      <c r="AM48" s="115">
        <f t="shared" ca="1" si="5"/>
        <v>0</v>
      </c>
      <c r="AN48" s="115">
        <f t="shared" ca="1" si="5"/>
        <v>0</v>
      </c>
      <c r="AO48" s="115">
        <f t="shared" ca="1" si="5"/>
        <v>0</v>
      </c>
    </row>
    <row r="49" spans="4:41">
      <c r="D49" s="111">
        <f t="shared" ca="1" si="7"/>
        <v>44774</v>
      </c>
      <c r="E49" s="115">
        <f t="shared" ca="1" si="6"/>
        <v>0</v>
      </c>
      <c r="F49" s="115">
        <f t="shared" ca="1" si="3"/>
        <v>0</v>
      </c>
      <c r="G49" s="115">
        <f t="shared" ca="1" si="3"/>
        <v>0</v>
      </c>
      <c r="H49" s="115">
        <f t="shared" ca="1" si="3"/>
        <v>0</v>
      </c>
      <c r="I49" s="115">
        <f t="shared" ca="1" si="3"/>
        <v>0</v>
      </c>
      <c r="J49" s="115">
        <f t="shared" ca="1" si="3"/>
        <v>0</v>
      </c>
      <c r="K49" s="115">
        <f t="shared" ca="1" si="3"/>
        <v>0</v>
      </c>
      <c r="L49" s="115">
        <f t="shared" ca="1" si="3"/>
        <v>0</v>
      </c>
      <c r="M49" s="115">
        <f t="shared" ca="1" si="3"/>
        <v>0</v>
      </c>
      <c r="N49" s="115">
        <f t="shared" ca="1" si="3"/>
        <v>0</v>
      </c>
      <c r="O49" s="115">
        <f t="shared" ca="1" si="3"/>
        <v>0</v>
      </c>
      <c r="P49" s="115">
        <f t="shared" ca="1" si="3"/>
        <v>0</v>
      </c>
      <c r="Q49" s="115">
        <f t="shared" ca="1" si="3"/>
        <v>0</v>
      </c>
      <c r="R49" s="115">
        <f t="shared" ca="1" si="3"/>
        <v>0</v>
      </c>
      <c r="S49" s="115">
        <f t="shared" ca="1" si="3"/>
        <v>0</v>
      </c>
      <c r="T49" s="115">
        <f t="shared" ca="1" si="3"/>
        <v>0</v>
      </c>
      <c r="U49" s="115">
        <f t="shared" ca="1" si="3"/>
        <v>0</v>
      </c>
      <c r="V49" s="115">
        <f t="shared" ca="1" si="4"/>
        <v>0</v>
      </c>
      <c r="W49" s="115">
        <f t="shared" ca="1" si="4"/>
        <v>0</v>
      </c>
      <c r="X49" s="115">
        <f t="shared" ca="1" si="4"/>
        <v>0</v>
      </c>
      <c r="Y49" s="115">
        <f t="shared" ca="1" si="4"/>
        <v>0</v>
      </c>
      <c r="Z49" s="115">
        <f t="shared" ca="1" si="4"/>
        <v>0</v>
      </c>
      <c r="AA49" s="115">
        <f t="shared" ca="1" si="4"/>
        <v>0</v>
      </c>
      <c r="AB49" s="115">
        <f t="shared" ca="1" si="4"/>
        <v>0</v>
      </c>
      <c r="AC49" s="115">
        <f t="shared" ca="1" si="4"/>
        <v>0</v>
      </c>
      <c r="AD49" s="115">
        <f t="shared" ca="1" si="4"/>
        <v>0</v>
      </c>
      <c r="AE49" s="115">
        <f t="shared" ca="1" si="4"/>
        <v>0</v>
      </c>
      <c r="AF49" s="115">
        <f t="shared" ca="1" si="4"/>
        <v>0</v>
      </c>
      <c r="AG49" s="115">
        <f t="shared" ca="1" si="4"/>
        <v>0</v>
      </c>
      <c r="AH49" s="115">
        <f t="shared" ca="1" si="4"/>
        <v>0</v>
      </c>
      <c r="AI49" s="115">
        <f t="shared" ca="1" si="4"/>
        <v>0</v>
      </c>
      <c r="AJ49" s="115">
        <f t="shared" ca="1" si="4"/>
        <v>0</v>
      </c>
      <c r="AK49" s="115">
        <f t="shared" ca="1" si="4"/>
        <v>0</v>
      </c>
      <c r="AL49" s="115">
        <f t="shared" ca="1" si="5"/>
        <v>0</v>
      </c>
      <c r="AM49" s="115">
        <f t="shared" ca="1" si="5"/>
        <v>0</v>
      </c>
      <c r="AN49" s="115">
        <f t="shared" ca="1" si="5"/>
        <v>0</v>
      </c>
      <c r="AO49" s="115">
        <f t="shared" ca="1" si="5"/>
        <v>0</v>
      </c>
    </row>
    <row r="50" spans="4:41">
      <c r="D50" s="111">
        <f t="shared" ca="1" si="7"/>
        <v>44775</v>
      </c>
      <c r="E50" s="115">
        <f t="shared" ca="1" si="6"/>
        <v>0</v>
      </c>
      <c r="F50" s="115">
        <f t="shared" ca="1" si="3"/>
        <v>0</v>
      </c>
      <c r="G50" s="115">
        <f t="shared" ca="1" si="3"/>
        <v>0</v>
      </c>
      <c r="H50" s="115">
        <f t="shared" ca="1" si="3"/>
        <v>0</v>
      </c>
      <c r="I50" s="115">
        <f t="shared" ca="1" si="3"/>
        <v>0</v>
      </c>
      <c r="J50" s="115">
        <f t="shared" ca="1" si="3"/>
        <v>0</v>
      </c>
      <c r="K50" s="115">
        <f t="shared" ca="1" si="3"/>
        <v>0</v>
      </c>
      <c r="L50" s="115">
        <f t="shared" ca="1" si="3"/>
        <v>0</v>
      </c>
      <c r="M50" s="115">
        <f t="shared" ca="1" si="3"/>
        <v>0</v>
      </c>
      <c r="N50" s="115">
        <f t="shared" ca="1" si="3"/>
        <v>0</v>
      </c>
      <c r="O50" s="115">
        <f t="shared" ca="1" si="3"/>
        <v>0</v>
      </c>
      <c r="P50" s="115">
        <f t="shared" ca="1" si="3"/>
        <v>0</v>
      </c>
      <c r="Q50" s="115">
        <f t="shared" ca="1" si="3"/>
        <v>0</v>
      </c>
      <c r="R50" s="115">
        <f t="shared" ca="1" si="3"/>
        <v>0</v>
      </c>
      <c r="S50" s="115">
        <f t="shared" ca="1" si="3"/>
        <v>0</v>
      </c>
      <c r="T50" s="115">
        <f t="shared" ca="1" si="3"/>
        <v>0</v>
      </c>
      <c r="U50" s="115">
        <f t="shared" ca="1" si="3"/>
        <v>0</v>
      </c>
      <c r="V50" s="115">
        <f t="shared" ca="1" si="4"/>
        <v>0</v>
      </c>
      <c r="W50" s="115">
        <f t="shared" ca="1" si="4"/>
        <v>0</v>
      </c>
      <c r="X50" s="115">
        <f t="shared" ca="1" si="4"/>
        <v>0</v>
      </c>
      <c r="Y50" s="115">
        <f t="shared" ca="1" si="4"/>
        <v>0</v>
      </c>
      <c r="Z50" s="115">
        <f t="shared" ca="1" si="4"/>
        <v>0</v>
      </c>
      <c r="AA50" s="115">
        <f t="shared" ca="1" si="4"/>
        <v>0</v>
      </c>
      <c r="AB50" s="115">
        <f t="shared" ca="1" si="4"/>
        <v>0</v>
      </c>
      <c r="AC50" s="115">
        <f t="shared" ca="1" si="4"/>
        <v>0</v>
      </c>
      <c r="AD50" s="115">
        <f t="shared" ca="1" si="4"/>
        <v>0</v>
      </c>
      <c r="AE50" s="115">
        <f t="shared" ca="1" si="4"/>
        <v>0</v>
      </c>
      <c r="AF50" s="115">
        <f t="shared" ca="1" si="4"/>
        <v>0</v>
      </c>
      <c r="AG50" s="115">
        <f t="shared" ca="1" si="4"/>
        <v>0</v>
      </c>
      <c r="AH50" s="115">
        <f t="shared" ca="1" si="4"/>
        <v>0</v>
      </c>
      <c r="AI50" s="115">
        <f t="shared" ca="1" si="4"/>
        <v>0</v>
      </c>
      <c r="AJ50" s="115">
        <f t="shared" ca="1" si="4"/>
        <v>0</v>
      </c>
      <c r="AK50" s="115">
        <f t="shared" ca="1" si="4"/>
        <v>0</v>
      </c>
      <c r="AL50" s="115">
        <f t="shared" ca="1" si="5"/>
        <v>0</v>
      </c>
      <c r="AM50" s="115">
        <f t="shared" ca="1" si="5"/>
        <v>0</v>
      </c>
      <c r="AN50" s="115">
        <f t="shared" ca="1" si="5"/>
        <v>0</v>
      </c>
      <c r="AO50" s="115">
        <f t="shared" ca="1" si="5"/>
        <v>0</v>
      </c>
    </row>
    <row r="51" spans="4:41">
      <c r="D51" s="111">
        <f t="shared" ca="1" si="7"/>
        <v>44776</v>
      </c>
      <c r="E51" s="115">
        <f t="shared" ca="1" si="6"/>
        <v>0</v>
      </c>
      <c r="F51" s="115">
        <f t="shared" ca="1" si="3"/>
        <v>0</v>
      </c>
      <c r="G51" s="115">
        <f t="shared" ca="1" si="3"/>
        <v>0</v>
      </c>
      <c r="H51" s="115">
        <f t="shared" ca="1" si="3"/>
        <v>0</v>
      </c>
      <c r="I51" s="115">
        <f t="shared" ca="1" si="3"/>
        <v>0</v>
      </c>
      <c r="J51" s="115">
        <f t="shared" ca="1" si="3"/>
        <v>0</v>
      </c>
      <c r="K51" s="115">
        <f t="shared" ca="1" si="3"/>
        <v>0</v>
      </c>
      <c r="L51" s="115">
        <f t="shared" ca="1" si="3"/>
        <v>0</v>
      </c>
      <c r="M51" s="115">
        <f t="shared" ca="1" si="3"/>
        <v>0</v>
      </c>
      <c r="N51" s="115">
        <f t="shared" ca="1" si="3"/>
        <v>0</v>
      </c>
      <c r="O51" s="115">
        <f t="shared" ca="1" si="3"/>
        <v>0</v>
      </c>
      <c r="P51" s="115">
        <f t="shared" ca="1" si="3"/>
        <v>0</v>
      </c>
      <c r="Q51" s="115">
        <f t="shared" ca="1" si="3"/>
        <v>0</v>
      </c>
      <c r="R51" s="115">
        <f t="shared" ca="1" si="3"/>
        <v>0</v>
      </c>
      <c r="S51" s="115">
        <f t="shared" ca="1" si="3"/>
        <v>0</v>
      </c>
      <c r="T51" s="115">
        <f t="shared" ca="1" si="3"/>
        <v>0</v>
      </c>
      <c r="U51" s="115">
        <f t="shared" ca="1" si="3"/>
        <v>0</v>
      </c>
      <c r="V51" s="115">
        <f t="shared" ca="1" si="4"/>
        <v>0</v>
      </c>
      <c r="W51" s="115">
        <f t="shared" ca="1" si="4"/>
        <v>0</v>
      </c>
      <c r="X51" s="115">
        <f t="shared" ca="1" si="4"/>
        <v>0</v>
      </c>
      <c r="Y51" s="115">
        <f t="shared" ca="1" si="4"/>
        <v>0</v>
      </c>
      <c r="Z51" s="115">
        <f t="shared" ca="1" si="4"/>
        <v>0</v>
      </c>
      <c r="AA51" s="115">
        <f t="shared" ca="1" si="4"/>
        <v>0</v>
      </c>
      <c r="AB51" s="115">
        <f t="shared" ca="1" si="4"/>
        <v>0</v>
      </c>
      <c r="AC51" s="115">
        <f t="shared" ca="1" si="4"/>
        <v>0</v>
      </c>
      <c r="AD51" s="115">
        <f t="shared" ca="1" si="4"/>
        <v>0</v>
      </c>
      <c r="AE51" s="115">
        <f t="shared" ca="1" si="4"/>
        <v>0</v>
      </c>
      <c r="AF51" s="115">
        <f t="shared" ca="1" si="4"/>
        <v>0</v>
      </c>
      <c r="AG51" s="115">
        <f t="shared" ca="1" si="4"/>
        <v>0</v>
      </c>
      <c r="AH51" s="115">
        <f t="shared" ca="1" si="4"/>
        <v>0</v>
      </c>
      <c r="AI51" s="115">
        <f t="shared" ca="1" si="4"/>
        <v>0</v>
      </c>
      <c r="AJ51" s="115">
        <f t="shared" ca="1" si="4"/>
        <v>0</v>
      </c>
      <c r="AK51" s="115">
        <f t="shared" ca="1" si="4"/>
        <v>0</v>
      </c>
      <c r="AL51" s="115">
        <f t="shared" ca="1" si="5"/>
        <v>0</v>
      </c>
      <c r="AM51" s="115">
        <f t="shared" ca="1" si="5"/>
        <v>0</v>
      </c>
      <c r="AN51" s="115">
        <f t="shared" ca="1" si="5"/>
        <v>0</v>
      </c>
      <c r="AO51" s="115">
        <f t="shared" ca="1" si="5"/>
        <v>0</v>
      </c>
    </row>
    <row r="52" spans="4:41">
      <c r="D52" s="111">
        <f t="shared" ca="1" si="7"/>
        <v>44777</v>
      </c>
      <c r="E52" s="115">
        <f t="shared" ca="1" si="6"/>
        <v>0</v>
      </c>
      <c r="F52" s="115">
        <f t="shared" ca="1" si="3"/>
        <v>0</v>
      </c>
      <c r="G52" s="115">
        <f t="shared" ca="1" si="3"/>
        <v>0</v>
      </c>
      <c r="H52" s="115">
        <f t="shared" ca="1" si="3"/>
        <v>0</v>
      </c>
      <c r="I52" s="115">
        <f t="shared" ca="1" si="3"/>
        <v>0</v>
      </c>
      <c r="J52" s="115">
        <f t="shared" ca="1" si="3"/>
        <v>0</v>
      </c>
      <c r="K52" s="115">
        <f t="shared" ca="1" si="3"/>
        <v>0</v>
      </c>
      <c r="L52" s="115">
        <f t="shared" ca="1" si="3"/>
        <v>0</v>
      </c>
      <c r="M52" s="115">
        <f t="shared" ca="1" si="3"/>
        <v>0</v>
      </c>
      <c r="N52" s="115">
        <f t="shared" ca="1" si="3"/>
        <v>0</v>
      </c>
      <c r="O52" s="115">
        <f t="shared" ca="1" si="3"/>
        <v>0</v>
      </c>
      <c r="P52" s="115">
        <f t="shared" ca="1" si="3"/>
        <v>0</v>
      </c>
      <c r="Q52" s="115">
        <f t="shared" ca="1" si="3"/>
        <v>0</v>
      </c>
      <c r="R52" s="115">
        <f t="shared" ca="1" si="3"/>
        <v>0</v>
      </c>
      <c r="S52" s="115">
        <f t="shared" ca="1" si="3"/>
        <v>0</v>
      </c>
      <c r="T52" s="115">
        <f t="shared" ca="1" si="3"/>
        <v>0</v>
      </c>
      <c r="U52" s="115">
        <f t="shared" ref="U52:AJ67" ca="1" si="8">IFERROR((OptionPrice(LEFT($C$42),U$35,$C$37,($C$38-$D52+1)/365,$C$39,$C$41,$C$40)-$C$43)*$C$44,0)</f>
        <v>0</v>
      </c>
      <c r="V52" s="115">
        <f t="shared" ca="1" si="4"/>
        <v>0</v>
      </c>
      <c r="W52" s="115">
        <f t="shared" ca="1" si="4"/>
        <v>0</v>
      </c>
      <c r="X52" s="115">
        <f t="shared" ca="1" si="4"/>
        <v>0</v>
      </c>
      <c r="Y52" s="115">
        <f t="shared" ca="1" si="4"/>
        <v>0</v>
      </c>
      <c r="Z52" s="115">
        <f t="shared" ca="1" si="4"/>
        <v>0</v>
      </c>
      <c r="AA52" s="115">
        <f t="shared" ca="1" si="4"/>
        <v>0</v>
      </c>
      <c r="AB52" s="115">
        <f t="shared" ca="1" si="4"/>
        <v>0</v>
      </c>
      <c r="AC52" s="115">
        <f t="shared" ca="1" si="4"/>
        <v>0</v>
      </c>
      <c r="AD52" s="115">
        <f t="shared" ca="1" si="4"/>
        <v>0</v>
      </c>
      <c r="AE52" s="115">
        <f t="shared" ca="1" si="4"/>
        <v>0</v>
      </c>
      <c r="AF52" s="115">
        <f t="shared" ca="1" si="4"/>
        <v>0</v>
      </c>
      <c r="AG52" s="115">
        <f t="shared" ca="1" si="4"/>
        <v>0</v>
      </c>
      <c r="AH52" s="115">
        <f t="shared" ca="1" si="4"/>
        <v>0</v>
      </c>
      <c r="AI52" s="115">
        <f t="shared" ca="1" si="4"/>
        <v>0</v>
      </c>
      <c r="AJ52" s="115">
        <f t="shared" ca="1" si="4"/>
        <v>0</v>
      </c>
      <c r="AK52" s="115">
        <f t="shared" ref="AK52:AK67" ca="1" si="9">IFERROR((OptionPrice(LEFT($C$42),AK$35,$C$37,($C$38-$D52+1)/365,$C$39,$C$41,$C$40)-$C$43)*$C$44,0)</f>
        <v>0</v>
      </c>
      <c r="AL52" s="115">
        <f t="shared" ca="1" si="5"/>
        <v>0</v>
      </c>
      <c r="AM52" s="115">
        <f t="shared" ca="1" si="5"/>
        <v>0</v>
      </c>
      <c r="AN52" s="115">
        <f t="shared" ca="1" si="5"/>
        <v>0</v>
      </c>
      <c r="AO52" s="115">
        <f t="shared" ca="1" si="5"/>
        <v>0</v>
      </c>
    </row>
    <row r="53" spans="4:41">
      <c r="D53" s="111">
        <f t="shared" ca="1" si="7"/>
        <v>44778</v>
      </c>
      <c r="E53" s="115">
        <f t="shared" ca="1" si="6"/>
        <v>0</v>
      </c>
      <c r="F53" s="115">
        <f t="shared" ca="1" si="6"/>
        <v>0</v>
      </c>
      <c r="G53" s="115">
        <f t="shared" ca="1" si="6"/>
        <v>0</v>
      </c>
      <c r="H53" s="115">
        <f t="shared" ca="1" si="6"/>
        <v>0</v>
      </c>
      <c r="I53" s="115">
        <f t="shared" ca="1" si="6"/>
        <v>0</v>
      </c>
      <c r="J53" s="115">
        <f t="shared" ca="1" si="6"/>
        <v>0</v>
      </c>
      <c r="K53" s="115">
        <f t="shared" ca="1" si="6"/>
        <v>0</v>
      </c>
      <c r="L53" s="115">
        <f t="shared" ca="1" si="6"/>
        <v>0</v>
      </c>
      <c r="M53" s="115">
        <f t="shared" ca="1" si="6"/>
        <v>0</v>
      </c>
      <c r="N53" s="115">
        <f t="shared" ca="1" si="6"/>
        <v>0</v>
      </c>
      <c r="O53" s="115">
        <f t="shared" ca="1" si="6"/>
        <v>0</v>
      </c>
      <c r="P53" s="115">
        <f t="shared" ca="1" si="6"/>
        <v>0</v>
      </c>
      <c r="Q53" s="115">
        <f t="shared" ca="1" si="6"/>
        <v>0</v>
      </c>
      <c r="R53" s="115">
        <f t="shared" ca="1" si="6"/>
        <v>0</v>
      </c>
      <c r="S53" s="115">
        <f t="shared" ca="1" si="6"/>
        <v>0</v>
      </c>
      <c r="T53" s="115">
        <f t="shared" ca="1" si="6"/>
        <v>0</v>
      </c>
      <c r="U53" s="115">
        <f t="shared" ca="1" si="8"/>
        <v>0</v>
      </c>
      <c r="V53" s="115">
        <f t="shared" ca="1" si="8"/>
        <v>0</v>
      </c>
      <c r="W53" s="115">
        <f t="shared" ca="1" si="8"/>
        <v>0</v>
      </c>
      <c r="X53" s="115">
        <f t="shared" ca="1" si="8"/>
        <v>0</v>
      </c>
      <c r="Y53" s="115">
        <f t="shared" ca="1" si="8"/>
        <v>0</v>
      </c>
      <c r="Z53" s="115">
        <f t="shared" ca="1" si="8"/>
        <v>0</v>
      </c>
      <c r="AA53" s="115">
        <f t="shared" ca="1" si="8"/>
        <v>0</v>
      </c>
      <c r="AB53" s="115">
        <f t="shared" ca="1" si="8"/>
        <v>0</v>
      </c>
      <c r="AC53" s="115">
        <f t="shared" ca="1" si="8"/>
        <v>0</v>
      </c>
      <c r="AD53" s="115">
        <f t="shared" ca="1" si="8"/>
        <v>0</v>
      </c>
      <c r="AE53" s="115">
        <f t="shared" ca="1" si="8"/>
        <v>0</v>
      </c>
      <c r="AF53" s="115">
        <f t="shared" ca="1" si="8"/>
        <v>0</v>
      </c>
      <c r="AG53" s="115">
        <f t="shared" ca="1" si="8"/>
        <v>0</v>
      </c>
      <c r="AH53" s="115">
        <f t="shared" ca="1" si="8"/>
        <v>0</v>
      </c>
      <c r="AI53" s="115">
        <f t="shared" ca="1" si="8"/>
        <v>0</v>
      </c>
      <c r="AJ53" s="115">
        <f t="shared" ca="1" si="8"/>
        <v>0</v>
      </c>
      <c r="AK53" s="115">
        <f t="shared" ca="1" si="9"/>
        <v>0</v>
      </c>
      <c r="AL53" s="115">
        <f t="shared" ca="1" si="5"/>
        <v>0</v>
      </c>
      <c r="AM53" s="115">
        <f t="shared" ca="1" si="5"/>
        <v>0</v>
      </c>
      <c r="AN53" s="115">
        <f t="shared" ca="1" si="5"/>
        <v>0</v>
      </c>
      <c r="AO53" s="115">
        <f t="shared" ca="1" si="5"/>
        <v>0</v>
      </c>
    </row>
    <row r="54" spans="4:41">
      <c r="D54" s="111">
        <f t="shared" ca="1" si="7"/>
        <v>44781</v>
      </c>
      <c r="E54" s="115">
        <f t="shared" ref="E54:T68" ca="1" si="10">IFERROR((OptionPrice(LEFT($C$42),E$35,$C$37,($C$38-$D54+1)/365,$C$39,$C$41,$C$40)-$C$43)*$C$44,0)</f>
        <v>0</v>
      </c>
      <c r="F54" s="115">
        <f t="shared" ca="1" si="10"/>
        <v>0</v>
      </c>
      <c r="G54" s="115">
        <f t="shared" ca="1" si="10"/>
        <v>0</v>
      </c>
      <c r="H54" s="115">
        <f t="shared" ca="1" si="10"/>
        <v>0</v>
      </c>
      <c r="I54" s="115">
        <f t="shared" ca="1" si="10"/>
        <v>0</v>
      </c>
      <c r="J54" s="115">
        <f t="shared" ca="1" si="10"/>
        <v>0</v>
      </c>
      <c r="K54" s="115">
        <f t="shared" ca="1" si="10"/>
        <v>0</v>
      </c>
      <c r="L54" s="115">
        <f t="shared" ca="1" si="10"/>
        <v>0</v>
      </c>
      <c r="M54" s="115">
        <f t="shared" ca="1" si="10"/>
        <v>0</v>
      </c>
      <c r="N54" s="115">
        <f t="shared" ca="1" si="10"/>
        <v>0</v>
      </c>
      <c r="O54" s="115">
        <f t="shared" ca="1" si="10"/>
        <v>0</v>
      </c>
      <c r="P54" s="115">
        <f t="shared" ca="1" si="10"/>
        <v>0</v>
      </c>
      <c r="Q54" s="115">
        <f t="shared" ca="1" si="10"/>
        <v>0</v>
      </c>
      <c r="R54" s="115">
        <f t="shared" ca="1" si="10"/>
        <v>0</v>
      </c>
      <c r="S54" s="115">
        <f t="shared" ca="1" si="10"/>
        <v>0</v>
      </c>
      <c r="T54" s="115">
        <f t="shared" ca="1" si="10"/>
        <v>0</v>
      </c>
      <c r="U54" s="115">
        <f t="shared" ca="1" si="8"/>
        <v>0</v>
      </c>
      <c r="V54" s="115">
        <f t="shared" ca="1" si="8"/>
        <v>0</v>
      </c>
      <c r="W54" s="115">
        <f t="shared" ca="1" si="8"/>
        <v>0</v>
      </c>
      <c r="X54" s="115">
        <f t="shared" ca="1" si="8"/>
        <v>0</v>
      </c>
      <c r="Y54" s="115">
        <f t="shared" ca="1" si="8"/>
        <v>0</v>
      </c>
      <c r="Z54" s="115">
        <f t="shared" ca="1" si="8"/>
        <v>0</v>
      </c>
      <c r="AA54" s="115">
        <f t="shared" ca="1" si="8"/>
        <v>0</v>
      </c>
      <c r="AB54" s="115">
        <f t="shared" ca="1" si="8"/>
        <v>0</v>
      </c>
      <c r="AC54" s="115">
        <f t="shared" ca="1" si="8"/>
        <v>0</v>
      </c>
      <c r="AD54" s="115">
        <f t="shared" ca="1" si="8"/>
        <v>0</v>
      </c>
      <c r="AE54" s="115">
        <f t="shared" ca="1" si="8"/>
        <v>0</v>
      </c>
      <c r="AF54" s="115">
        <f t="shared" ca="1" si="8"/>
        <v>0</v>
      </c>
      <c r="AG54" s="115">
        <f t="shared" ca="1" si="8"/>
        <v>0</v>
      </c>
      <c r="AH54" s="115">
        <f t="shared" ca="1" si="8"/>
        <v>0</v>
      </c>
      <c r="AI54" s="115">
        <f t="shared" ca="1" si="8"/>
        <v>0</v>
      </c>
      <c r="AJ54" s="115">
        <f t="shared" ca="1" si="8"/>
        <v>0</v>
      </c>
      <c r="AK54" s="115">
        <f t="shared" ca="1" si="9"/>
        <v>0</v>
      </c>
      <c r="AL54" s="115">
        <f t="shared" ca="1" si="5"/>
        <v>0</v>
      </c>
      <c r="AM54" s="115">
        <f t="shared" ca="1" si="5"/>
        <v>0</v>
      </c>
      <c r="AN54" s="115">
        <f t="shared" ca="1" si="5"/>
        <v>0</v>
      </c>
      <c r="AO54" s="115">
        <f t="shared" ca="1" si="5"/>
        <v>0</v>
      </c>
    </row>
    <row r="55" spans="4:41">
      <c r="D55" s="111">
        <f t="shared" ca="1" si="7"/>
        <v>44782</v>
      </c>
      <c r="E55" s="115">
        <f t="shared" ca="1" si="10"/>
        <v>0</v>
      </c>
      <c r="F55" s="115">
        <f t="shared" ca="1" si="10"/>
        <v>0</v>
      </c>
      <c r="G55" s="115">
        <f t="shared" ca="1" si="10"/>
        <v>0</v>
      </c>
      <c r="H55" s="115">
        <f t="shared" ca="1" si="10"/>
        <v>0</v>
      </c>
      <c r="I55" s="115">
        <f t="shared" ca="1" si="10"/>
        <v>0</v>
      </c>
      <c r="J55" s="115">
        <f t="shared" ca="1" si="10"/>
        <v>0</v>
      </c>
      <c r="K55" s="115">
        <f t="shared" ca="1" si="10"/>
        <v>0</v>
      </c>
      <c r="L55" s="115">
        <f t="shared" ca="1" si="10"/>
        <v>0</v>
      </c>
      <c r="M55" s="115">
        <f t="shared" ca="1" si="10"/>
        <v>0</v>
      </c>
      <c r="N55" s="115">
        <f t="shared" ca="1" si="10"/>
        <v>0</v>
      </c>
      <c r="O55" s="115">
        <f t="shared" ca="1" si="10"/>
        <v>0</v>
      </c>
      <c r="P55" s="115">
        <f t="shared" ca="1" si="10"/>
        <v>0</v>
      </c>
      <c r="Q55" s="115">
        <f t="shared" ca="1" si="10"/>
        <v>0</v>
      </c>
      <c r="R55" s="115">
        <f t="shared" ca="1" si="10"/>
        <v>0</v>
      </c>
      <c r="S55" s="115">
        <f t="shared" ca="1" si="10"/>
        <v>0</v>
      </c>
      <c r="T55" s="115">
        <f t="shared" ca="1" si="10"/>
        <v>0</v>
      </c>
      <c r="U55" s="115">
        <f t="shared" ca="1" si="8"/>
        <v>0</v>
      </c>
      <c r="V55" s="115">
        <f t="shared" ca="1" si="8"/>
        <v>0</v>
      </c>
      <c r="W55" s="115">
        <f t="shared" ca="1" si="8"/>
        <v>0</v>
      </c>
      <c r="X55" s="115">
        <f t="shared" ca="1" si="8"/>
        <v>0</v>
      </c>
      <c r="Y55" s="115">
        <f t="shared" ca="1" si="8"/>
        <v>0</v>
      </c>
      <c r="Z55" s="115">
        <f t="shared" ca="1" si="8"/>
        <v>0</v>
      </c>
      <c r="AA55" s="115">
        <f t="shared" ca="1" si="8"/>
        <v>0</v>
      </c>
      <c r="AB55" s="115">
        <f t="shared" ca="1" si="8"/>
        <v>0</v>
      </c>
      <c r="AC55" s="115">
        <f t="shared" ca="1" si="8"/>
        <v>0</v>
      </c>
      <c r="AD55" s="115">
        <f t="shared" ca="1" si="8"/>
        <v>0</v>
      </c>
      <c r="AE55" s="115">
        <f t="shared" ca="1" si="8"/>
        <v>0</v>
      </c>
      <c r="AF55" s="115">
        <f t="shared" ca="1" si="8"/>
        <v>0</v>
      </c>
      <c r="AG55" s="115">
        <f t="shared" ca="1" si="8"/>
        <v>0</v>
      </c>
      <c r="AH55" s="115">
        <f t="shared" ca="1" si="8"/>
        <v>0</v>
      </c>
      <c r="AI55" s="115">
        <f t="shared" ca="1" si="8"/>
        <v>0</v>
      </c>
      <c r="AJ55" s="115">
        <f t="shared" ca="1" si="8"/>
        <v>0</v>
      </c>
      <c r="AK55" s="115">
        <f t="shared" ca="1" si="9"/>
        <v>0</v>
      </c>
      <c r="AL55" s="115">
        <f t="shared" ca="1" si="5"/>
        <v>0</v>
      </c>
      <c r="AM55" s="115">
        <f t="shared" ca="1" si="5"/>
        <v>0</v>
      </c>
      <c r="AN55" s="115">
        <f t="shared" ca="1" si="5"/>
        <v>0</v>
      </c>
      <c r="AO55" s="115">
        <f t="shared" ca="1" si="5"/>
        <v>0</v>
      </c>
    </row>
    <row r="56" spans="4:41">
      <c r="D56" s="111">
        <f t="shared" ca="1" si="7"/>
        <v>44783</v>
      </c>
      <c r="E56" s="115">
        <f t="shared" ca="1" si="10"/>
        <v>0</v>
      </c>
      <c r="F56" s="115">
        <f t="shared" ca="1" si="10"/>
        <v>0</v>
      </c>
      <c r="G56" s="115">
        <f t="shared" ca="1" si="10"/>
        <v>0</v>
      </c>
      <c r="H56" s="115">
        <f t="shared" ca="1" si="10"/>
        <v>0</v>
      </c>
      <c r="I56" s="115">
        <f t="shared" ca="1" si="10"/>
        <v>0</v>
      </c>
      <c r="J56" s="115">
        <f t="shared" ca="1" si="10"/>
        <v>0</v>
      </c>
      <c r="K56" s="115">
        <f t="shared" ca="1" si="10"/>
        <v>0</v>
      </c>
      <c r="L56" s="115">
        <f t="shared" ca="1" si="10"/>
        <v>0</v>
      </c>
      <c r="M56" s="115">
        <f t="shared" ca="1" si="10"/>
        <v>0</v>
      </c>
      <c r="N56" s="115">
        <f t="shared" ca="1" si="10"/>
        <v>0</v>
      </c>
      <c r="O56" s="115">
        <f t="shared" ca="1" si="10"/>
        <v>0</v>
      </c>
      <c r="P56" s="115">
        <f t="shared" ca="1" si="10"/>
        <v>0</v>
      </c>
      <c r="Q56" s="115">
        <f t="shared" ca="1" si="10"/>
        <v>0</v>
      </c>
      <c r="R56" s="115">
        <f t="shared" ca="1" si="10"/>
        <v>0</v>
      </c>
      <c r="S56" s="115">
        <f t="shared" ca="1" si="10"/>
        <v>0</v>
      </c>
      <c r="T56" s="115">
        <f t="shared" ca="1" si="10"/>
        <v>0</v>
      </c>
      <c r="U56" s="115">
        <f t="shared" ca="1" si="8"/>
        <v>0</v>
      </c>
      <c r="V56" s="115">
        <f t="shared" ca="1" si="8"/>
        <v>0</v>
      </c>
      <c r="W56" s="115">
        <f t="shared" ca="1" si="8"/>
        <v>0</v>
      </c>
      <c r="X56" s="115">
        <f t="shared" ca="1" si="8"/>
        <v>0</v>
      </c>
      <c r="Y56" s="115">
        <f t="shared" ca="1" si="8"/>
        <v>0</v>
      </c>
      <c r="Z56" s="115">
        <f t="shared" ca="1" si="8"/>
        <v>0</v>
      </c>
      <c r="AA56" s="115">
        <f t="shared" ca="1" si="8"/>
        <v>0</v>
      </c>
      <c r="AB56" s="115">
        <f t="shared" ca="1" si="8"/>
        <v>0</v>
      </c>
      <c r="AC56" s="115">
        <f t="shared" ca="1" si="8"/>
        <v>0</v>
      </c>
      <c r="AD56" s="115">
        <f t="shared" ca="1" si="8"/>
        <v>0</v>
      </c>
      <c r="AE56" s="115">
        <f t="shared" ca="1" si="8"/>
        <v>0</v>
      </c>
      <c r="AF56" s="115">
        <f t="shared" ca="1" si="8"/>
        <v>0</v>
      </c>
      <c r="AG56" s="115">
        <f t="shared" ca="1" si="8"/>
        <v>0</v>
      </c>
      <c r="AH56" s="115">
        <f t="shared" ca="1" si="8"/>
        <v>0</v>
      </c>
      <c r="AI56" s="115">
        <f t="shared" ca="1" si="8"/>
        <v>0</v>
      </c>
      <c r="AJ56" s="115">
        <f t="shared" ca="1" si="8"/>
        <v>0</v>
      </c>
      <c r="AK56" s="115">
        <f t="shared" ca="1" si="9"/>
        <v>0</v>
      </c>
      <c r="AL56" s="115">
        <f t="shared" ca="1" si="5"/>
        <v>0</v>
      </c>
      <c r="AM56" s="115">
        <f t="shared" ca="1" si="5"/>
        <v>0</v>
      </c>
      <c r="AN56" s="115">
        <f t="shared" ca="1" si="5"/>
        <v>0</v>
      </c>
      <c r="AO56" s="115">
        <f t="shared" ca="1" si="5"/>
        <v>0</v>
      </c>
    </row>
    <row r="57" spans="4:41">
      <c r="D57" s="111">
        <f t="shared" ca="1" si="7"/>
        <v>44784</v>
      </c>
      <c r="E57" s="115">
        <f t="shared" ca="1" si="10"/>
        <v>0</v>
      </c>
      <c r="F57" s="115">
        <f t="shared" ca="1" si="10"/>
        <v>0</v>
      </c>
      <c r="G57" s="115">
        <f t="shared" ca="1" si="10"/>
        <v>0</v>
      </c>
      <c r="H57" s="115">
        <f t="shared" ca="1" si="10"/>
        <v>0</v>
      </c>
      <c r="I57" s="115">
        <f t="shared" ca="1" si="10"/>
        <v>0</v>
      </c>
      <c r="J57" s="115">
        <f t="shared" ca="1" si="10"/>
        <v>0</v>
      </c>
      <c r="K57" s="115">
        <f t="shared" ca="1" si="10"/>
        <v>0</v>
      </c>
      <c r="L57" s="115">
        <f t="shared" ca="1" si="10"/>
        <v>0</v>
      </c>
      <c r="M57" s="115">
        <f t="shared" ca="1" si="10"/>
        <v>0</v>
      </c>
      <c r="N57" s="115">
        <f t="shared" ca="1" si="10"/>
        <v>0</v>
      </c>
      <c r="O57" s="115">
        <f t="shared" ca="1" si="10"/>
        <v>0</v>
      </c>
      <c r="P57" s="115">
        <f t="shared" ca="1" si="10"/>
        <v>0</v>
      </c>
      <c r="Q57" s="115">
        <f t="shared" ca="1" si="10"/>
        <v>0</v>
      </c>
      <c r="R57" s="115">
        <f t="shared" ca="1" si="10"/>
        <v>0</v>
      </c>
      <c r="S57" s="115">
        <f t="shared" ca="1" si="10"/>
        <v>0</v>
      </c>
      <c r="T57" s="115">
        <f t="shared" ca="1" si="10"/>
        <v>0</v>
      </c>
      <c r="U57" s="115">
        <f t="shared" ca="1" si="8"/>
        <v>0</v>
      </c>
      <c r="V57" s="115">
        <f t="shared" ca="1" si="8"/>
        <v>0</v>
      </c>
      <c r="W57" s="115">
        <f t="shared" ca="1" si="8"/>
        <v>0</v>
      </c>
      <c r="X57" s="115">
        <f t="shared" ca="1" si="8"/>
        <v>0</v>
      </c>
      <c r="Y57" s="115">
        <f t="shared" ca="1" si="8"/>
        <v>0</v>
      </c>
      <c r="Z57" s="115">
        <f t="shared" ca="1" si="8"/>
        <v>0</v>
      </c>
      <c r="AA57" s="115">
        <f t="shared" ca="1" si="8"/>
        <v>0</v>
      </c>
      <c r="AB57" s="115">
        <f t="shared" ca="1" si="8"/>
        <v>0</v>
      </c>
      <c r="AC57" s="115">
        <f t="shared" ca="1" si="8"/>
        <v>0</v>
      </c>
      <c r="AD57" s="115">
        <f t="shared" ca="1" si="8"/>
        <v>0</v>
      </c>
      <c r="AE57" s="115">
        <f t="shared" ca="1" si="8"/>
        <v>0</v>
      </c>
      <c r="AF57" s="115">
        <f t="shared" ca="1" si="8"/>
        <v>0</v>
      </c>
      <c r="AG57" s="115">
        <f t="shared" ca="1" si="8"/>
        <v>0</v>
      </c>
      <c r="AH57" s="115">
        <f t="shared" ca="1" si="8"/>
        <v>0</v>
      </c>
      <c r="AI57" s="115">
        <f t="shared" ca="1" si="8"/>
        <v>0</v>
      </c>
      <c r="AJ57" s="115">
        <f t="shared" ca="1" si="8"/>
        <v>0</v>
      </c>
      <c r="AK57" s="115">
        <f t="shared" ca="1" si="9"/>
        <v>0</v>
      </c>
      <c r="AL57" s="115">
        <f t="shared" ca="1" si="5"/>
        <v>0</v>
      </c>
      <c r="AM57" s="115">
        <f t="shared" ca="1" si="5"/>
        <v>0</v>
      </c>
      <c r="AN57" s="115">
        <f t="shared" ca="1" si="5"/>
        <v>0</v>
      </c>
      <c r="AO57" s="115">
        <f t="shared" ca="1" si="5"/>
        <v>0</v>
      </c>
    </row>
    <row r="58" spans="4:41">
      <c r="D58" s="111">
        <f t="shared" ca="1" si="7"/>
        <v>44785</v>
      </c>
      <c r="E58" s="115">
        <f t="shared" ca="1" si="10"/>
        <v>0</v>
      </c>
      <c r="F58" s="115">
        <f t="shared" ca="1" si="10"/>
        <v>0</v>
      </c>
      <c r="G58" s="115">
        <f t="shared" ca="1" si="10"/>
        <v>0</v>
      </c>
      <c r="H58" s="115">
        <f t="shared" ca="1" si="10"/>
        <v>0</v>
      </c>
      <c r="I58" s="115">
        <f t="shared" ca="1" si="10"/>
        <v>0</v>
      </c>
      <c r="J58" s="115">
        <f t="shared" ca="1" si="10"/>
        <v>0</v>
      </c>
      <c r="K58" s="115">
        <f t="shared" ca="1" si="10"/>
        <v>0</v>
      </c>
      <c r="L58" s="115">
        <f t="shared" ca="1" si="10"/>
        <v>0</v>
      </c>
      <c r="M58" s="115">
        <f t="shared" ca="1" si="10"/>
        <v>0</v>
      </c>
      <c r="N58" s="115">
        <f t="shared" ca="1" si="10"/>
        <v>0</v>
      </c>
      <c r="O58" s="115">
        <f t="shared" ca="1" si="10"/>
        <v>0</v>
      </c>
      <c r="P58" s="115">
        <f t="shared" ca="1" si="10"/>
        <v>0</v>
      </c>
      <c r="Q58" s="115">
        <f t="shared" ca="1" si="10"/>
        <v>0</v>
      </c>
      <c r="R58" s="115">
        <f t="shared" ca="1" si="10"/>
        <v>0</v>
      </c>
      <c r="S58" s="115">
        <f t="shared" ca="1" si="10"/>
        <v>0</v>
      </c>
      <c r="T58" s="115">
        <f t="shared" ca="1" si="10"/>
        <v>0</v>
      </c>
      <c r="U58" s="115">
        <f t="shared" ca="1" si="8"/>
        <v>0</v>
      </c>
      <c r="V58" s="115">
        <f t="shared" ca="1" si="8"/>
        <v>0</v>
      </c>
      <c r="W58" s="115">
        <f t="shared" ca="1" si="8"/>
        <v>0</v>
      </c>
      <c r="X58" s="115">
        <f t="shared" ca="1" si="8"/>
        <v>0</v>
      </c>
      <c r="Y58" s="115">
        <f t="shared" ca="1" si="8"/>
        <v>0</v>
      </c>
      <c r="Z58" s="115">
        <f t="shared" ca="1" si="8"/>
        <v>0</v>
      </c>
      <c r="AA58" s="115">
        <f t="shared" ca="1" si="8"/>
        <v>0</v>
      </c>
      <c r="AB58" s="115">
        <f t="shared" ca="1" si="8"/>
        <v>0</v>
      </c>
      <c r="AC58" s="115">
        <f t="shared" ca="1" si="8"/>
        <v>0</v>
      </c>
      <c r="AD58" s="115">
        <f t="shared" ca="1" si="8"/>
        <v>0</v>
      </c>
      <c r="AE58" s="115">
        <f t="shared" ca="1" si="8"/>
        <v>0</v>
      </c>
      <c r="AF58" s="115">
        <f t="shared" ca="1" si="8"/>
        <v>0</v>
      </c>
      <c r="AG58" s="115">
        <f t="shared" ca="1" si="8"/>
        <v>0</v>
      </c>
      <c r="AH58" s="115">
        <f t="shared" ca="1" si="8"/>
        <v>0</v>
      </c>
      <c r="AI58" s="115">
        <f t="shared" ca="1" si="8"/>
        <v>0</v>
      </c>
      <c r="AJ58" s="115">
        <f t="shared" ca="1" si="8"/>
        <v>0</v>
      </c>
      <c r="AK58" s="115">
        <f t="shared" ca="1" si="9"/>
        <v>0</v>
      </c>
      <c r="AL58" s="115">
        <f t="shared" ca="1" si="5"/>
        <v>0</v>
      </c>
      <c r="AM58" s="115">
        <f t="shared" ca="1" si="5"/>
        <v>0</v>
      </c>
      <c r="AN58" s="115">
        <f t="shared" ca="1" si="5"/>
        <v>0</v>
      </c>
      <c r="AO58" s="115">
        <f t="shared" ca="1" si="5"/>
        <v>0</v>
      </c>
    </row>
    <row r="59" spans="4:41">
      <c r="D59" s="111">
        <f t="shared" ca="1" si="7"/>
        <v>44788</v>
      </c>
      <c r="E59" s="115">
        <f t="shared" ca="1" si="10"/>
        <v>0</v>
      </c>
      <c r="F59" s="115">
        <f t="shared" ca="1" si="10"/>
        <v>0</v>
      </c>
      <c r="G59" s="115">
        <f t="shared" ca="1" si="10"/>
        <v>0</v>
      </c>
      <c r="H59" s="115">
        <f t="shared" ca="1" si="10"/>
        <v>0</v>
      </c>
      <c r="I59" s="115">
        <f t="shared" ca="1" si="10"/>
        <v>0</v>
      </c>
      <c r="J59" s="115">
        <f t="shared" ca="1" si="10"/>
        <v>0</v>
      </c>
      <c r="K59" s="115">
        <f t="shared" ca="1" si="10"/>
        <v>0</v>
      </c>
      <c r="L59" s="115">
        <f t="shared" ca="1" si="10"/>
        <v>0</v>
      </c>
      <c r="M59" s="115">
        <f t="shared" ca="1" si="10"/>
        <v>0</v>
      </c>
      <c r="N59" s="115">
        <f t="shared" ca="1" si="10"/>
        <v>0</v>
      </c>
      <c r="O59" s="115">
        <f t="shared" ca="1" si="10"/>
        <v>0</v>
      </c>
      <c r="P59" s="115">
        <f t="shared" ca="1" si="10"/>
        <v>0</v>
      </c>
      <c r="Q59" s="115">
        <f t="shared" ca="1" si="10"/>
        <v>0</v>
      </c>
      <c r="R59" s="115">
        <f t="shared" ca="1" si="10"/>
        <v>0</v>
      </c>
      <c r="S59" s="115">
        <f t="shared" ca="1" si="10"/>
        <v>0</v>
      </c>
      <c r="T59" s="115">
        <f t="shared" ca="1" si="10"/>
        <v>0</v>
      </c>
      <c r="U59" s="115">
        <f t="shared" ca="1" si="8"/>
        <v>0</v>
      </c>
      <c r="V59" s="115">
        <f t="shared" ca="1" si="8"/>
        <v>0</v>
      </c>
      <c r="W59" s="115">
        <f t="shared" ca="1" si="8"/>
        <v>0</v>
      </c>
      <c r="X59" s="115">
        <f t="shared" ca="1" si="8"/>
        <v>0</v>
      </c>
      <c r="Y59" s="115">
        <f t="shared" ca="1" si="8"/>
        <v>0</v>
      </c>
      <c r="Z59" s="115">
        <f t="shared" ca="1" si="8"/>
        <v>0</v>
      </c>
      <c r="AA59" s="115">
        <f t="shared" ca="1" si="8"/>
        <v>0</v>
      </c>
      <c r="AB59" s="115">
        <f t="shared" ca="1" si="8"/>
        <v>0</v>
      </c>
      <c r="AC59" s="115">
        <f t="shared" ca="1" si="8"/>
        <v>0</v>
      </c>
      <c r="AD59" s="115">
        <f t="shared" ca="1" si="8"/>
        <v>0</v>
      </c>
      <c r="AE59" s="115">
        <f t="shared" ca="1" si="8"/>
        <v>0</v>
      </c>
      <c r="AF59" s="115">
        <f t="shared" ca="1" si="8"/>
        <v>0</v>
      </c>
      <c r="AG59" s="115">
        <f t="shared" ca="1" si="8"/>
        <v>0</v>
      </c>
      <c r="AH59" s="115">
        <f t="shared" ca="1" si="8"/>
        <v>0</v>
      </c>
      <c r="AI59" s="115">
        <f t="shared" ca="1" si="8"/>
        <v>0</v>
      </c>
      <c r="AJ59" s="115">
        <f t="shared" ca="1" si="8"/>
        <v>0</v>
      </c>
      <c r="AK59" s="115">
        <f t="shared" ca="1" si="9"/>
        <v>0</v>
      </c>
      <c r="AL59" s="115">
        <f t="shared" ca="1" si="5"/>
        <v>0</v>
      </c>
      <c r="AM59" s="115">
        <f t="shared" ca="1" si="5"/>
        <v>0</v>
      </c>
      <c r="AN59" s="115">
        <f t="shared" ca="1" si="5"/>
        <v>0</v>
      </c>
      <c r="AO59" s="115">
        <f t="shared" ca="1" si="5"/>
        <v>0</v>
      </c>
    </row>
    <row r="60" spans="4:41">
      <c r="D60" s="111">
        <f t="shared" ca="1" si="7"/>
        <v>44789</v>
      </c>
      <c r="E60" s="115">
        <f t="shared" ca="1" si="10"/>
        <v>0</v>
      </c>
      <c r="F60" s="115">
        <f t="shared" ca="1" si="10"/>
        <v>0</v>
      </c>
      <c r="G60" s="115">
        <f t="shared" ca="1" si="10"/>
        <v>0</v>
      </c>
      <c r="H60" s="115">
        <f t="shared" ca="1" si="10"/>
        <v>0</v>
      </c>
      <c r="I60" s="115">
        <f t="shared" ca="1" si="10"/>
        <v>0</v>
      </c>
      <c r="J60" s="115">
        <f t="shared" ca="1" si="10"/>
        <v>0</v>
      </c>
      <c r="K60" s="115">
        <f t="shared" ca="1" si="10"/>
        <v>0</v>
      </c>
      <c r="L60" s="115">
        <f t="shared" ca="1" si="10"/>
        <v>0</v>
      </c>
      <c r="M60" s="115">
        <f t="shared" ca="1" si="10"/>
        <v>0</v>
      </c>
      <c r="N60" s="115">
        <f t="shared" ca="1" si="10"/>
        <v>0</v>
      </c>
      <c r="O60" s="115">
        <f t="shared" ca="1" si="10"/>
        <v>0</v>
      </c>
      <c r="P60" s="115">
        <f t="shared" ca="1" si="10"/>
        <v>0</v>
      </c>
      <c r="Q60" s="115">
        <f t="shared" ca="1" si="10"/>
        <v>0</v>
      </c>
      <c r="R60" s="115">
        <f t="shared" ca="1" si="10"/>
        <v>0</v>
      </c>
      <c r="S60" s="115">
        <f t="shared" ca="1" si="10"/>
        <v>0</v>
      </c>
      <c r="T60" s="115">
        <f t="shared" ca="1" si="10"/>
        <v>0</v>
      </c>
      <c r="U60" s="115">
        <f t="shared" ca="1" si="8"/>
        <v>0</v>
      </c>
      <c r="V60" s="115">
        <f t="shared" ca="1" si="8"/>
        <v>0</v>
      </c>
      <c r="W60" s="115">
        <f t="shared" ca="1" si="8"/>
        <v>0</v>
      </c>
      <c r="X60" s="115">
        <f t="shared" ca="1" si="8"/>
        <v>0</v>
      </c>
      <c r="Y60" s="115">
        <f t="shared" ca="1" si="8"/>
        <v>0</v>
      </c>
      <c r="Z60" s="115">
        <f t="shared" ca="1" si="8"/>
        <v>0</v>
      </c>
      <c r="AA60" s="115">
        <f t="shared" ca="1" si="8"/>
        <v>0</v>
      </c>
      <c r="AB60" s="115">
        <f t="shared" ca="1" si="8"/>
        <v>0</v>
      </c>
      <c r="AC60" s="115">
        <f t="shared" ca="1" si="8"/>
        <v>0</v>
      </c>
      <c r="AD60" s="115">
        <f t="shared" ca="1" si="8"/>
        <v>0</v>
      </c>
      <c r="AE60" s="115">
        <f t="shared" ca="1" si="8"/>
        <v>0</v>
      </c>
      <c r="AF60" s="115">
        <f t="shared" ca="1" si="8"/>
        <v>0</v>
      </c>
      <c r="AG60" s="115">
        <f t="shared" ca="1" si="8"/>
        <v>0</v>
      </c>
      <c r="AH60" s="115">
        <f t="shared" ca="1" si="8"/>
        <v>0</v>
      </c>
      <c r="AI60" s="115">
        <f t="shared" ca="1" si="8"/>
        <v>0</v>
      </c>
      <c r="AJ60" s="115">
        <f t="shared" ca="1" si="8"/>
        <v>0</v>
      </c>
      <c r="AK60" s="115">
        <f t="shared" ca="1" si="9"/>
        <v>0</v>
      </c>
      <c r="AL60" s="115">
        <f t="shared" ca="1" si="5"/>
        <v>0</v>
      </c>
      <c r="AM60" s="115">
        <f t="shared" ca="1" si="5"/>
        <v>0</v>
      </c>
      <c r="AN60" s="115">
        <f t="shared" ca="1" si="5"/>
        <v>0</v>
      </c>
      <c r="AO60" s="115">
        <f t="shared" ca="1" si="5"/>
        <v>0</v>
      </c>
    </row>
    <row r="61" spans="4:41">
      <c r="D61" s="111">
        <f t="shared" ca="1" si="7"/>
        <v>44790</v>
      </c>
      <c r="E61" s="115">
        <f t="shared" ca="1" si="10"/>
        <v>0</v>
      </c>
      <c r="F61" s="115">
        <f t="shared" ca="1" si="10"/>
        <v>0</v>
      </c>
      <c r="G61" s="115">
        <f t="shared" ca="1" si="10"/>
        <v>0</v>
      </c>
      <c r="H61" s="115">
        <f t="shared" ca="1" si="10"/>
        <v>0</v>
      </c>
      <c r="I61" s="115">
        <f t="shared" ca="1" si="10"/>
        <v>0</v>
      </c>
      <c r="J61" s="115">
        <f t="shared" ca="1" si="10"/>
        <v>0</v>
      </c>
      <c r="K61" s="115">
        <f t="shared" ca="1" si="10"/>
        <v>0</v>
      </c>
      <c r="L61" s="115">
        <f t="shared" ca="1" si="10"/>
        <v>0</v>
      </c>
      <c r="M61" s="115">
        <f t="shared" ca="1" si="10"/>
        <v>0</v>
      </c>
      <c r="N61" s="115">
        <f t="shared" ca="1" si="10"/>
        <v>0</v>
      </c>
      <c r="O61" s="115">
        <f t="shared" ca="1" si="10"/>
        <v>0</v>
      </c>
      <c r="P61" s="115">
        <f t="shared" ca="1" si="10"/>
        <v>0</v>
      </c>
      <c r="Q61" s="115">
        <f t="shared" ca="1" si="10"/>
        <v>0</v>
      </c>
      <c r="R61" s="115">
        <f t="shared" ca="1" si="10"/>
        <v>0</v>
      </c>
      <c r="S61" s="115">
        <f t="shared" ca="1" si="10"/>
        <v>0</v>
      </c>
      <c r="T61" s="115">
        <f t="shared" ca="1" si="10"/>
        <v>0</v>
      </c>
      <c r="U61" s="115">
        <f t="shared" ca="1" si="8"/>
        <v>0</v>
      </c>
      <c r="V61" s="115">
        <f t="shared" ca="1" si="8"/>
        <v>0</v>
      </c>
      <c r="W61" s="115">
        <f t="shared" ca="1" si="8"/>
        <v>0</v>
      </c>
      <c r="X61" s="115">
        <f t="shared" ca="1" si="8"/>
        <v>0</v>
      </c>
      <c r="Y61" s="115">
        <f t="shared" ca="1" si="8"/>
        <v>0</v>
      </c>
      <c r="Z61" s="115">
        <f t="shared" ca="1" si="8"/>
        <v>0</v>
      </c>
      <c r="AA61" s="115">
        <f t="shared" ca="1" si="8"/>
        <v>0</v>
      </c>
      <c r="AB61" s="115">
        <f t="shared" ca="1" si="8"/>
        <v>0</v>
      </c>
      <c r="AC61" s="115">
        <f t="shared" ca="1" si="8"/>
        <v>0</v>
      </c>
      <c r="AD61" s="115">
        <f t="shared" ca="1" si="8"/>
        <v>0</v>
      </c>
      <c r="AE61" s="115">
        <f t="shared" ca="1" si="8"/>
        <v>0</v>
      </c>
      <c r="AF61" s="115">
        <f t="shared" ca="1" si="8"/>
        <v>0</v>
      </c>
      <c r="AG61" s="115">
        <f t="shared" ca="1" si="8"/>
        <v>0</v>
      </c>
      <c r="AH61" s="115">
        <f t="shared" ca="1" si="8"/>
        <v>0</v>
      </c>
      <c r="AI61" s="115">
        <f t="shared" ca="1" si="8"/>
        <v>0</v>
      </c>
      <c r="AJ61" s="115">
        <f t="shared" ca="1" si="8"/>
        <v>0</v>
      </c>
      <c r="AK61" s="115">
        <f t="shared" ca="1" si="9"/>
        <v>0</v>
      </c>
      <c r="AL61" s="115">
        <f t="shared" ca="1" si="5"/>
        <v>0</v>
      </c>
      <c r="AM61" s="115">
        <f t="shared" ca="1" si="5"/>
        <v>0</v>
      </c>
      <c r="AN61" s="115">
        <f t="shared" ca="1" si="5"/>
        <v>0</v>
      </c>
      <c r="AO61" s="115">
        <f t="shared" ca="1" si="5"/>
        <v>0</v>
      </c>
    </row>
    <row r="62" spans="4:41">
      <c r="D62" s="111">
        <f t="shared" ca="1" si="7"/>
        <v>44791</v>
      </c>
      <c r="E62" s="115">
        <f t="shared" ca="1" si="10"/>
        <v>0</v>
      </c>
      <c r="F62" s="115">
        <f t="shared" ca="1" si="10"/>
        <v>0</v>
      </c>
      <c r="G62" s="115">
        <f t="shared" ca="1" si="10"/>
        <v>0</v>
      </c>
      <c r="H62" s="115">
        <f t="shared" ca="1" si="10"/>
        <v>0</v>
      </c>
      <c r="I62" s="115">
        <f t="shared" ca="1" si="10"/>
        <v>0</v>
      </c>
      <c r="J62" s="115">
        <f t="shared" ca="1" si="10"/>
        <v>0</v>
      </c>
      <c r="K62" s="115">
        <f t="shared" ca="1" si="10"/>
        <v>0</v>
      </c>
      <c r="L62" s="115">
        <f t="shared" ca="1" si="10"/>
        <v>0</v>
      </c>
      <c r="M62" s="115">
        <f t="shared" ca="1" si="10"/>
        <v>0</v>
      </c>
      <c r="N62" s="115">
        <f t="shared" ca="1" si="10"/>
        <v>0</v>
      </c>
      <c r="O62" s="115">
        <f t="shared" ca="1" si="10"/>
        <v>0</v>
      </c>
      <c r="P62" s="115">
        <f t="shared" ca="1" si="10"/>
        <v>0</v>
      </c>
      <c r="Q62" s="115">
        <f t="shared" ca="1" si="10"/>
        <v>0</v>
      </c>
      <c r="R62" s="115">
        <f t="shared" ca="1" si="10"/>
        <v>0</v>
      </c>
      <c r="S62" s="115">
        <f t="shared" ca="1" si="10"/>
        <v>0</v>
      </c>
      <c r="T62" s="115">
        <f t="shared" ca="1" si="10"/>
        <v>0</v>
      </c>
      <c r="U62" s="115">
        <f t="shared" ca="1" si="8"/>
        <v>0</v>
      </c>
      <c r="V62" s="115">
        <f t="shared" ca="1" si="8"/>
        <v>0</v>
      </c>
      <c r="W62" s="115">
        <f t="shared" ca="1" si="8"/>
        <v>0</v>
      </c>
      <c r="X62" s="115">
        <f t="shared" ca="1" si="8"/>
        <v>0</v>
      </c>
      <c r="Y62" s="115">
        <f t="shared" ca="1" si="8"/>
        <v>0</v>
      </c>
      <c r="Z62" s="115">
        <f t="shared" ca="1" si="8"/>
        <v>0</v>
      </c>
      <c r="AA62" s="115">
        <f t="shared" ca="1" si="8"/>
        <v>0</v>
      </c>
      <c r="AB62" s="115">
        <f t="shared" ca="1" si="8"/>
        <v>0</v>
      </c>
      <c r="AC62" s="115">
        <f t="shared" ca="1" si="8"/>
        <v>0</v>
      </c>
      <c r="AD62" s="115">
        <f t="shared" ca="1" si="8"/>
        <v>0</v>
      </c>
      <c r="AE62" s="115">
        <f t="shared" ca="1" si="8"/>
        <v>0</v>
      </c>
      <c r="AF62" s="115">
        <f t="shared" ca="1" si="8"/>
        <v>0</v>
      </c>
      <c r="AG62" s="115">
        <f t="shared" ca="1" si="8"/>
        <v>0</v>
      </c>
      <c r="AH62" s="115">
        <f t="shared" ca="1" si="8"/>
        <v>0</v>
      </c>
      <c r="AI62" s="115">
        <f t="shared" ca="1" si="8"/>
        <v>0</v>
      </c>
      <c r="AJ62" s="115">
        <f t="shared" ca="1" si="8"/>
        <v>0</v>
      </c>
      <c r="AK62" s="115">
        <f t="shared" ca="1" si="9"/>
        <v>0</v>
      </c>
      <c r="AL62" s="115">
        <f t="shared" ca="1" si="5"/>
        <v>0</v>
      </c>
      <c r="AM62" s="115">
        <f t="shared" ca="1" si="5"/>
        <v>0</v>
      </c>
      <c r="AN62" s="115">
        <f t="shared" ca="1" si="5"/>
        <v>0</v>
      </c>
      <c r="AO62" s="115">
        <f t="shared" ca="1" si="5"/>
        <v>0</v>
      </c>
    </row>
    <row r="63" spans="4:41">
      <c r="D63" s="111">
        <f t="shared" ca="1" si="7"/>
        <v>44792</v>
      </c>
      <c r="E63" s="115">
        <f t="shared" ca="1" si="10"/>
        <v>0</v>
      </c>
      <c r="F63" s="115">
        <f t="shared" ca="1" si="10"/>
        <v>0</v>
      </c>
      <c r="G63" s="115">
        <f t="shared" ca="1" si="10"/>
        <v>0</v>
      </c>
      <c r="H63" s="115">
        <f t="shared" ca="1" si="10"/>
        <v>0</v>
      </c>
      <c r="I63" s="115">
        <f t="shared" ca="1" si="10"/>
        <v>0</v>
      </c>
      <c r="J63" s="115">
        <f t="shared" ca="1" si="10"/>
        <v>0</v>
      </c>
      <c r="K63" s="115">
        <f t="shared" ca="1" si="10"/>
        <v>0</v>
      </c>
      <c r="L63" s="115">
        <f t="shared" ca="1" si="10"/>
        <v>0</v>
      </c>
      <c r="M63" s="115">
        <f t="shared" ca="1" si="10"/>
        <v>0</v>
      </c>
      <c r="N63" s="115">
        <f t="shared" ca="1" si="10"/>
        <v>0</v>
      </c>
      <c r="O63" s="115">
        <f t="shared" ca="1" si="10"/>
        <v>0</v>
      </c>
      <c r="P63" s="115">
        <f t="shared" ca="1" si="10"/>
        <v>0</v>
      </c>
      <c r="Q63" s="115">
        <f t="shared" ca="1" si="10"/>
        <v>0</v>
      </c>
      <c r="R63" s="115">
        <f t="shared" ca="1" si="10"/>
        <v>0</v>
      </c>
      <c r="S63" s="115">
        <f t="shared" ca="1" si="10"/>
        <v>0</v>
      </c>
      <c r="T63" s="115">
        <f t="shared" ca="1" si="10"/>
        <v>0</v>
      </c>
      <c r="U63" s="115">
        <f t="shared" ca="1" si="8"/>
        <v>0</v>
      </c>
      <c r="V63" s="115">
        <f t="shared" ca="1" si="8"/>
        <v>0</v>
      </c>
      <c r="W63" s="115">
        <f t="shared" ca="1" si="8"/>
        <v>0</v>
      </c>
      <c r="X63" s="115">
        <f t="shared" ca="1" si="8"/>
        <v>0</v>
      </c>
      <c r="Y63" s="115">
        <f t="shared" ca="1" si="8"/>
        <v>0</v>
      </c>
      <c r="Z63" s="115">
        <f t="shared" ca="1" si="8"/>
        <v>0</v>
      </c>
      <c r="AA63" s="115">
        <f t="shared" ca="1" si="8"/>
        <v>0</v>
      </c>
      <c r="AB63" s="115">
        <f t="shared" ca="1" si="8"/>
        <v>0</v>
      </c>
      <c r="AC63" s="115">
        <f t="shared" ca="1" si="8"/>
        <v>0</v>
      </c>
      <c r="AD63" s="115">
        <f t="shared" ca="1" si="8"/>
        <v>0</v>
      </c>
      <c r="AE63" s="115">
        <f t="shared" ca="1" si="8"/>
        <v>0</v>
      </c>
      <c r="AF63" s="115">
        <f t="shared" ca="1" si="8"/>
        <v>0</v>
      </c>
      <c r="AG63" s="115">
        <f t="shared" ca="1" si="8"/>
        <v>0</v>
      </c>
      <c r="AH63" s="115">
        <f t="shared" ca="1" si="8"/>
        <v>0</v>
      </c>
      <c r="AI63" s="115">
        <f t="shared" ca="1" si="8"/>
        <v>0</v>
      </c>
      <c r="AJ63" s="115">
        <f t="shared" ca="1" si="8"/>
        <v>0</v>
      </c>
      <c r="AK63" s="115">
        <f t="shared" ca="1" si="9"/>
        <v>0</v>
      </c>
      <c r="AL63" s="115">
        <f t="shared" ca="1" si="5"/>
        <v>0</v>
      </c>
      <c r="AM63" s="115">
        <f t="shared" ca="1" si="5"/>
        <v>0</v>
      </c>
      <c r="AN63" s="115">
        <f t="shared" ca="1" si="5"/>
        <v>0</v>
      </c>
      <c r="AO63" s="115">
        <f t="shared" ca="1" si="5"/>
        <v>0</v>
      </c>
    </row>
    <row r="64" spans="4:41">
      <c r="D64" s="111">
        <f t="shared" ca="1" si="7"/>
        <v>44795</v>
      </c>
      <c r="E64" s="115">
        <f t="shared" ca="1" si="10"/>
        <v>0</v>
      </c>
      <c r="F64" s="115">
        <f t="shared" ca="1" si="10"/>
        <v>0</v>
      </c>
      <c r="G64" s="115">
        <f t="shared" ca="1" si="10"/>
        <v>0</v>
      </c>
      <c r="H64" s="115">
        <f t="shared" ca="1" si="10"/>
        <v>0</v>
      </c>
      <c r="I64" s="115">
        <f t="shared" ca="1" si="10"/>
        <v>0</v>
      </c>
      <c r="J64" s="115">
        <f t="shared" ca="1" si="10"/>
        <v>0</v>
      </c>
      <c r="K64" s="115">
        <f t="shared" ca="1" si="10"/>
        <v>0</v>
      </c>
      <c r="L64" s="115">
        <f t="shared" ca="1" si="10"/>
        <v>0</v>
      </c>
      <c r="M64" s="115">
        <f t="shared" ca="1" si="10"/>
        <v>0</v>
      </c>
      <c r="N64" s="115">
        <f t="shared" ca="1" si="10"/>
        <v>0</v>
      </c>
      <c r="O64" s="115">
        <f t="shared" ca="1" si="10"/>
        <v>0</v>
      </c>
      <c r="P64" s="115">
        <f t="shared" ca="1" si="10"/>
        <v>0</v>
      </c>
      <c r="Q64" s="115">
        <f t="shared" ca="1" si="10"/>
        <v>0</v>
      </c>
      <c r="R64" s="115">
        <f t="shared" ca="1" si="10"/>
        <v>0</v>
      </c>
      <c r="S64" s="115">
        <f t="shared" ca="1" si="10"/>
        <v>0</v>
      </c>
      <c r="T64" s="115">
        <f t="shared" ca="1" si="10"/>
        <v>0</v>
      </c>
      <c r="U64" s="115">
        <f t="shared" ca="1" si="8"/>
        <v>0</v>
      </c>
      <c r="V64" s="115">
        <f t="shared" ca="1" si="8"/>
        <v>0</v>
      </c>
      <c r="W64" s="115">
        <f t="shared" ca="1" si="8"/>
        <v>0</v>
      </c>
      <c r="X64" s="115">
        <f t="shared" ca="1" si="8"/>
        <v>0</v>
      </c>
      <c r="Y64" s="115">
        <f t="shared" ca="1" si="8"/>
        <v>0</v>
      </c>
      <c r="Z64" s="115">
        <f t="shared" ca="1" si="8"/>
        <v>0</v>
      </c>
      <c r="AA64" s="115">
        <f t="shared" ca="1" si="8"/>
        <v>0</v>
      </c>
      <c r="AB64" s="115">
        <f t="shared" ca="1" si="8"/>
        <v>0</v>
      </c>
      <c r="AC64" s="115">
        <f t="shared" ca="1" si="8"/>
        <v>0</v>
      </c>
      <c r="AD64" s="115">
        <f t="shared" ca="1" si="8"/>
        <v>0</v>
      </c>
      <c r="AE64" s="115">
        <f t="shared" ca="1" si="8"/>
        <v>0</v>
      </c>
      <c r="AF64" s="115">
        <f t="shared" ca="1" si="8"/>
        <v>0</v>
      </c>
      <c r="AG64" s="115">
        <f t="shared" ca="1" si="8"/>
        <v>0</v>
      </c>
      <c r="AH64" s="115">
        <f t="shared" ca="1" si="8"/>
        <v>0</v>
      </c>
      <c r="AI64" s="115">
        <f t="shared" ca="1" si="8"/>
        <v>0</v>
      </c>
      <c r="AJ64" s="115">
        <f t="shared" ca="1" si="8"/>
        <v>0</v>
      </c>
      <c r="AK64" s="115">
        <f t="shared" ca="1" si="9"/>
        <v>0</v>
      </c>
      <c r="AL64" s="115">
        <f t="shared" ca="1" si="5"/>
        <v>0</v>
      </c>
      <c r="AM64" s="115">
        <f t="shared" ca="1" si="5"/>
        <v>0</v>
      </c>
      <c r="AN64" s="115">
        <f t="shared" ca="1" si="5"/>
        <v>0</v>
      </c>
      <c r="AO64" s="115">
        <f t="shared" ca="1" si="5"/>
        <v>0</v>
      </c>
    </row>
    <row r="65" spans="2:41">
      <c r="D65" s="111">
        <f t="shared" ca="1" si="7"/>
        <v>44796</v>
      </c>
      <c r="E65" s="115">
        <f t="shared" ca="1" si="10"/>
        <v>0</v>
      </c>
      <c r="F65" s="115">
        <f t="shared" ca="1" si="10"/>
        <v>0</v>
      </c>
      <c r="G65" s="115">
        <f t="shared" ca="1" si="10"/>
        <v>0</v>
      </c>
      <c r="H65" s="115">
        <f t="shared" ca="1" si="10"/>
        <v>0</v>
      </c>
      <c r="I65" s="115">
        <f t="shared" ca="1" si="10"/>
        <v>0</v>
      </c>
      <c r="J65" s="115">
        <f t="shared" ca="1" si="10"/>
        <v>0</v>
      </c>
      <c r="K65" s="115">
        <f t="shared" ca="1" si="10"/>
        <v>0</v>
      </c>
      <c r="L65" s="115">
        <f t="shared" ca="1" si="10"/>
        <v>0</v>
      </c>
      <c r="M65" s="115">
        <f t="shared" ca="1" si="10"/>
        <v>0</v>
      </c>
      <c r="N65" s="115">
        <f t="shared" ca="1" si="10"/>
        <v>0</v>
      </c>
      <c r="O65" s="115">
        <f t="shared" ca="1" si="10"/>
        <v>0</v>
      </c>
      <c r="P65" s="115">
        <f t="shared" ca="1" si="10"/>
        <v>0</v>
      </c>
      <c r="Q65" s="115">
        <f t="shared" ca="1" si="10"/>
        <v>0</v>
      </c>
      <c r="R65" s="115">
        <f t="shared" ca="1" si="10"/>
        <v>0</v>
      </c>
      <c r="S65" s="115">
        <f t="shared" ca="1" si="10"/>
        <v>0</v>
      </c>
      <c r="T65" s="115">
        <f t="shared" ca="1" si="10"/>
        <v>0</v>
      </c>
      <c r="U65" s="115">
        <f t="shared" ca="1" si="8"/>
        <v>0</v>
      </c>
      <c r="V65" s="115">
        <f t="shared" ca="1" si="8"/>
        <v>0</v>
      </c>
      <c r="W65" s="115">
        <f t="shared" ca="1" si="8"/>
        <v>0</v>
      </c>
      <c r="X65" s="115">
        <f t="shared" ca="1" si="8"/>
        <v>0</v>
      </c>
      <c r="Y65" s="115">
        <f t="shared" ca="1" si="8"/>
        <v>0</v>
      </c>
      <c r="Z65" s="115">
        <f t="shared" ca="1" si="8"/>
        <v>0</v>
      </c>
      <c r="AA65" s="115">
        <f t="shared" ca="1" si="8"/>
        <v>0</v>
      </c>
      <c r="AB65" s="115">
        <f t="shared" ca="1" si="8"/>
        <v>0</v>
      </c>
      <c r="AC65" s="115">
        <f t="shared" ca="1" si="8"/>
        <v>0</v>
      </c>
      <c r="AD65" s="115">
        <f t="shared" ca="1" si="8"/>
        <v>0</v>
      </c>
      <c r="AE65" s="115">
        <f t="shared" ca="1" si="8"/>
        <v>0</v>
      </c>
      <c r="AF65" s="115">
        <f t="shared" ca="1" si="8"/>
        <v>0</v>
      </c>
      <c r="AG65" s="115">
        <f t="shared" ca="1" si="8"/>
        <v>0</v>
      </c>
      <c r="AH65" s="115">
        <f t="shared" ca="1" si="8"/>
        <v>0</v>
      </c>
      <c r="AI65" s="115">
        <f t="shared" ca="1" si="8"/>
        <v>0</v>
      </c>
      <c r="AJ65" s="115">
        <f t="shared" ca="1" si="8"/>
        <v>0</v>
      </c>
      <c r="AK65" s="115">
        <f t="shared" ca="1" si="9"/>
        <v>0</v>
      </c>
      <c r="AL65" s="115">
        <f t="shared" ca="1" si="5"/>
        <v>0</v>
      </c>
      <c r="AM65" s="115">
        <f t="shared" ca="1" si="5"/>
        <v>0</v>
      </c>
      <c r="AN65" s="115">
        <f t="shared" ca="1" si="5"/>
        <v>0</v>
      </c>
      <c r="AO65" s="115">
        <f t="shared" ca="1" si="5"/>
        <v>0</v>
      </c>
    </row>
    <row r="66" spans="2:41">
      <c r="D66" s="111">
        <f t="shared" ca="1" si="7"/>
        <v>44797</v>
      </c>
      <c r="E66" s="115">
        <f t="shared" ca="1" si="10"/>
        <v>0</v>
      </c>
      <c r="F66" s="115">
        <f t="shared" ca="1" si="10"/>
        <v>0</v>
      </c>
      <c r="G66" s="115">
        <f t="shared" ca="1" si="10"/>
        <v>0</v>
      </c>
      <c r="H66" s="115">
        <f t="shared" ca="1" si="10"/>
        <v>0</v>
      </c>
      <c r="I66" s="115">
        <f t="shared" ca="1" si="10"/>
        <v>0</v>
      </c>
      <c r="J66" s="115">
        <f t="shared" ca="1" si="10"/>
        <v>0</v>
      </c>
      <c r="K66" s="115">
        <f t="shared" ca="1" si="10"/>
        <v>0</v>
      </c>
      <c r="L66" s="115">
        <f t="shared" ca="1" si="10"/>
        <v>0</v>
      </c>
      <c r="M66" s="115">
        <f t="shared" ca="1" si="10"/>
        <v>0</v>
      </c>
      <c r="N66" s="115">
        <f t="shared" ca="1" si="10"/>
        <v>0</v>
      </c>
      <c r="O66" s="115">
        <f t="shared" ca="1" si="10"/>
        <v>0</v>
      </c>
      <c r="P66" s="115">
        <f t="shared" ca="1" si="10"/>
        <v>0</v>
      </c>
      <c r="Q66" s="115">
        <f t="shared" ca="1" si="10"/>
        <v>0</v>
      </c>
      <c r="R66" s="115">
        <f t="shared" ca="1" si="10"/>
        <v>0</v>
      </c>
      <c r="S66" s="115">
        <f t="shared" ca="1" si="10"/>
        <v>0</v>
      </c>
      <c r="T66" s="115">
        <f t="shared" ca="1" si="10"/>
        <v>0</v>
      </c>
      <c r="U66" s="115">
        <f t="shared" ca="1" si="8"/>
        <v>0</v>
      </c>
      <c r="V66" s="115">
        <f t="shared" ca="1" si="8"/>
        <v>0</v>
      </c>
      <c r="W66" s="115">
        <f t="shared" ca="1" si="8"/>
        <v>0</v>
      </c>
      <c r="X66" s="115">
        <f t="shared" ca="1" si="8"/>
        <v>0</v>
      </c>
      <c r="Y66" s="115">
        <f t="shared" ca="1" si="8"/>
        <v>0</v>
      </c>
      <c r="Z66" s="115">
        <f t="shared" ca="1" si="8"/>
        <v>0</v>
      </c>
      <c r="AA66" s="115">
        <f t="shared" ca="1" si="8"/>
        <v>0</v>
      </c>
      <c r="AB66" s="115">
        <f t="shared" ca="1" si="8"/>
        <v>0</v>
      </c>
      <c r="AC66" s="115">
        <f t="shared" ca="1" si="8"/>
        <v>0</v>
      </c>
      <c r="AD66" s="115">
        <f t="shared" ca="1" si="8"/>
        <v>0</v>
      </c>
      <c r="AE66" s="115">
        <f t="shared" ca="1" si="8"/>
        <v>0</v>
      </c>
      <c r="AF66" s="115">
        <f t="shared" ca="1" si="8"/>
        <v>0</v>
      </c>
      <c r="AG66" s="115">
        <f t="shared" ca="1" si="8"/>
        <v>0</v>
      </c>
      <c r="AH66" s="115">
        <f t="shared" ca="1" si="8"/>
        <v>0</v>
      </c>
      <c r="AI66" s="115">
        <f t="shared" ca="1" si="8"/>
        <v>0</v>
      </c>
      <c r="AJ66" s="115">
        <f t="shared" ca="1" si="8"/>
        <v>0</v>
      </c>
      <c r="AK66" s="115">
        <f t="shared" ca="1" si="9"/>
        <v>0</v>
      </c>
      <c r="AL66" s="115">
        <f t="shared" ca="1" si="5"/>
        <v>0</v>
      </c>
      <c r="AM66" s="115">
        <f t="shared" ca="1" si="5"/>
        <v>0</v>
      </c>
      <c r="AN66" s="115">
        <f t="shared" ca="1" si="5"/>
        <v>0</v>
      </c>
      <c r="AO66" s="115">
        <f t="shared" ca="1" si="5"/>
        <v>0</v>
      </c>
    </row>
    <row r="67" spans="2:41">
      <c r="D67" s="111">
        <f t="shared" ca="1" si="7"/>
        <v>44798</v>
      </c>
      <c r="E67" s="115">
        <f t="shared" ca="1" si="10"/>
        <v>0</v>
      </c>
      <c r="F67" s="115">
        <f t="shared" ca="1" si="10"/>
        <v>0</v>
      </c>
      <c r="G67" s="115">
        <f t="shared" ca="1" si="10"/>
        <v>0</v>
      </c>
      <c r="H67" s="115">
        <f t="shared" ca="1" si="10"/>
        <v>0</v>
      </c>
      <c r="I67" s="115">
        <f t="shared" ca="1" si="10"/>
        <v>0</v>
      </c>
      <c r="J67" s="115">
        <f t="shared" ca="1" si="10"/>
        <v>0</v>
      </c>
      <c r="K67" s="115">
        <f t="shared" ca="1" si="10"/>
        <v>0</v>
      </c>
      <c r="L67" s="115">
        <f t="shared" ca="1" si="10"/>
        <v>0</v>
      </c>
      <c r="M67" s="115">
        <f t="shared" ca="1" si="10"/>
        <v>0</v>
      </c>
      <c r="N67" s="115">
        <f t="shared" ca="1" si="10"/>
        <v>0</v>
      </c>
      <c r="O67" s="115">
        <f t="shared" ca="1" si="10"/>
        <v>0</v>
      </c>
      <c r="P67" s="115">
        <f t="shared" ca="1" si="10"/>
        <v>0</v>
      </c>
      <c r="Q67" s="115">
        <f t="shared" ca="1" si="10"/>
        <v>0</v>
      </c>
      <c r="R67" s="115">
        <f t="shared" ca="1" si="10"/>
        <v>0</v>
      </c>
      <c r="S67" s="115">
        <f t="shared" ca="1" si="10"/>
        <v>0</v>
      </c>
      <c r="T67" s="115">
        <f t="shared" ca="1" si="10"/>
        <v>0</v>
      </c>
      <c r="U67" s="115">
        <f t="shared" ca="1" si="8"/>
        <v>0</v>
      </c>
      <c r="V67" s="115">
        <f t="shared" ca="1" si="8"/>
        <v>0</v>
      </c>
      <c r="W67" s="115">
        <f t="shared" ca="1" si="8"/>
        <v>0</v>
      </c>
      <c r="X67" s="115">
        <f t="shared" ca="1" si="8"/>
        <v>0</v>
      </c>
      <c r="Y67" s="115">
        <f t="shared" ca="1" si="8"/>
        <v>0</v>
      </c>
      <c r="Z67" s="115">
        <f t="shared" ca="1" si="8"/>
        <v>0</v>
      </c>
      <c r="AA67" s="115">
        <f t="shared" ca="1" si="8"/>
        <v>0</v>
      </c>
      <c r="AB67" s="115">
        <f t="shared" ca="1" si="8"/>
        <v>0</v>
      </c>
      <c r="AC67" s="115">
        <f t="shared" ca="1" si="8"/>
        <v>0</v>
      </c>
      <c r="AD67" s="115">
        <f t="shared" ca="1" si="8"/>
        <v>0</v>
      </c>
      <c r="AE67" s="115">
        <f t="shared" ca="1" si="8"/>
        <v>0</v>
      </c>
      <c r="AF67" s="115">
        <f t="shared" ca="1" si="8"/>
        <v>0</v>
      </c>
      <c r="AG67" s="115">
        <f t="shared" ca="1" si="8"/>
        <v>0</v>
      </c>
      <c r="AH67" s="115">
        <f t="shared" ca="1" si="8"/>
        <v>0</v>
      </c>
      <c r="AI67" s="115">
        <f t="shared" ca="1" si="8"/>
        <v>0</v>
      </c>
      <c r="AJ67" s="115">
        <f t="shared" ca="1" si="8"/>
        <v>0</v>
      </c>
      <c r="AK67" s="115">
        <f t="shared" ca="1" si="9"/>
        <v>0</v>
      </c>
      <c r="AL67" s="115">
        <f t="shared" ca="1" si="5"/>
        <v>0</v>
      </c>
      <c r="AM67" s="115">
        <f t="shared" ca="1" si="5"/>
        <v>0</v>
      </c>
      <c r="AN67" s="115">
        <f t="shared" ca="1" si="5"/>
        <v>0</v>
      </c>
      <c r="AO67" s="115">
        <f t="shared" ca="1" si="5"/>
        <v>0</v>
      </c>
    </row>
    <row r="68" spans="2:41">
      <c r="D68" s="111">
        <f t="shared" ca="1" si="7"/>
        <v>44799</v>
      </c>
      <c r="E68" s="115">
        <f t="shared" ca="1" si="10"/>
        <v>0</v>
      </c>
      <c r="F68" s="115">
        <f t="shared" ca="1" si="10"/>
        <v>0</v>
      </c>
      <c r="G68" s="115">
        <f t="shared" ca="1" si="10"/>
        <v>0</v>
      </c>
      <c r="H68" s="115">
        <f t="shared" ca="1" si="10"/>
        <v>0</v>
      </c>
      <c r="I68" s="115">
        <f t="shared" ca="1" si="10"/>
        <v>0</v>
      </c>
      <c r="J68" s="115">
        <f t="shared" ca="1" si="10"/>
        <v>0</v>
      </c>
      <c r="K68" s="115">
        <f t="shared" ca="1" si="10"/>
        <v>0</v>
      </c>
      <c r="L68" s="115">
        <f t="shared" ca="1" si="10"/>
        <v>0</v>
      </c>
      <c r="M68" s="115">
        <f t="shared" ca="1" si="10"/>
        <v>0</v>
      </c>
      <c r="N68" s="115">
        <f t="shared" ca="1" si="10"/>
        <v>0</v>
      </c>
      <c r="O68" s="115">
        <f t="shared" ca="1" si="10"/>
        <v>0</v>
      </c>
      <c r="P68" s="115">
        <f t="shared" ca="1" si="10"/>
        <v>0</v>
      </c>
      <c r="Q68" s="115">
        <f t="shared" ca="1" si="10"/>
        <v>0</v>
      </c>
      <c r="R68" s="115">
        <f t="shared" ca="1" si="10"/>
        <v>0</v>
      </c>
      <c r="S68" s="115">
        <f t="shared" ca="1" si="10"/>
        <v>0</v>
      </c>
      <c r="T68" s="115">
        <f t="shared" ca="1" si="10"/>
        <v>0</v>
      </c>
      <c r="U68" s="115">
        <f t="shared" ref="U68:AK68" ca="1" si="11">IFERROR((OptionPrice(LEFT($C$42),U$35,$C$37,($C$38-$D68+1)/365,$C$39,$C$41,$C$40)-$C$43)*$C$44,0)</f>
        <v>0</v>
      </c>
      <c r="V68" s="115">
        <f t="shared" ca="1" si="11"/>
        <v>0</v>
      </c>
      <c r="W68" s="115">
        <f t="shared" ca="1" si="11"/>
        <v>0</v>
      </c>
      <c r="X68" s="115">
        <f t="shared" ca="1" si="11"/>
        <v>0</v>
      </c>
      <c r="Y68" s="115">
        <f t="shared" ca="1" si="11"/>
        <v>0</v>
      </c>
      <c r="Z68" s="115">
        <f t="shared" ca="1" si="11"/>
        <v>0</v>
      </c>
      <c r="AA68" s="115">
        <f t="shared" ca="1" si="11"/>
        <v>0</v>
      </c>
      <c r="AB68" s="115">
        <f t="shared" ca="1" si="11"/>
        <v>0</v>
      </c>
      <c r="AC68" s="115">
        <f t="shared" ca="1" si="11"/>
        <v>0</v>
      </c>
      <c r="AD68" s="115">
        <f t="shared" ca="1" si="11"/>
        <v>0</v>
      </c>
      <c r="AE68" s="115">
        <f t="shared" ca="1" si="11"/>
        <v>0</v>
      </c>
      <c r="AF68" s="115">
        <f t="shared" ca="1" si="11"/>
        <v>0</v>
      </c>
      <c r="AG68" s="115">
        <f t="shared" ca="1" si="11"/>
        <v>0</v>
      </c>
      <c r="AH68" s="115">
        <f t="shared" ca="1" si="11"/>
        <v>0</v>
      </c>
      <c r="AI68" s="115">
        <f t="shared" ca="1" si="11"/>
        <v>0</v>
      </c>
      <c r="AJ68" s="115">
        <f t="shared" ca="1" si="11"/>
        <v>0</v>
      </c>
      <c r="AK68" s="115">
        <f t="shared" ca="1" si="11"/>
        <v>0</v>
      </c>
      <c r="AL68" s="115">
        <f t="shared" ca="1" si="5"/>
        <v>0</v>
      </c>
      <c r="AM68" s="115">
        <f t="shared" ca="1" si="5"/>
        <v>0</v>
      </c>
      <c r="AN68" s="115">
        <f t="shared" ca="1" si="5"/>
        <v>0</v>
      </c>
      <c r="AO68" s="115">
        <f t="shared" ca="1" si="5"/>
        <v>0</v>
      </c>
    </row>
    <row r="69" spans="2:41">
      <c r="E69" s="116"/>
      <c r="F69" s="116"/>
      <c r="G69" s="116"/>
      <c r="H69" s="116"/>
      <c r="I69" s="116"/>
      <c r="J69" s="116"/>
      <c r="K69" s="116"/>
      <c r="L69" s="116"/>
      <c r="M69" s="116"/>
      <c r="N69" s="116"/>
      <c r="O69" s="116"/>
      <c r="P69" s="116"/>
      <c r="Q69" s="116"/>
      <c r="R69" s="116"/>
      <c r="S69" s="116"/>
      <c r="T69" s="116"/>
      <c r="U69" s="116"/>
      <c r="V69" s="116"/>
      <c r="W69" s="116"/>
      <c r="X69" s="116"/>
      <c r="Y69" s="116"/>
      <c r="Z69" s="116"/>
      <c r="AA69" s="116"/>
      <c r="AB69" s="116"/>
      <c r="AC69" s="116"/>
      <c r="AD69" s="116"/>
      <c r="AE69" s="116"/>
      <c r="AF69" s="116"/>
      <c r="AG69" s="116"/>
      <c r="AH69" s="116"/>
      <c r="AI69" s="116"/>
      <c r="AJ69" s="116"/>
      <c r="AK69" s="116"/>
      <c r="AL69" s="116"/>
      <c r="AM69" s="116"/>
      <c r="AN69" s="116"/>
      <c r="AO69" s="116"/>
    </row>
    <row r="70" spans="2:41">
      <c r="E70" s="116"/>
      <c r="F70" s="116"/>
      <c r="G70" s="116"/>
      <c r="H70" s="116"/>
      <c r="I70" s="116"/>
      <c r="J70" s="116"/>
      <c r="K70" s="116"/>
      <c r="L70" s="116"/>
      <c r="M70" s="116"/>
      <c r="N70" s="116"/>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c r="AL70" s="116"/>
      <c r="AM70" s="116"/>
      <c r="AN70" s="116"/>
      <c r="AO70" s="116"/>
    </row>
    <row r="71" spans="2:41">
      <c r="E71" s="116"/>
      <c r="F71" s="116"/>
      <c r="G71" s="116"/>
      <c r="H71" s="116"/>
      <c r="I71" s="116"/>
      <c r="J71" s="116"/>
      <c r="K71" s="116"/>
      <c r="L71" s="116"/>
      <c r="M71" s="116"/>
      <c r="N71" s="116"/>
      <c r="O71" s="116"/>
      <c r="P71" s="116"/>
      <c r="Q71" s="116"/>
      <c r="R71" s="116"/>
      <c r="S71" s="116"/>
      <c r="T71" s="116"/>
      <c r="U71" s="116"/>
      <c r="V71" s="116"/>
      <c r="W71" s="116"/>
      <c r="X71" s="116"/>
      <c r="Y71" s="116"/>
      <c r="Z71" s="116"/>
      <c r="AA71" s="116"/>
      <c r="AB71" s="116"/>
      <c r="AC71" s="116"/>
      <c r="AD71" s="116"/>
      <c r="AE71" s="116"/>
      <c r="AF71" s="116"/>
      <c r="AG71" s="116"/>
      <c r="AH71" s="116"/>
      <c r="AI71" s="116"/>
      <c r="AJ71" s="116"/>
      <c r="AK71" s="116"/>
      <c r="AL71" s="116"/>
      <c r="AM71" s="116"/>
      <c r="AN71" s="116"/>
      <c r="AO71" s="116"/>
    </row>
    <row r="72" spans="2:41">
      <c r="B72" s="22" t="s">
        <v>548</v>
      </c>
      <c r="C72" s="23" t="str">
        <f>C35</f>
        <v>AttributeError: 'float' object has no attribute 'upper'
    return True if code.upper() in index_list else False
  File "F:\Programs\lib\site-packages\nsetools\nse.py", line 321, in is_valid_index
    if self.is_valid_index(code):
  File "F:\Programs\lib\site-packages\nsetools\nse.py", line 332, in get_index_quote
    indexQuote = nse.get_index_quote(symbol)['lastPrice']
  File "f:\mrig analytics\development\mriganalytics\interface\..\mrigutilities.py", line 608, in getIndexQuote
    quote = mu.getIndexQuote(symbol)
  File "f:\mrig analytics\development\mriganalytics\interface\pyxcel.py", line 132, in mrigxl_getIndexQuote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D72" s="13" t="s">
        <v>79</v>
      </c>
      <c r="E72" s="109" t="e">
        <f>E35</f>
        <v>#VALUE!</v>
      </c>
      <c r="F72" s="110" t="e">
        <f t="shared" ref="F72:AO72" si="12">F35</f>
        <v>#VALUE!</v>
      </c>
      <c r="G72" s="110" t="e">
        <f t="shared" si="12"/>
        <v>#VALUE!</v>
      </c>
      <c r="H72" s="110" t="e">
        <f t="shared" si="12"/>
        <v>#VALUE!</v>
      </c>
      <c r="I72" s="110" t="e">
        <f t="shared" si="12"/>
        <v>#VALUE!</v>
      </c>
      <c r="J72" s="110" t="e">
        <f t="shared" si="12"/>
        <v>#VALUE!</v>
      </c>
      <c r="K72" s="110" t="e">
        <f t="shared" si="12"/>
        <v>#VALUE!</v>
      </c>
      <c r="L72" s="110" t="e">
        <f t="shared" si="12"/>
        <v>#VALUE!</v>
      </c>
      <c r="M72" s="110" t="e">
        <f t="shared" si="12"/>
        <v>#VALUE!</v>
      </c>
      <c r="N72" s="110" t="e">
        <f t="shared" si="12"/>
        <v>#VALUE!</v>
      </c>
      <c r="O72" s="110" t="e">
        <f t="shared" si="12"/>
        <v>#VALUE!</v>
      </c>
      <c r="P72" s="110" t="e">
        <f t="shared" si="12"/>
        <v>#VALUE!</v>
      </c>
      <c r="Q72" s="110" t="e">
        <f t="shared" si="12"/>
        <v>#VALUE!</v>
      </c>
      <c r="R72" s="110" t="e">
        <f t="shared" si="12"/>
        <v>#VALUE!</v>
      </c>
      <c r="S72" s="110" t="e">
        <f t="shared" si="12"/>
        <v>#VALUE!</v>
      </c>
      <c r="T72" s="110" t="e">
        <f t="shared" si="12"/>
        <v>#VALUE!</v>
      </c>
      <c r="U72" s="110" t="e">
        <f t="shared" si="12"/>
        <v>#VALUE!</v>
      </c>
      <c r="V72" s="110" t="e">
        <f t="shared" si="12"/>
        <v>#VALUE!</v>
      </c>
      <c r="W72" s="110" t="e">
        <f t="shared" si="12"/>
        <v>#VALUE!</v>
      </c>
      <c r="X72" s="110" t="e">
        <f t="shared" si="12"/>
        <v>#VALUE!</v>
      </c>
      <c r="Y72" s="110" t="e">
        <f t="shared" si="12"/>
        <v>#VALUE!</v>
      </c>
      <c r="Z72" s="110" t="e">
        <f t="shared" si="12"/>
        <v>#VALUE!</v>
      </c>
      <c r="AA72" s="110" t="e">
        <f t="shared" si="12"/>
        <v>#VALUE!</v>
      </c>
      <c r="AB72" s="110" t="e">
        <f t="shared" si="12"/>
        <v>#VALUE!</v>
      </c>
      <c r="AC72" s="110" t="e">
        <f t="shared" si="12"/>
        <v>#VALUE!</v>
      </c>
      <c r="AD72" s="110" t="e">
        <f t="shared" si="12"/>
        <v>#VALUE!</v>
      </c>
      <c r="AE72" s="110" t="e">
        <f t="shared" si="12"/>
        <v>#VALUE!</v>
      </c>
      <c r="AF72" s="110" t="e">
        <f t="shared" si="12"/>
        <v>#VALUE!</v>
      </c>
      <c r="AG72" s="110" t="e">
        <f t="shared" si="12"/>
        <v>#VALUE!</v>
      </c>
      <c r="AH72" s="110" t="e">
        <f t="shared" si="12"/>
        <v>#VALUE!</v>
      </c>
      <c r="AI72" s="110" t="e">
        <f t="shared" si="12"/>
        <v>#VALUE!</v>
      </c>
      <c r="AJ72" s="110" t="e">
        <f t="shared" si="12"/>
        <v>#VALUE!</v>
      </c>
      <c r="AK72" s="110" t="e">
        <f t="shared" si="12"/>
        <v>#VALUE!</v>
      </c>
      <c r="AL72" s="110" t="e">
        <f t="shared" si="12"/>
        <v>#VALUE!</v>
      </c>
      <c r="AM72" s="110" t="e">
        <f t="shared" si="12"/>
        <v>#VALUE!</v>
      </c>
      <c r="AN72" s="110" t="e">
        <f t="shared" si="12"/>
        <v>#VALUE!</v>
      </c>
      <c r="AO72" s="110" t="e">
        <f t="shared" si="12"/>
        <v>#VALUE!</v>
      </c>
    </row>
    <row r="73" spans="2:41">
      <c r="B73" s="22" t="s">
        <v>543</v>
      </c>
      <c r="C73" s="23">
        <v>1</v>
      </c>
      <c r="D73" s="61" t="s">
        <v>19</v>
      </c>
      <c r="E73" s="127" t="e">
        <f>E36</f>
        <v>#VALUE!</v>
      </c>
      <c r="F73" s="127" t="e">
        <f t="shared" ref="F73:AO73" si="13">F36</f>
        <v>#VALUE!</v>
      </c>
      <c r="G73" s="127" t="e">
        <f t="shared" si="13"/>
        <v>#VALUE!</v>
      </c>
      <c r="H73" s="127" t="e">
        <f t="shared" si="13"/>
        <v>#VALUE!</v>
      </c>
      <c r="I73" s="127" t="e">
        <f t="shared" si="13"/>
        <v>#VALUE!</v>
      </c>
      <c r="J73" s="127" t="e">
        <f t="shared" si="13"/>
        <v>#VALUE!</v>
      </c>
      <c r="K73" s="127" t="e">
        <f t="shared" si="13"/>
        <v>#VALUE!</v>
      </c>
      <c r="L73" s="127" t="e">
        <f t="shared" si="13"/>
        <v>#VALUE!</v>
      </c>
      <c r="M73" s="127" t="e">
        <f t="shared" si="13"/>
        <v>#VALUE!</v>
      </c>
      <c r="N73" s="127" t="e">
        <f t="shared" si="13"/>
        <v>#VALUE!</v>
      </c>
      <c r="O73" s="127" t="e">
        <f t="shared" si="13"/>
        <v>#VALUE!</v>
      </c>
      <c r="P73" s="127" t="e">
        <f t="shared" si="13"/>
        <v>#VALUE!</v>
      </c>
      <c r="Q73" s="127" t="e">
        <f t="shared" si="13"/>
        <v>#VALUE!</v>
      </c>
      <c r="R73" s="127" t="e">
        <f t="shared" si="13"/>
        <v>#VALUE!</v>
      </c>
      <c r="S73" s="127" t="e">
        <f t="shared" si="13"/>
        <v>#VALUE!</v>
      </c>
      <c r="T73" s="127" t="e">
        <f t="shared" si="13"/>
        <v>#VALUE!</v>
      </c>
      <c r="U73" s="127" t="e">
        <f t="shared" si="13"/>
        <v>#VALUE!</v>
      </c>
      <c r="V73" s="127" t="e">
        <f t="shared" si="13"/>
        <v>#VALUE!</v>
      </c>
      <c r="W73" s="127" t="e">
        <f t="shared" si="13"/>
        <v>#VALUE!</v>
      </c>
      <c r="X73" s="127" t="e">
        <f t="shared" si="13"/>
        <v>#VALUE!</v>
      </c>
      <c r="Y73" s="127" t="e">
        <f t="shared" si="13"/>
        <v>#VALUE!</v>
      </c>
      <c r="Z73" s="127" t="e">
        <f t="shared" si="13"/>
        <v>#VALUE!</v>
      </c>
      <c r="AA73" s="127" t="e">
        <f t="shared" si="13"/>
        <v>#VALUE!</v>
      </c>
      <c r="AB73" s="127" t="e">
        <f t="shared" si="13"/>
        <v>#VALUE!</v>
      </c>
      <c r="AC73" s="127" t="e">
        <f t="shared" si="13"/>
        <v>#VALUE!</v>
      </c>
      <c r="AD73" s="127" t="e">
        <f t="shared" si="13"/>
        <v>#VALUE!</v>
      </c>
      <c r="AE73" s="127" t="e">
        <f t="shared" si="13"/>
        <v>#VALUE!</v>
      </c>
      <c r="AF73" s="127" t="e">
        <f t="shared" si="13"/>
        <v>#VALUE!</v>
      </c>
      <c r="AG73" s="127" t="e">
        <f t="shared" si="13"/>
        <v>#VALUE!</v>
      </c>
      <c r="AH73" s="127" t="e">
        <f t="shared" si="13"/>
        <v>#VALUE!</v>
      </c>
      <c r="AI73" s="127" t="e">
        <f t="shared" si="13"/>
        <v>#VALUE!</v>
      </c>
      <c r="AJ73" s="127" t="e">
        <f t="shared" si="13"/>
        <v>#VALUE!</v>
      </c>
      <c r="AK73" s="127" t="e">
        <f t="shared" si="13"/>
        <v>#VALUE!</v>
      </c>
      <c r="AL73" s="127" t="e">
        <f t="shared" si="13"/>
        <v>#VALUE!</v>
      </c>
      <c r="AM73" s="127" t="e">
        <f t="shared" si="13"/>
        <v>#VALUE!</v>
      </c>
      <c r="AN73" s="127" t="e">
        <f t="shared" si="13"/>
        <v>#VALUE!</v>
      </c>
      <c r="AO73" s="127" t="e">
        <f t="shared" si="13"/>
        <v>#VALUE!</v>
      </c>
    </row>
    <row r="74" spans="2:41">
      <c r="B74" s="22" t="s">
        <v>22</v>
      </c>
      <c r="C74" s="23">
        <v>18000</v>
      </c>
      <c r="D74" s="111">
        <f ca="1">TODAY()</f>
        <v>44756</v>
      </c>
      <c r="E74" s="115">
        <f ca="1">IFERROR((OptionPrice(LEFT($C$79),E$72,$C$74,($C$75-$D74+1)/365,$C$76,$C$78,$C$77)-$C$80)*$C$81,0)</f>
        <v>0</v>
      </c>
      <c r="F74" s="115">
        <f t="shared" ref="F74:U89" ca="1" si="14">IFERROR((OptionPrice(LEFT($C$79),F$72,$C$74,($C$75-$D74+1)/365,$C$76,$C$78,$C$77)-$C$80)*$C$81,0)</f>
        <v>0</v>
      </c>
      <c r="G74" s="115">
        <f t="shared" ca="1" si="14"/>
        <v>0</v>
      </c>
      <c r="H74" s="115">
        <f t="shared" ca="1" si="14"/>
        <v>0</v>
      </c>
      <c r="I74" s="115">
        <f t="shared" ca="1" si="14"/>
        <v>0</v>
      </c>
      <c r="J74" s="115">
        <f t="shared" ca="1" si="14"/>
        <v>0</v>
      </c>
      <c r="K74" s="115">
        <f t="shared" ca="1" si="14"/>
        <v>0</v>
      </c>
      <c r="L74" s="115">
        <f t="shared" ca="1" si="14"/>
        <v>0</v>
      </c>
      <c r="M74" s="115">
        <f t="shared" ca="1" si="14"/>
        <v>0</v>
      </c>
      <c r="N74" s="115">
        <f t="shared" ca="1" si="14"/>
        <v>0</v>
      </c>
      <c r="O74" s="115">
        <f t="shared" ca="1" si="14"/>
        <v>0</v>
      </c>
      <c r="P74" s="115">
        <f t="shared" ca="1" si="14"/>
        <v>0</v>
      </c>
      <c r="Q74" s="115">
        <f t="shared" ca="1" si="14"/>
        <v>0</v>
      </c>
      <c r="R74" s="115">
        <f t="shared" ca="1" si="14"/>
        <v>0</v>
      </c>
      <c r="S74" s="115">
        <f t="shared" ca="1" si="14"/>
        <v>0</v>
      </c>
      <c r="T74" s="115">
        <f t="shared" ca="1" si="14"/>
        <v>0</v>
      </c>
      <c r="U74" s="115">
        <f t="shared" ca="1" si="14"/>
        <v>0</v>
      </c>
      <c r="V74" s="115">
        <f t="shared" ref="V74:AK89" ca="1" si="15">IFERROR((OptionPrice(LEFT($C$79),V$72,$C$74,($C$75-$D74+1)/365,$C$76,$C$78,$C$77)-$C$80)*$C$81,0)</f>
        <v>0</v>
      </c>
      <c r="W74" s="115">
        <f t="shared" ca="1" si="15"/>
        <v>0</v>
      </c>
      <c r="X74" s="115">
        <f t="shared" ca="1" si="15"/>
        <v>0</v>
      </c>
      <c r="Y74" s="115">
        <f t="shared" ca="1" si="15"/>
        <v>0</v>
      </c>
      <c r="Z74" s="115">
        <f t="shared" ca="1" si="15"/>
        <v>0</v>
      </c>
      <c r="AA74" s="115">
        <f t="shared" ca="1" si="15"/>
        <v>0</v>
      </c>
      <c r="AB74" s="115">
        <f t="shared" ca="1" si="15"/>
        <v>0</v>
      </c>
      <c r="AC74" s="115">
        <f t="shared" ca="1" si="15"/>
        <v>0</v>
      </c>
      <c r="AD74" s="115">
        <f t="shared" ca="1" si="15"/>
        <v>0</v>
      </c>
      <c r="AE74" s="115">
        <f t="shared" ca="1" si="15"/>
        <v>0</v>
      </c>
      <c r="AF74" s="115">
        <f t="shared" ca="1" si="15"/>
        <v>0</v>
      </c>
      <c r="AG74" s="115">
        <f t="shared" ca="1" si="15"/>
        <v>0</v>
      </c>
      <c r="AH74" s="115">
        <f t="shared" ca="1" si="15"/>
        <v>0</v>
      </c>
      <c r="AI74" s="115">
        <f t="shared" ca="1" si="15"/>
        <v>0</v>
      </c>
      <c r="AJ74" s="115">
        <f t="shared" ca="1" si="15"/>
        <v>0</v>
      </c>
      <c r="AK74" s="115">
        <f t="shared" ca="1" si="15"/>
        <v>0</v>
      </c>
      <c r="AL74" s="115">
        <f t="shared" ref="AL74:AO105" ca="1" si="16">IFERROR((OptionPrice(LEFT($C$79),AL$72,$C$74,($C$75-$D74+1)/365,$C$76,$C$78,$C$77)-$C$80)*$C$81,0)</f>
        <v>0</v>
      </c>
      <c r="AM74" s="115">
        <f t="shared" ca="1" si="16"/>
        <v>0</v>
      </c>
      <c r="AN74" s="115">
        <f t="shared" ca="1" si="16"/>
        <v>0</v>
      </c>
      <c r="AO74" s="115">
        <f t="shared" ca="1" si="16"/>
        <v>0</v>
      </c>
    </row>
    <row r="75" spans="2:41">
      <c r="B75" s="22" t="s">
        <v>78</v>
      </c>
      <c r="C75" s="106">
        <v>44525</v>
      </c>
      <c r="D75" s="111">
        <f ca="1">WORKDAY(D74,1)</f>
        <v>44757</v>
      </c>
      <c r="E75" s="115">
        <f t="shared" ref="E75:T90" ca="1" si="17">IFERROR((OptionPrice(LEFT($C$79),E$72,$C$74,($C$75-$D75+1)/365,$C$76,$C$78,$C$77)-$C$80)*$C$81,0)</f>
        <v>0</v>
      </c>
      <c r="F75" s="115">
        <f t="shared" ca="1" si="14"/>
        <v>0</v>
      </c>
      <c r="G75" s="115">
        <f t="shared" ca="1" si="14"/>
        <v>0</v>
      </c>
      <c r="H75" s="115">
        <f t="shared" ca="1" si="14"/>
        <v>0</v>
      </c>
      <c r="I75" s="115">
        <f t="shared" ca="1" si="14"/>
        <v>0</v>
      </c>
      <c r="J75" s="115">
        <f t="shared" ca="1" si="14"/>
        <v>0</v>
      </c>
      <c r="K75" s="115">
        <f t="shared" ca="1" si="14"/>
        <v>0</v>
      </c>
      <c r="L75" s="115">
        <f t="shared" ca="1" si="14"/>
        <v>0</v>
      </c>
      <c r="M75" s="115">
        <f t="shared" ca="1" si="14"/>
        <v>0</v>
      </c>
      <c r="N75" s="115">
        <f t="shared" ca="1" si="14"/>
        <v>0</v>
      </c>
      <c r="O75" s="115">
        <f t="shared" ca="1" si="14"/>
        <v>0</v>
      </c>
      <c r="P75" s="115">
        <f t="shared" ca="1" si="14"/>
        <v>0</v>
      </c>
      <c r="Q75" s="115">
        <f t="shared" ca="1" si="14"/>
        <v>0</v>
      </c>
      <c r="R75" s="115">
        <f t="shared" ca="1" si="14"/>
        <v>0</v>
      </c>
      <c r="S75" s="115">
        <f t="shared" ca="1" si="14"/>
        <v>0</v>
      </c>
      <c r="T75" s="115">
        <f t="shared" ca="1" si="14"/>
        <v>0</v>
      </c>
      <c r="U75" s="115">
        <f t="shared" ca="1" si="14"/>
        <v>0</v>
      </c>
      <c r="V75" s="115">
        <f t="shared" ca="1" si="15"/>
        <v>0</v>
      </c>
      <c r="W75" s="115">
        <f t="shared" ca="1" si="15"/>
        <v>0</v>
      </c>
      <c r="X75" s="115">
        <f t="shared" ca="1" si="15"/>
        <v>0</v>
      </c>
      <c r="Y75" s="115">
        <f t="shared" ca="1" si="15"/>
        <v>0</v>
      </c>
      <c r="Z75" s="115">
        <f t="shared" ca="1" si="15"/>
        <v>0</v>
      </c>
      <c r="AA75" s="115">
        <f t="shared" ca="1" si="15"/>
        <v>0</v>
      </c>
      <c r="AB75" s="115">
        <f t="shared" ca="1" si="15"/>
        <v>0</v>
      </c>
      <c r="AC75" s="115">
        <f t="shared" ca="1" si="15"/>
        <v>0</v>
      </c>
      <c r="AD75" s="115">
        <f t="shared" ca="1" si="15"/>
        <v>0</v>
      </c>
      <c r="AE75" s="115">
        <f t="shared" ca="1" si="15"/>
        <v>0</v>
      </c>
      <c r="AF75" s="115">
        <f t="shared" ca="1" si="15"/>
        <v>0</v>
      </c>
      <c r="AG75" s="115">
        <f t="shared" ca="1" si="15"/>
        <v>0</v>
      </c>
      <c r="AH75" s="115">
        <f t="shared" ca="1" si="15"/>
        <v>0</v>
      </c>
      <c r="AI75" s="115">
        <f t="shared" ca="1" si="15"/>
        <v>0</v>
      </c>
      <c r="AJ75" s="115">
        <f t="shared" ca="1" si="15"/>
        <v>0</v>
      </c>
      <c r="AK75" s="115">
        <f t="shared" ca="1" si="15"/>
        <v>0</v>
      </c>
      <c r="AL75" s="115">
        <f t="shared" ca="1" si="16"/>
        <v>0</v>
      </c>
      <c r="AM75" s="115">
        <f t="shared" ca="1" si="16"/>
        <v>0</v>
      </c>
      <c r="AN75" s="115">
        <f t="shared" ca="1" si="16"/>
        <v>0</v>
      </c>
      <c r="AO75" s="115">
        <f t="shared" ca="1" si="16"/>
        <v>0</v>
      </c>
    </row>
    <row r="76" spans="2:41">
      <c r="B76" s="22" t="s">
        <v>504</v>
      </c>
      <c r="C76" s="107">
        <v>0.05</v>
      </c>
      <c r="D76" s="111">
        <f t="shared" ref="D76:D105" ca="1" si="18">WORKDAY(D75,1)</f>
        <v>44760</v>
      </c>
      <c r="E76" s="115">
        <f t="shared" ca="1" si="17"/>
        <v>0</v>
      </c>
      <c r="F76" s="115">
        <f t="shared" ca="1" si="14"/>
        <v>0</v>
      </c>
      <c r="G76" s="115">
        <f t="shared" ca="1" si="14"/>
        <v>0</v>
      </c>
      <c r="H76" s="115">
        <f t="shared" ca="1" si="14"/>
        <v>0</v>
      </c>
      <c r="I76" s="115">
        <f t="shared" ca="1" si="14"/>
        <v>0</v>
      </c>
      <c r="J76" s="115">
        <f t="shared" ca="1" si="14"/>
        <v>0</v>
      </c>
      <c r="K76" s="115">
        <f t="shared" ca="1" si="14"/>
        <v>0</v>
      </c>
      <c r="L76" s="115">
        <f t="shared" ca="1" si="14"/>
        <v>0</v>
      </c>
      <c r="M76" s="115">
        <f t="shared" ca="1" si="14"/>
        <v>0</v>
      </c>
      <c r="N76" s="115">
        <f t="shared" ca="1" si="14"/>
        <v>0</v>
      </c>
      <c r="O76" s="115">
        <f t="shared" ca="1" si="14"/>
        <v>0</v>
      </c>
      <c r="P76" s="115">
        <f t="shared" ca="1" si="14"/>
        <v>0</v>
      </c>
      <c r="Q76" s="115">
        <f t="shared" ca="1" si="14"/>
        <v>0</v>
      </c>
      <c r="R76" s="115">
        <f t="shared" ca="1" si="14"/>
        <v>0</v>
      </c>
      <c r="S76" s="115">
        <f t="shared" ca="1" si="14"/>
        <v>0</v>
      </c>
      <c r="T76" s="115">
        <f t="shared" ca="1" si="14"/>
        <v>0</v>
      </c>
      <c r="U76" s="115">
        <f t="shared" ca="1" si="14"/>
        <v>0</v>
      </c>
      <c r="V76" s="115">
        <f t="shared" ca="1" si="15"/>
        <v>0</v>
      </c>
      <c r="W76" s="115">
        <f t="shared" ca="1" si="15"/>
        <v>0</v>
      </c>
      <c r="X76" s="115">
        <f t="shared" ca="1" si="15"/>
        <v>0</v>
      </c>
      <c r="Y76" s="115">
        <f t="shared" ca="1" si="15"/>
        <v>0</v>
      </c>
      <c r="Z76" s="115">
        <f t="shared" ca="1" si="15"/>
        <v>0</v>
      </c>
      <c r="AA76" s="115">
        <f t="shared" ca="1" si="15"/>
        <v>0</v>
      </c>
      <c r="AB76" s="115">
        <f t="shared" ca="1" si="15"/>
        <v>0</v>
      </c>
      <c r="AC76" s="115">
        <f t="shared" ca="1" si="15"/>
        <v>0</v>
      </c>
      <c r="AD76" s="115">
        <f t="shared" ca="1" si="15"/>
        <v>0</v>
      </c>
      <c r="AE76" s="115">
        <f t="shared" ca="1" si="15"/>
        <v>0</v>
      </c>
      <c r="AF76" s="115">
        <f t="shared" ca="1" si="15"/>
        <v>0</v>
      </c>
      <c r="AG76" s="115">
        <f t="shared" ca="1" si="15"/>
        <v>0</v>
      </c>
      <c r="AH76" s="115">
        <f t="shared" ca="1" si="15"/>
        <v>0</v>
      </c>
      <c r="AI76" s="115">
        <f t="shared" ca="1" si="15"/>
        <v>0</v>
      </c>
      <c r="AJ76" s="115">
        <f t="shared" ca="1" si="15"/>
        <v>0</v>
      </c>
      <c r="AK76" s="115">
        <f t="shared" ca="1" si="15"/>
        <v>0</v>
      </c>
      <c r="AL76" s="115">
        <f t="shared" ca="1" si="16"/>
        <v>0</v>
      </c>
      <c r="AM76" s="115">
        <f t="shared" ca="1" si="16"/>
        <v>0</v>
      </c>
      <c r="AN76" s="115">
        <f t="shared" ca="1" si="16"/>
        <v>0</v>
      </c>
      <c r="AO76" s="115">
        <f t="shared" ca="1" si="16"/>
        <v>0</v>
      </c>
    </row>
    <row r="77" spans="2:41">
      <c r="B77" s="22" t="s">
        <v>539</v>
      </c>
      <c r="C77" s="108">
        <v>0</v>
      </c>
      <c r="D77" s="111">
        <f t="shared" ca="1" si="18"/>
        <v>44761</v>
      </c>
      <c r="E77" s="115">
        <f t="shared" ca="1" si="17"/>
        <v>0</v>
      </c>
      <c r="F77" s="115">
        <f t="shared" ca="1" si="14"/>
        <v>0</v>
      </c>
      <c r="G77" s="115">
        <f t="shared" ca="1" si="14"/>
        <v>0</v>
      </c>
      <c r="H77" s="115">
        <f t="shared" ca="1" si="14"/>
        <v>0</v>
      </c>
      <c r="I77" s="115">
        <f t="shared" ca="1" si="14"/>
        <v>0</v>
      </c>
      <c r="J77" s="115">
        <f t="shared" ca="1" si="14"/>
        <v>0</v>
      </c>
      <c r="K77" s="115">
        <f t="shared" ca="1" si="14"/>
        <v>0</v>
      </c>
      <c r="L77" s="115">
        <f t="shared" ca="1" si="14"/>
        <v>0</v>
      </c>
      <c r="M77" s="115">
        <f t="shared" ca="1" si="14"/>
        <v>0</v>
      </c>
      <c r="N77" s="115">
        <f t="shared" ca="1" si="14"/>
        <v>0</v>
      </c>
      <c r="O77" s="115">
        <f t="shared" ca="1" si="14"/>
        <v>0</v>
      </c>
      <c r="P77" s="115">
        <f t="shared" ca="1" si="14"/>
        <v>0</v>
      </c>
      <c r="Q77" s="115">
        <f t="shared" ca="1" si="14"/>
        <v>0</v>
      </c>
      <c r="R77" s="115">
        <f t="shared" ca="1" si="14"/>
        <v>0</v>
      </c>
      <c r="S77" s="115">
        <f t="shared" ca="1" si="14"/>
        <v>0</v>
      </c>
      <c r="T77" s="115">
        <f t="shared" ca="1" si="14"/>
        <v>0</v>
      </c>
      <c r="U77" s="115">
        <f t="shared" ca="1" si="14"/>
        <v>0</v>
      </c>
      <c r="V77" s="115">
        <f t="shared" ca="1" si="15"/>
        <v>0</v>
      </c>
      <c r="W77" s="115">
        <f t="shared" ca="1" si="15"/>
        <v>0</v>
      </c>
      <c r="X77" s="115">
        <f t="shared" ca="1" si="15"/>
        <v>0</v>
      </c>
      <c r="Y77" s="115">
        <f t="shared" ca="1" si="15"/>
        <v>0</v>
      </c>
      <c r="Z77" s="115">
        <f t="shared" ca="1" si="15"/>
        <v>0</v>
      </c>
      <c r="AA77" s="115">
        <f t="shared" ca="1" si="15"/>
        <v>0</v>
      </c>
      <c r="AB77" s="115">
        <f t="shared" ca="1" si="15"/>
        <v>0</v>
      </c>
      <c r="AC77" s="115">
        <f t="shared" ca="1" si="15"/>
        <v>0</v>
      </c>
      <c r="AD77" s="115">
        <f t="shared" ca="1" si="15"/>
        <v>0</v>
      </c>
      <c r="AE77" s="115">
        <f t="shared" ca="1" si="15"/>
        <v>0</v>
      </c>
      <c r="AF77" s="115">
        <f t="shared" ca="1" si="15"/>
        <v>0</v>
      </c>
      <c r="AG77" s="115">
        <f t="shared" ca="1" si="15"/>
        <v>0</v>
      </c>
      <c r="AH77" s="115">
        <f t="shared" ca="1" si="15"/>
        <v>0</v>
      </c>
      <c r="AI77" s="115">
        <f t="shared" ca="1" si="15"/>
        <v>0</v>
      </c>
      <c r="AJ77" s="115">
        <f t="shared" ca="1" si="15"/>
        <v>0</v>
      </c>
      <c r="AK77" s="115">
        <f t="shared" ca="1" si="15"/>
        <v>0</v>
      </c>
      <c r="AL77" s="115">
        <f t="shared" ca="1" si="16"/>
        <v>0</v>
      </c>
      <c r="AM77" s="115">
        <f t="shared" ca="1" si="16"/>
        <v>0</v>
      </c>
      <c r="AN77" s="115">
        <f t="shared" ca="1" si="16"/>
        <v>0</v>
      </c>
      <c r="AO77" s="115">
        <f t="shared" ca="1" si="16"/>
        <v>0</v>
      </c>
    </row>
    <row r="78" spans="2:41">
      <c r="B78" s="22" t="s">
        <v>505</v>
      </c>
      <c r="C78" s="108">
        <v>0.18</v>
      </c>
      <c r="D78" s="111">
        <f t="shared" ca="1" si="18"/>
        <v>44762</v>
      </c>
      <c r="E78" s="115">
        <f t="shared" ca="1" si="17"/>
        <v>0</v>
      </c>
      <c r="F78" s="115">
        <f t="shared" ca="1" si="14"/>
        <v>0</v>
      </c>
      <c r="G78" s="115">
        <f t="shared" ca="1" si="14"/>
        <v>0</v>
      </c>
      <c r="H78" s="115">
        <f t="shared" ca="1" si="14"/>
        <v>0</v>
      </c>
      <c r="I78" s="115">
        <f t="shared" ca="1" si="14"/>
        <v>0</v>
      </c>
      <c r="J78" s="115">
        <f t="shared" ca="1" si="14"/>
        <v>0</v>
      </c>
      <c r="K78" s="115">
        <f t="shared" ca="1" si="14"/>
        <v>0</v>
      </c>
      <c r="L78" s="115">
        <f t="shared" ca="1" si="14"/>
        <v>0</v>
      </c>
      <c r="M78" s="115">
        <f t="shared" ca="1" si="14"/>
        <v>0</v>
      </c>
      <c r="N78" s="115">
        <f t="shared" ca="1" si="14"/>
        <v>0</v>
      </c>
      <c r="O78" s="115">
        <f t="shared" ca="1" si="14"/>
        <v>0</v>
      </c>
      <c r="P78" s="115">
        <f t="shared" ca="1" si="14"/>
        <v>0</v>
      </c>
      <c r="Q78" s="115">
        <f t="shared" ca="1" si="14"/>
        <v>0</v>
      </c>
      <c r="R78" s="115">
        <f t="shared" ca="1" si="14"/>
        <v>0</v>
      </c>
      <c r="S78" s="115">
        <f t="shared" ca="1" si="14"/>
        <v>0</v>
      </c>
      <c r="T78" s="115">
        <f t="shared" ca="1" si="14"/>
        <v>0</v>
      </c>
      <c r="U78" s="115">
        <f t="shared" ca="1" si="14"/>
        <v>0</v>
      </c>
      <c r="V78" s="115">
        <f t="shared" ca="1" si="15"/>
        <v>0</v>
      </c>
      <c r="W78" s="115">
        <f t="shared" ca="1" si="15"/>
        <v>0</v>
      </c>
      <c r="X78" s="115">
        <f t="shared" ca="1" si="15"/>
        <v>0</v>
      </c>
      <c r="Y78" s="115">
        <f t="shared" ca="1" si="15"/>
        <v>0</v>
      </c>
      <c r="Z78" s="115">
        <f t="shared" ca="1" si="15"/>
        <v>0</v>
      </c>
      <c r="AA78" s="115">
        <f t="shared" ca="1" si="15"/>
        <v>0</v>
      </c>
      <c r="AB78" s="115">
        <f t="shared" ca="1" si="15"/>
        <v>0</v>
      </c>
      <c r="AC78" s="115">
        <f t="shared" ca="1" si="15"/>
        <v>0</v>
      </c>
      <c r="AD78" s="115">
        <f t="shared" ca="1" si="15"/>
        <v>0</v>
      </c>
      <c r="AE78" s="115">
        <f t="shared" ca="1" si="15"/>
        <v>0</v>
      </c>
      <c r="AF78" s="115">
        <f t="shared" ca="1" si="15"/>
        <v>0</v>
      </c>
      <c r="AG78" s="115">
        <f t="shared" ca="1" si="15"/>
        <v>0</v>
      </c>
      <c r="AH78" s="115">
        <f t="shared" ca="1" si="15"/>
        <v>0</v>
      </c>
      <c r="AI78" s="115">
        <f t="shared" ca="1" si="15"/>
        <v>0</v>
      </c>
      <c r="AJ78" s="115">
        <f t="shared" ca="1" si="15"/>
        <v>0</v>
      </c>
      <c r="AK78" s="115">
        <f t="shared" ca="1" si="15"/>
        <v>0</v>
      </c>
      <c r="AL78" s="115">
        <f t="shared" ca="1" si="16"/>
        <v>0</v>
      </c>
      <c r="AM78" s="115">
        <f t="shared" ca="1" si="16"/>
        <v>0</v>
      </c>
      <c r="AN78" s="115">
        <f t="shared" ca="1" si="16"/>
        <v>0</v>
      </c>
      <c r="AO78" s="115">
        <f t="shared" ca="1" si="16"/>
        <v>0</v>
      </c>
    </row>
    <row r="79" spans="2:41">
      <c r="B79" s="22" t="s">
        <v>540</v>
      </c>
      <c r="C79" s="23" t="s">
        <v>481</v>
      </c>
      <c r="D79" s="111">
        <f t="shared" ca="1" si="18"/>
        <v>44763</v>
      </c>
      <c r="E79" s="115">
        <f t="shared" ca="1" si="17"/>
        <v>0</v>
      </c>
      <c r="F79" s="115">
        <f t="shared" ca="1" si="14"/>
        <v>0</v>
      </c>
      <c r="G79" s="115">
        <f t="shared" ca="1" si="14"/>
        <v>0</v>
      </c>
      <c r="H79" s="115">
        <f t="shared" ca="1" si="14"/>
        <v>0</v>
      </c>
      <c r="I79" s="115">
        <f t="shared" ca="1" si="14"/>
        <v>0</v>
      </c>
      <c r="J79" s="115">
        <f t="shared" ca="1" si="14"/>
        <v>0</v>
      </c>
      <c r="K79" s="115">
        <f t="shared" ca="1" si="14"/>
        <v>0</v>
      </c>
      <c r="L79" s="115">
        <f t="shared" ca="1" si="14"/>
        <v>0</v>
      </c>
      <c r="M79" s="115">
        <f t="shared" ca="1" si="14"/>
        <v>0</v>
      </c>
      <c r="N79" s="115">
        <f t="shared" ca="1" si="14"/>
        <v>0</v>
      </c>
      <c r="O79" s="115">
        <f t="shared" ca="1" si="14"/>
        <v>0</v>
      </c>
      <c r="P79" s="115">
        <f t="shared" ca="1" si="14"/>
        <v>0</v>
      </c>
      <c r="Q79" s="115">
        <f t="shared" ca="1" si="14"/>
        <v>0</v>
      </c>
      <c r="R79" s="115">
        <f t="shared" ca="1" si="14"/>
        <v>0</v>
      </c>
      <c r="S79" s="115">
        <f t="shared" ca="1" si="14"/>
        <v>0</v>
      </c>
      <c r="T79" s="115">
        <f t="shared" ca="1" si="14"/>
        <v>0</v>
      </c>
      <c r="U79" s="115">
        <f t="shared" ca="1" si="14"/>
        <v>0</v>
      </c>
      <c r="V79" s="115">
        <f t="shared" ca="1" si="15"/>
        <v>0</v>
      </c>
      <c r="W79" s="115">
        <f t="shared" ca="1" si="15"/>
        <v>0</v>
      </c>
      <c r="X79" s="115">
        <f t="shared" ca="1" si="15"/>
        <v>0</v>
      </c>
      <c r="Y79" s="115">
        <f t="shared" ca="1" si="15"/>
        <v>0</v>
      </c>
      <c r="Z79" s="115">
        <f t="shared" ca="1" si="15"/>
        <v>0</v>
      </c>
      <c r="AA79" s="115">
        <f t="shared" ca="1" si="15"/>
        <v>0</v>
      </c>
      <c r="AB79" s="115">
        <f t="shared" ca="1" si="15"/>
        <v>0</v>
      </c>
      <c r="AC79" s="115">
        <f t="shared" ca="1" si="15"/>
        <v>0</v>
      </c>
      <c r="AD79" s="115">
        <f t="shared" ca="1" si="15"/>
        <v>0</v>
      </c>
      <c r="AE79" s="115">
        <f t="shared" ca="1" si="15"/>
        <v>0</v>
      </c>
      <c r="AF79" s="115">
        <f t="shared" ca="1" si="15"/>
        <v>0</v>
      </c>
      <c r="AG79" s="115">
        <f t="shared" ca="1" si="15"/>
        <v>0</v>
      </c>
      <c r="AH79" s="115">
        <f t="shared" ca="1" si="15"/>
        <v>0</v>
      </c>
      <c r="AI79" s="115">
        <f t="shared" ca="1" si="15"/>
        <v>0</v>
      </c>
      <c r="AJ79" s="115">
        <f t="shared" ca="1" si="15"/>
        <v>0</v>
      </c>
      <c r="AK79" s="115">
        <f t="shared" ca="1" si="15"/>
        <v>0</v>
      </c>
      <c r="AL79" s="115">
        <f t="shared" ca="1" si="16"/>
        <v>0</v>
      </c>
      <c r="AM79" s="115">
        <f t="shared" ca="1" si="16"/>
        <v>0</v>
      </c>
      <c r="AN79" s="115">
        <f t="shared" ca="1" si="16"/>
        <v>0</v>
      </c>
      <c r="AO79" s="115">
        <f t="shared" ca="1" si="16"/>
        <v>0</v>
      </c>
    </row>
    <row r="80" spans="2:41">
      <c r="B80" s="22" t="s">
        <v>23</v>
      </c>
      <c r="C80" s="23">
        <v>521</v>
      </c>
      <c r="D80" s="111">
        <f t="shared" ca="1" si="18"/>
        <v>44764</v>
      </c>
      <c r="E80" s="115">
        <f t="shared" ca="1" si="17"/>
        <v>0</v>
      </c>
      <c r="F80" s="115">
        <f t="shared" ca="1" si="14"/>
        <v>0</v>
      </c>
      <c r="G80" s="115">
        <f t="shared" ca="1" si="14"/>
        <v>0</v>
      </c>
      <c r="H80" s="115">
        <f t="shared" ca="1" si="14"/>
        <v>0</v>
      </c>
      <c r="I80" s="115">
        <f t="shared" ca="1" si="14"/>
        <v>0</v>
      </c>
      <c r="J80" s="115">
        <f t="shared" ca="1" si="14"/>
        <v>0</v>
      </c>
      <c r="K80" s="115">
        <f t="shared" ca="1" si="14"/>
        <v>0</v>
      </c>
      <c r="L80" s="115">
        <f t="shared" ca="1" si="14"/>
        <v>0</v>
      </c>
      <c r="M80" s="115">
        <f t="shared" ca="1" si="14"/>
        <v>0</v>
      </c>
      <c r="N80" s="115">
        <f t="shared" ca="1" si="14"/>
        <v>0</v>
      </c>
      <c r="O80" s="115">
        <f t="shared" ca="1" si="14"/>
        <v>0</v>
      </c>
      <c r="P80" s="115">
        <f t="shared" ca="1" si="14"/>
        <v>0</v>
      </c>
      <c r="Q80" s="115">
        <f t="shared" ca="1" si="14"/>
        <v>0</v>
      </c>
      <c r="R80" s="115">
        <f t="shared" ca="1" si="14"/>
        <v>0</v>
      </c>
      <c r="S80" s="115">
        <f t="shared" ca="1" si="14"/>
        <v>0</v>
      </c>
      <c r="T80" s="115">
        <f t="shared" ca="1" si="14"/>
        <v>0</v>
      </c>
      <c r="U80" s="115">
        <f t="shared" ca="1" si="14"/>
        <v>0</v>
      </c>
      <c r="V80" s="115">
        <f t="shared" ca="1" si="15"/>
        <v>0</v>
      </c>
      <c r="W80" s="115">
        <f t="shared" ca="1" si="15"/>
        <v>0</v>
      </c>
      <c r="X80" s="115">
        <f t="shared" ca="1" si="15"/>
        <v>0</v>
      </c>
      <c r="Y80" s="115">
        <f t="shared" ca="1" si="15"/>
        <v>0</v>
      </c>
      <c r="Z80" s="115">
        <f t="shared" ca="1" si="15"/>
        <v>0</v>
      </c>
      <c r="AA80" s="115">
        <f t="shared" ca="1" si="15"/>
        <v>0</v>
      </c>
      <c r="AB80" s="115">
        <f t="shared" ca="1" si="15"/>
        <v>0</v>
      </c>
      <c r="AC80" s="115">
        <f t="shared" ca="1" si="15"/>
        <v>0</v>
      </c>
      <c r="AD80" s="115">
        <f t="shared" ca="1" si="15"/>
        <v>0</v>
      </c>
      <c r="AE80" s="115">
        <f t="shared" ca="1" si="15"/>
        <v>0</v>
      </c>
      <c r="AF80" s="115">
        <f t="shared" ca="1" si="15"/>
        <v>0</v>
      </c>
      <c r="AG80" s="115">
        <f t="shared" ca="1" si="15"/>
        <v>0</v>
      </c>
      <c r="AH80" s="115">
        <f t="shared" ca="1" si="15"/>
        <v>0</v>
      </c>
      <c r="AI80" s="115">
        <f t="shared" ca="1" si="15"/>
        <v>0</v>
      </c>
      <c r="AJ80" s="115">
        <f t="shared" ca="1" si="15"/>
        <v>0</v>
      </c>
      <c r="AK80" s="115">
        <f t="shared" ca="1" si="15"/>
        <v>0</v>
      </c>
      <c r="AL80" s="115">
        <f t="shared" ca="1" si="16"/>
        <v>0</v>
      </c>
      <c r="AM80" s="115">
        <f t="shared" ca="1" si="16"/>
        <v>0</v>
      </c>
      <c r="AN80" s="115">
        <f t="shared" ca="1" si="16"/>
        <v>0</v>
      </c>
      <c r="AO80" s="115">
        <f t="shared" ca="1" si="16"/>
        <v>0</v>
      </c>
    </row>
    <row r="81" spans="2:41">
      <c r="B81" s="22" t="s">
        <v>3</v>
      </c>
      <c r="C81" s="23">
        <v>200</v>
      </c>
      <c r="D81" s="111">
        <f t="shared" ca="1" si="18"/>
        <v>44767</v>
      </c>
      <c r="E81" s="115">
        <f t="shared" ca="1" si="17"/>
        <v>0</v>
      </c>
      <c r="F81" s="115">
        <f t="shared" ca="1" si="14"/>
        <v>0</v>
      </c>
      <c r="G81" s="115">
        <f t="shared" ca="1" si="14"/>
        <v>0</v>
      </c>
      <c r="H81" s="115">
        <f t="shared" ca="1" si="14"/>
        <v>0</v>
      </c>
      <c r="I81" s="115">
        <f t="shared" ca="1" si="14"/>
        <v>0</v>
      </c>
      <c r="J81" s="115">
        <f t="shared" ca="1" si="14"/>
        <v>0</v>
      </c>
      <c r="K81" s="115">
        <f t="shared" ca="1" si="14"/>
        <v>0</v>
      </c>
      <c r="L81" s="115">
        <f t="shared" ca="1" si="14"/>
        <v>0</v>
      </c>
      <c r="M81" s="115">
        <f t="shared" ca="1" si="14"/>
        <v>0</v>
      </c>
      <c r="N81" s="115">
        <f t="shared" ca="1" si="14"/>
        <v>0</v>
      </c>
      <c r="O81" s="115">
        <f t="shared" ca="1" si="14"/>
        <v>0</v>
      </c>
      <c r="P81" s="115">
        <f t="shared" ca="1" si="14"/>
        <v>0</v>
      </c>
      <c r="Q81" s="115">
        <f t="shared" ca="1" si="14"/>
        <v>0</v>
      </c>
      <c r="R81" s="115">
        <f t="shared" ca="1" si="14"/>
        <v>0</v>
      </c>
      <c r="S81" s="115">
        <f t="shared" ca="1" si="14"/>
        <v>0</v>
      </c>
      <c r="T81" s="115">
        <f t="shared" ca="1" si="14"/>
        <v>0</v>
      </c>
      <c r="U81" s="115">
        <f t="shared" ca="1" si="14"/>
        <v>0</v>
      </c>
      <c r="V81" s="115">
        <f t="shared" ca="1" si="15"/>
        <v>0</v>
      </c>
      <c r="W81" s="115">
        <f t="shared" ca="1" si="15"/>
        <v>0</v>
      </c>
      <c r="X81" s="115">
        <f t="shared" ca="1" si="15"/>
        <v>0</v>
      </c>
      <c r="Y81" s="115">
        <f t="shared" ca="1" si="15"/>
        <v>0</v>
      </c>
      <c r="Z81" s="115">
        <f t="shared" ca="1" si="15"/>
        <v>0</v>
      </c>
      <c r="AA81" s="115">
        <f t="shared" ca="1" si="15"/>
        <v>0</v>
      </c>
      <c r="AB81" s="115">
        <f t="shared" ca="1" si="15"/>
        <v>0</v>
      </c>
      <c r="AC81" s="115">
        <f t="shared" ca="1" si="15"/>
        <v>0</v>
      </c>
      <c r="AD81" s="115">
        <f t="shared" ca="1" si="15"/>
        <v>0</v>
      </c>
      <c r="AE81" s="115">
        <f t="shared" ca="1" si="15"/>
        <v>0</v>
      </c>
      <c r="AF81" s="115">
        <f t="shared" ca="1" si="15"/>
        <v>0</v>
      </c>
      <c r="AG81" s="115">
        <f t="shared" ca="1" si="15"/>
        <v>0</v>
      </c>
      <c r="AH81" s="115">
        <f t="shared" ca="1" si="15"/>
        <v>0</v>
      </c>
      <c r="AI81" s="115">
        <f t="shared" ca="1" si="15"/>
        <v>0</v>
      </c>
      <c r="AJ81" s="115">
        <f t="shared" ca="1" si="15"/>
        <v>0</v>
      </c>
      <c r="AK81" s="115">
        <f t="shared" ca="1" si="15"/>
        <v>0</v>
      </c>
      <c r="AL81" s="115">
        <f t="shared" ca="1" si="16"/>
        <v>0</v>
      </c>
      <c r="AM81" s="115">
        <f t="shared" ca="1" si="16"/>
        <v>0</v>
      </c>
      <c r="AN81" s="115">
        <f t="shared" ca="1" si="16"/>
        <v>0</v>
      </c>
      <c r="AO81" s="115">
        <f t="shared" ca="1" si="16"/>
        <v>0</v>
      </c>
    </row>
    <row r="82" spans="2:41">
      <c r="B82" s="22" t="s">
        <v>537</v>
      </c>
      <c r="C82" s="126" t="e">
        <f ca="1">ImpliedVolatility(LEFT(C79),C72,C74,C76,C84,C77,C83,16%)</f>
        <v>#VALUE!</v>
      </c>
      <c r="D82" s="111">
        <f t="shared" ca="1" si="18"/>
        <v>44768</v>
      </c>
      <c r="E82" s="115">
        <f t="shared" ca="1" si="17"/>
        <v>0</v>
      </c>
      <c r="F82" s="115">
        <f t="shared" ca="1" si="14"/>
        <v>0</v>
      </c>
      <c r="G82" s="115">
        <f t="shared" ca="1" si="14"/>
        <v>0</v>
      </c>
      <c r="H82" s="115">
        <f t="shared" ca="1" si="14"/>
        <v>0</v>
      </c>
      <c r="I82" s="115">
        <f t="shared" ca="1" si="14"/>
        <v>0</v>
      </c>
      <c r="J82" s="115">
        <f t="shared" ca="1" si="14"/>
        <v>0</v>
      </c>
      <c r="K82" s="115">
        <f t="shared" ca="1" si="14"/>
        <v>0</v>
      </c>
      <c r="L82" s="115">
        <f t="shared" ca="1" si="14"/>
        <v>0</v>
      </c>
      <c r="M82" s="115">
        <f t="shared" ca="1" si="14"/>
        <v>0</v>
      </c>
      <c r="N82" s="115">
        <f t="shared" ca="1" si="14"/>
        <v>0</v>
      </c>
      <c r="O82" s="115">
        <f t="shared" ca="1" si="14"/>
        <v>0</v>
      </c>
      <c r="P82" s="115">
        <f t="shared" ca="1" si="14"/>
        <v>0</v>
      </c>
      <c r="Q82" s="115">
        <f t="shared" ca="1" si="14"/>
        <v>0</v>
      </c>
      <c r="R82" s="115">
        <f t="shared" ca="1" si="14"/>
        <v>0</v>
      </c>
      <c r="S82" s="115">
        <f t="shared" ca="1" si="14"/>
        <v>0</v>
      </c>
      <c r="T82" s="115">
        <f t="shared" ca="1" si="14"/>
        <v>0</v>
      </c>
      <c r="U82" s="115">
        <f t="shared" ca="1" si="14"/>
        <v>0</v>
      </c>
      <c r="V82" s="115">
        <f t="shared" ca="1" si="15"/>
        <v>0</v>
      </c>
      <c r="W82" s="115">
        <f t="shared" ca="1" si="15"/>
        <v>0</v>
      </c>
      <c r="X82" s="115">
        <f t="shared" ca="1" si="15"/>
        <v>0</v>
      </c>
      <c r="Y82" s="115">
        <f t="shared" ca="1" si="15"/>
        <v>0</v>
      </c>
      <c r="Z82" s="115">
        <f t="shared" ca="1" si="15"/>
        <v>0</v>
      </c>
      <c r="AA82" s="115">
        <f t="shared" ca="1" si="15"/>
        <v>0</v>
      </c>
      <c r="AB82" s="115">
        <f t="shared" ca="1" si="15"/>
        <v>0</v>
      </c>
      <c r="AC82" s="115">
        <f t="shared" ca="1" si="15"/>
        <v>0</v>
      </c>
      <c r="AD82" s="115">
        <f t="shared" ca="1" si="15"/>
        <v>0</v>
      </c>
      <c r="AE82" s="115">
        <f t="shared" ca="1" si="15"/>
        <v>0</v>
      </c>
      <c r="AF82" s="115">
        <f t="shared" ca="1" si="15"/>
        <v>0</v>
      </c>
      <c r="AG82" s="115">
        <f t="shared" ca="1" si="15"/>
        <v>0</v>
      </c>
      <c r="AH82" s="115">
        <f t="shared" ca="1" si="15"/>
        <v>0</v>
      </c>
      <c r="AI82" s="115">
        <f t="shared" ca="1" si="15"/>
        <v>0</v>
      </c>
      <c r="AJ82" s="115">
        <f t="shared" ca="1" si="15"/>
        <v>0</v>
      </c>
      <c r="AK82" s="115">
        <f t="shared" ca="1" si="15"/>
        <v>0</v>
      </c>
      <c r="AL82" s="115">
        <f t="shared" ca="1" si="16"/>
        <v>0</v>
      </c>
      <c r="AM82" s="115">
        <f t="shared" ca="1" si="16"/>
        <v>0</v>
      </c>
      <c r="AN82" s="115">
        <f t="shared" ca="1" si="16"/>
        <v>0</v>
      </c>
      <c r="AO82" s="115">
        <f t="shared" ca="1" si="16"/>
        <v>0</v>
      </c>
    </row>
    <row r="83" spans="2:41">
      <c r="B83" s="22" t="s">
        <v>487</v>
      </c>
      <c r="C83" s="23">
        <v>267</v>
      </c>
      <c r="D83" s="111">
        <f t="shared" ca="1" si="18"/>
        <v>44769</v>
      </c>
      <c r="E83" s="115">
        <f t="shared" ca="1" si="17"/>
        <v>0</v>
      </c>
      <c r="F83" s="115">
        <f t="shared" ca="1" si="14"/>
        <v>0</v>
      </c>
      <c r="G83" s="115">
        <f t="shared" ca="1" si="14"/>
        <v>0</v>
      </c>
      <c r="H83" s="115">
        <f t="shared" ca="1" si="14"/>
        <v>0</v>
      </c>
      <c r="I83" s="115">
        <f t="shared" ca="1" si="14"/>
        <v>0</v>
      </c>
      <c r="J83" s="115">
        <f t="shared" ca="1" si="14"/>
        <v>0</v>
      </c>
      <c r="K83" s="115">
        <f t="shared" ca="1" si="14"/>
        <v>0</v>
      </c>
      <c r="L83" s="115">
        <f t="shared" ca="1" si="14"/>
        <v>0</v>
      </c>
      <c r="M83" s="115">
        <f t="shared" ca="1" si="14"/>
        <v>0</v>
      </c>
      <c r="N83" s="115">
        <f t="shared" ca="1" si="14"/>
        <v>0</v>
      </c>
      <c r="O83" s="115">
        <f t="shared" ca="1" si="14"/>
        <v>0</v>
      </c>
      <c r="P83" s="115">
        <f t="shared" ca="1" si="14"/>
        <v>0</v>
      </c>
      <c r="Q83" s="115">
        <f t="shared" ca="1" si="14"/>
        <v>0</v>
      </c>
      <c r="R83" s="115">
        <f t="shared" ca="1" si="14"/>
        <v>0</v>
      </c>
      <c r="S83" s="115">
        <f t="shared" ca="1" si="14"/>
        <v>0</v>
      </c>
      <c r="T83" s="115">
        <f t="shared" ca="1" si="14"/>
        <v>0</v>
      </c>
      <c r="U83" s="115">
        <f t="shared" ca="1" si="14"/>
        <v>0</v>
      </c>
      <c r="V83" s="115">
        <f t="shared" ca="1" si="15"/>
        <v>0</v>
      </c>
      <c r="W83" s="115">
        <f t="shared" ca="1" si="15"/>
        <v>0</v>
      </c>
      <c r="X83" s="115">
        <f t="shared" ca="1" si="15"/>
        <v>0</v>
      </c>
      <c r="Y83" s="115">
        <f t="shared" ca="1" si="15"/>
        <v>0</v>
      </c>
      <c r="Z83" s="115">
        <f t="shared" ca="1" si="15"/>
        <v>0</v>
      </c>
      <c r="AA83" s="115">
        <f t="shared" ca="1" si="15"/>
        <v>0</v>
      </c>
      <c r="AB83" s="115">
        <f t="shared" ca="1" si="15"/>
        <v>0</v>
      </c>
      <c r="AC83" s="115">
        <f t="shared" ca="1" si="15"/>
        <v>0</v>
      </c>
      <c r="AD83" s="115">
        <f t="shared" ca="1" si="15"/>
        <v>0</v>
      </c>
      <c r="AE83" s="115">
        <f t="shared" ca="1" si="15"/>
        <v>0</v>
      </c>
      <c r="AF83" s="115">
        <f t="shared" ca="1" si="15"/>
        <v>0</v>
      </c>
      <c r="AG83" s="115">
        <f t="shared" ca="1" si="15"/>
        <v>0</v>
      </c>
      <c r="AH83" s="115">
        <f t="shared" ca="1" si="15"/>
        <v>0</v>
      </c>
      <c r="AI83" s="115">
        <f t="shared" ca="1" si="15"/>
        <v>0</v>
      </c>
      <c r="AJ83" s="115">
        <f t="shared" ca="1" si="15"/>
        <v>0</v>
      </c>
      <c r="AK83" s="115">
        <f t="shared" ca="1" si="15"/>
        <v>0</v>
      </c>
      <c r="AL83" s="115">
        <f t="shared" ca="1" si="16"/>
        <v>0</v>
      </c>
      <c r="AM83" s="115">
        <f t="shared" ca="1" si="16"/>
        <v>0</v>
      </c>
      <c r="AN83" s="115">
        <f t="shared" ca="1" si="16"/>
        <v>0</v>
      </c>
      <c r="AO83" s="115">
        <f t="shared" ca="1" si="16"/>
        <v>0</v>
      </c>
    </row>
    <row r="84" spans="2:41">
      <c r="B84" s="22" t="s">
        <v>556</v>
      </c>
      <c r="C84" s="23">
        <f ca="1">(C75-TODAY())/365</f>
        <v>-0.63287671232876708</v>
      </c>
      <c r="D84" s="111">
        <f t="shared" ca="1" si="18"/>
        <v>44770</v>
      </c>
      <c r="E84" s="115">
        <f t="shared" ca="1" si="17"/>
        <v>0</v>
      </c>
      <c r="F84" s="115">
        <f t="shared" ca="1" si="14"/>
        <v>0</v>
      </c>
      <c r="G84" s="115">
        <f t="shared" ca="1" si="14"/>
        <v>0</v>
      </c>
      <c r="H84" s="115">
        <f t="shared" ca="1" si="14"/>
        <v>0</v>
      </c>
      <c r="I84" s="115">
        <f t="shared" ca="1" si="14"/>
        <v>0</v>
      </c>
      <c r="J84" s="115">
        <f t="shared" ca="1" si="14"/>
        <v>0</v>
      </c>
      <c r="K84" s="115">
        <f t="shared" ca="1" si="14"/>
        <v>0</v>
      </c>
      <c r="L84" s="115">
        <f t="shared" ca="1" si="14"/>
        <v>0</v>
      </c>
      <c r="M84" s="115">
        <f t="shared" ca="1" si="14"/>
        <v>0</v>
      </c>
      <c r="N84" s="115">
        <f t="shared" ca="1" si="14"/>
        <v>0</v>
      </c>
      <c r="O84" s="115">
        <f t="shared" ca="1" si="14"/>
        <v>0</v>
      </c>
      <c r="P84" s="115">
        <f t="shared" ca="1" si="14"/>
        <v>0</v>
      </c>
      <c r="Q84" s="115">
        <f t="shared" ca="1" si="14"/>
        <v>0</v>
      </c>
      <c r="R84" s="115">
        <f t="shared" ca="1" si="14"/>
        <v>0</v>
      </c>
      <c r="S84" s="115">
        <f t="shared" ca="1" si="14"/>
        <v>0</v>
      </c>
      <c r="T84" s="115">
        <f t="shared" ca="1" si="14"/>
        <v>0</v>
      </c>
      <c r="U84" s="115">
        <f t="shared" ca="1" si="14"/>
        <v>0</v>
      </c>
      <c r="V84" s="115">
        <f t="shared" ca="1" si="15"/>
        <v>0</v>
      </c>
      <c r="W84" s="115">
        <f t="shared" ca="1" si="15"/>
        <v>0</v>
      </c>
      <c r="X84" s="115">
        <f t="shared" ca="1" si="15"/>
        <v>0</v>
      </c>
      <c r="Y84" s="115">
        <f t="shared" ca="1" si="15"/>
        <v>0</v>
      </c>
      <c r="Z84" s="115">
        <f t="shared" ca="1" si="15"/>
        <v>0</v>
      </c>
      <c r="AA84" s="115">
        <f t="shared" ca="1" si="15"/>
        <v>0</v>
      </c>
      <c r="AB84" s="115">
        <f t="shared" ca="1" si="15"/>
        <v>0</v>
      </c>
      <c r="AC84" s="115">
        <f t="shared" ca="1" si="15"/>
        <v>0</v>
      </c>
      <c r="AD84" s="115">
        <f t="shared" ca="1" si="15"/>
        <v>0</v>
      </c>
      <c r="AE84" s="115">
        <f t="shared" ca="1" si="15"/>
        <v>0</v>
      </c>
      <c r="AF84" s="115">
        <f t="shared" ca="1" si="15"/>
        <v>0</v>
      </c>
      <c r="AG84" s="115">
        <f t="shared" ca="1" si="15"/>
        <v>0</v>
      </c>
      <c r="AH84" s="115">
        <f t="shared" ca="1" si="15"/>
        <v>0</v>
      </c>
      <c r="AI84" s="115">
        <f t="shared" ca="1" si="15"/>
        <v>0</v>
      </c>
      <c r="AJ84" s="115">
        <f t="shared" ca="1" si="15"/>
        <v>0</v>
      </c>
      <c r="AK84" s="115">
        <f t="shared" ca="1" si="15"/>
        <v>0</v>
      </c>
      <c r="AL84" s="115">
        <f t="shared" ca="1" si="16"/>
        <v>0</v>
      </c>
      <c r="AM84" s="115">
        <f t="shared" ca="1" si="16"/>
        <v>0</v>
      </c>
      <c r="AN84" s="115">
        <f t="shared" ca="1" si="16"/>
        <v>0</v>
      </c>
      <c r="AO84" s="115">
        <f t="shared" ca="1" si="16"/>
        <v>0</v>
      </c>
    </row>
    <row r="85" spans="2:41">
      <c r="D85" s="111">
        <f t="shared" ca="1" si="18"/>
        <v>44771</v>
      </c>
      <c r="E85" s="115">
        <f t="shared" ca="1" si="17"/>
        <v>0</v>
      </c>
      <c r="F85" s="115">
        <f t="shared" ca="1" si="14"/>
        <v>0</v>
      </c>
      <c r="G85" s="115">
        <f t="shared" ca="1" si="14"/>
        <v>0</v>
      </c>
      <c r="H85" s="115">
        <f t="shared" ca="1" si="14"/>
        <v>0</v>
      </c>
      <c r="I85" s="115">
        <f t="shared" ca="1" si="14"/>
        <v>0</v>
      </c>
      <c r="J85" s="115">
        <f t="shared" ca="1" si="14"/>
        <v>0</v>
      </c>
      <c r="K85" s="115">
        <f t="shared" ca="1" si="14"/>
        <v>0</v>
      </c>
      <c r="L85" s="115">
        <f t="shared" ca="1" si="14"/>
        <v>0</v>
      </c>
      <c r="M85" s="115">
        <f t="shared" ca="1" si="14"/>
        <v>0</v>
      </c>
      <c r="N85" s="115">
        <f t="shared" ca="1" si="14"/>
        <v>0</v>
      </c>
      <c r="O85" s="115">
        <f t="shared" ca="1" si="14"/>
        <v>0</v>
      </c>
      <c r="P85" s="115">
        <f t="shared" ca="1" si="14"/>
        <v>0</v>
      </c>
      <c r="Q85" s="115">
        <f t="shared" ca="1" si="14"/>
        <v>0</v>
      </c>
      <c r="R85" s="115">
        <f t="shared" ca="1" si="14"/>
        <v>0</v>
      </c>
      <c r="S85" s="115">
        <f t="shared" ca="1" si="14"/>
        <v>0</v>
      </c>
      <c r="T85" s="115">
        <f t="shared" ca="1" si="14"/>
        <v>0</v>
      </c>
      <c r="U85" s="115">
        <f t="shared" ca="1" si="14"/>
        <v>0</v>
      </c>
      <c r="V85" s="115">
        <f t="shared" ca="1" si="15"/>
        <v>0</v>
      </c>
      <c r="W85" s="115">
        <f t="shared" ca="1" si="15"/>
        <v>0</v>
      </c>
      <c r="X85" s="115">
        <f t="shared" ca="1" si="15"/>
        <v>0</v>
      </c>
      <c r="Y85" s="115">
        <f t="shared" ca="1" si="15"/>
        <v>0</v>
      </c>
      <c r="Z85" s="115">
        <f t="shared" ca="1" si="15"/>
        <v>0</v>
      </c>
      <c r="AA85" s="115">
        <f t="shared" ca="1" si="15"/>
        <v>0</v>
      </c>
      <c r="AB85" s="115">
        <f t="shared" ca="1" si="15"/>
        <v>0</v>
      </c>
      <c r="AC85" s="115">
        <f t="shared" ca="1" si="15"/>
        <v>0</v>
      </c>
      <c r="AD85" s="115">
        <f t="shared" ca="1" si="15"/>
        <v>0</v>
      </c>
      <c r="AE85" s="115">
        <f t="shared" ca="1" si="15"/>
        <v>0</v>
      </c>
      <c r="AF85" s="115">
        <f t="shared" ca="1" si="15"/>
        <v>0</v>
      </c>
      <c r="AG85" s="115">
        <f t="shared" ca="1" si="15"/>
        <v>0</v>
      </c>
      <c r="AH85" s="115">
        <f t="shared" ca="1" si="15"/>
        <v>0</v>
      </c>
      <c r="AI85" s="115">
        <f t="shared" ca="1" si="15"/>
        <v>0</v>
      </c>
      <c r="AJ85" s="115">
        <f t="shared" ca="1" si="15"/>
        <v>0</v>
      </c>
      <c r="AK85" s="115">
        <f t="shared" ca="1" si="15"/>
        <v>0</v>
      </c>
      <c r="AL85" s="115">
        <f t="shared" ca="1" si="16"/>
        <v>0</v>
      </c>
      <c r="AM85" s="115">
        <f t="shared" ca="1" si="16"/>
        <v>0</v>
      </c>
      <c r="AN85" s="115">
        <f t="shared" ca="1" si="16"/>
        <v>0</v>
      </c>
      <c r="AO85" s="115">
        <f t="shared" ca="1" si="16"/>
        <v>0</v>
      </c>
    </row>
    <row r="86" spans="2:41">
      <c r="D86" s="111">
        <f t="shared" ca="1" si="18"/>
        <v>44774</v>
      </c>
      <c r="E86" s="115">
        <f t="shared" ca="1" si="17"/>
        <v>0</v>
      </c>
      <c r="F86" s="115">
        <f t="shared" ca="1" si="14"/>
        <v>0</v>
      </c>
      <c r="G86" s="115">
        <f t="shared" ca="1" si="14"/>
        <v>0</v>
      </c>
      <c r="H86" s="115">
        <f t="shared" ca="1" si="14"/>
        <v>0</v>
      </c>
      <c r="I86" s="115">
        <f t="shared" ca="1" si="14"/>
        <v>0</v>
      </c>
      <c r="J86" s="115">
        <f t="shared" ca="1" si="14"/>
        <v>0</v>
      </c>
      <c r="K86" s="115">
        <f t="shared" ca="1" si="14"/>
        <v>0</v>
      </c>
      <c r="L86" s="115">
        <f t="shared" ca="1" si="14"/>
        <v>0</v>
      </c>
      <c r="M86" s="115">
        <f t="shared" ca="1" si="14"/>
        <v>0</v>
      </c>
      <c r="N86" s="115">
        <f t="shared" ca="1" si="14"/>
        <v>0</v>
      </c>
      <c r="O86" s="115">
        <f t="shared" ca="1" si="14"/>
        <v>0</v>
      </c>
      <c r="P86" s="115">
        <f t="shared" ca="1" si="14"/>
        <v>0</v>
      </c>
      <c r="Q86" s="115">
        <f t="shared" ca="1" si="14"/>
        <v>0</v>
      </c>
      <c r="R86" s="115">
        <f t="shared" ca="1" si="14"/>
        <v>0</v>
      </c>
      <c r="S86" s="115">
        <f t="shared" ca="1" si="14"/>
        <v>0</v>
      </c>
      <c r="T86" s="115">
        <f t="shared" ca="1" si="14"/>
        <v>0</v>
      </c>
      <c r="U86" s="115">
        <f t="shared" ca="1" si="14"/>
        <v>0</v>
      </c>
      <c r="V86" s="115">
        <f t="shared" ca="1" si="15"/>
        <v>0</v>
      </c>
      <c r="W86" s="115">
        <f t="shared" ca="1" si="15"/>
        <v>0</v>
      </c>
      <c r="X86" s="115">
        <f t="shared" ca="1" si="15"/>
        <v>0</v>
      </c>
      <c r="Y86" s="115">
        <f t="shared" ca="1" si="15"/>
        <v>0</v>
      </c>
      <c r="Z86" s="115">
        <f t="shared" ca="1" si="15"/>
        <v>0</v>
      </c>
      <c r="AA86" s="115">
        <f t="shared" ca="1" si="15"/>
        <v>0</v>
      </c>
      <c r="AB86" s="115">
        <f t="shared" ca="1" si="15"/>
        <v>0</v>
      </c>
      <c r="AC86" s="115">
        <f t="shared" ca="1" si="15"/>
        <v>0</v>
      </c>
      <c r="AD86" s="115">
        <f t="shared" ca="1" si="15"/>
        <v>0</v>
      </c>
      <c r="AE86" s="115">
        <f t="shared" ca="1" si="15"/>
        <v>0</v>
      </c>
      <c r="AF86" s="115">
        <f t="shared" ca="1" si="15"/>
        <v>0</v>
      </c>
      <c r="AG86" s="115">
        <f t="shared" ca="1" si="15"/>
        <v>0</v>
      </c>
      <c r="AH86" s="115">
        <f t="shared" ca="1" si="15"/>
        <v>0</v>
      </c>
      <c r="AI86" s="115">
        <f t="shared" ca="1" si="15"/>
        <v>0</v>
      </c>
      <c r="AJ86" s="115">
        <f t="shared" ca="1" si="15"/>
        <v>0</v>
      </c>
      <c r="AK86" s="115">
        <f t="shared" ca="1" si="15"/>
        <v>0</v>
      </c>
      <c r="AL86" s="115">
        <f t="shared" ca="1" si="16"/>
        <v>0</v>
      </c>
      <c r="AM86" s="115">
        <f t="shared" ca="1" si="16"/>
        <v>0</v>
      </c>
      <c r="AN86" s="115">
        <f t="shared" ca="1" si="16"/>
        <v>0</v>
      </c>
      <c r="AO86" s="115">
        <f t="shared" ca="1" si="16"/>
        <v>0</v>
      </c>
    </row>
    <row r="87" spans="2:41">
      <c r="D87" s="111">
        <f t="shared" ca="1" si="18"/>
        <v>44775</v>
      </c>
      <c r="E87" s="115">
        <f t="shared" ca="1" si="17"/>
        <v>0</v>
      </c>
      <c r="F87" s="115">
        <f t="shared" ca="1" si="14"/>
        <v>0</v>
      </c>
      <c r="G87" s="115">
        <f t="shared" ca="1" si="14"/>
        <v>0</v>
      </c>
      <c r="H87" s="115">
        <f t="shared" ca="1" si="14"/>
        <v>0</v>
      </c>
      <c r="I87" s="115">
        <f t="shared" ca="1" si="14"/>
        <v>0</v>
      </c>
      <c r="J87" s="115">
        <f t="shared" ca="1" si="14"/>
        <v>0</v>
      </c>
      <c r="K87" s="115">
        <f t="shared" ca="1" si="14"/>
        <v>0</v>
      </c>
      <c r="L87" s="115">
        <f t="shared" ca="1" si="14"/>
        <v>0</v>
      </c>
      <c r="M87" s="115">
        <f t="shared" ca="1" si="14"/>
        <v>0</v>
      </c>
      <c r="N87" s="115">
        <f t="shared" ca="1" si="14"/>
        <v>0</v>
      </c>
      <c r="O87" s="115">
        <f t="shared" ca="1" si="14"/>
        <v>0</v>
      </c>
      <c r="P87" s="115">
        <f t="shared" ca="1" si="14"/>
        <v>0</v>
      </c>
      <c r="Q87" s="115">
        <f t="shared" ca="1" si="14"/>
        <v>0</v>
      </c>
      <c r="R87" s="115">
        <f t="shared" ca="1" si="14"/>
        <v>0</v>
      </c>
      <c r="S87" s="115">
        <f t="shared" ca="1" si="14"/>
        <v>0</v>
      </c>
      <c r="T87" s="115">
        <f t="shared" ca="1" si="14"/>
        <v>0</v>
      </c>
      <c r="U87" s="115">
        <f t="shared" ca="1" si="14"/>
        <v>0</v>
      </c>
      <c r="V87" s="115">
        <f t="shared" ca="1" si="15"/>
        <v>0</v>
      </c>
      <c r="W87" s="115">
        <f t="shared" ca="1" si="15"/>
        <v>0</v>
      </c>
      <c r="X87" s="115">
        <f t="shared" ca="1" si="15"/>
        <v>0</v>
      </c>
      <c r="Y87" s="115">
        <f t="shared" ca="1" si="15"/>
        <v>0</v>
      </c>
      <c r="Z87" s="115">
        <f t="shared" ca="1" si="15"/>
        <v>0</v>
      </c>
      <c r="AA87" s="115">
        <f t="shared" ca="1" si="15"/>
        <v>0</v>
      </c>
      <c r="AB87" s="115">
        <f t="shared" ca="1" si="15"/>
        <v>0</v>
      </c>
      <c r="AC87" s="115">
        <f t="shared" ca="1" si="15"/>
        <v>0</v>
      </c>
      <c r="AD87" s="115">
        <f t="shared" ca="1" si="15"/>
        <v>0</v>
      </c>
      <c r="AE87" s="115">
        <f t="shared" ca="1" si="15"/>
        <v>0</v>
      </c>
      <c r="AF87" s="115">
        <f t="shared" ca="1" si="15"/>
        <v>0</v>
      </c>
      <c r="AG87" s="115">
        <f t="shared" ca="1" si="15"/>
        <v>0</v>
      </c>
      <c r="AH87" s="115">
        <f t="shared" ca="1" si="15"/>
        <v>0</v>
      </c>
      <c r="AI87" s="115">
        <f t="shared" ca="1" si="15"/>
        <v>0</v>
      </c>
      <c r="AJ87" s="115">
        <f t="shared" ca="1" si="15"/>
        <v>0</v>
      </c>
      <c r="AK87" s="115">
        <f t="shared" ca="1" si="15"/>
        <v>0</v>
      </c>
      <c r="AL87" s="115">
        <f t="shared" ca="1" si="16"/>
        <v>0</v>
      </c>
      <c r="AM87" s="115">
        <f t="shared" ca="1" si="16"/>
        <v>0</v>
      </c>
      <c r="AN87" s="115">
        <f t="shared" ca="1" si="16"/>
        <v>0</v>
      </c>
      <c r="AO87" s="115">
        <f t="shared" ca="1" si="16"/>
        <v>0</v>
      </c>
    </row>
    <row r="88" spans="2:41">
      <c r="D88" s="111">
        <f t="shared" ca="1" si="18"/>
        <v>44776</v>
      </c>
      <c r="E88" s="115">
        <f t="shared" ca="1" si="17"/>
        <v>0</v>
      </c>
      <c r="F88" s="115">
        <f t="shared" ca="1" si="14"/>
        <v>0</v>
      </c>
      <c r="G88" s="115">
        <f t="shared" ca="1" si="14"/>
        <v>0</v>
      </c>
      <c r="H88" s="115">
        <f t="shared" ca="1" si="14"/>
        <v>0</v>
      </c>
      <c r="I88" s="115">
        <f t="shared" ca="1" si="14"/>
        <v>0</v>
      </c>
      <c r="J88" s="115">
        <f t="shared" ca="1" si="14"/>
        <v>0</v>
      </c>
      <c r="K88" s="115">
        <f t="shared" ca="1" si="14"/>
        <v>0</v>
      </c>
      <c r="L88" s="115">
        <f t="shared" ca="1" si="14"/>
        <v>0</v>
      </c>
      <c r="M88" s="115">
        <f t="shared" ca="1" si="14"/>
        <v>0</v>
      </c>
      <c r="N88" s="115">
        <f t="shared" ca="1" si="14"/>
        <v>0</v>
      </c>
      <c r="O88" s="115">
        <f t="shared" ca="1" si="14"/>
        <v>0</v>
      </c>
      <c r="P88" s="115">
        <f t="shared" ca="1" si="14"/>
        <v>0</v>
      </c>
      <c r="Q88" s="115">
        <f t="shared" ca="1" si="14"/>
        <v>0</v>
      </c>
      <c r="R88" s="115">
        <f t="shared" ca="1" si="14"/>
        <v>0</v>
      </c>
      <c r="S88" s="115">
        <f t="shared" ca="1" si="14"/>
        <v>0</v>
      </c>
      <c r="T88" s="115">
        <f t="shared" ca="1" si="14"/>
        <v>0</v>
      </c>
      <c r="U88" s="115">
        <f t="shared" ca="1" si="14"/>
        <v>0</v>
      </c>
      <c r="V88" s="115">
        <f t="shared" ca="1" si="15"/>
        <v>0</v>
      </c>
      <c r="W88" s="115">
        <f t="shared" ca="1" si="15"/>
        <v>0</v>
      </c>
      <c r="X88" s="115">
        <f t="shared" ca="1" si="15"/>
        <v>0</v>
      </c>
      <c r="Y88" s="115">
        <f t="shared" ca="1" si="15"/>
        <v>0</v>
      </c>
      <c r="Z88" s="115">
        <f t="shared" ca="1" si="15"/>
        <v>0</v>
      </c>
      <c r="AA88" s="115">
        <f t="shared" ca="1" si="15"/>
        <v>0</v>
      </c>
      <c r="AB88" s="115">
        <f t="shared" ca="1" si="15"/>
        <v>0</v>
      </c>
      <c r="AC88" s="115">
        <f t="shared" ca="1" si="15"/>
        <v>0</v>
      </c>
      <c r="AD88" s="115">
        <f t="shared" ca="1" si="15"/>
        <v>0</v>
      </c>
      <c r="AE88" s="115">
        <f t="shared" ca="1" si="15"/>
        <v>0</v>
      </c>
      <c r="AF88" s="115">
        <f t="shared" ca="1" si="15"/>
        <v>0</v>
      </c>
      <c r="AG88" s="115">
        <f t="shared" ca="1" si="15"/>
        <v>0</v>
      </c>
      <c r="AH88" s="115">
        <f t="shared" ca="1" si="15"/>
        <v>0</v>
      </c>
      <c r="AI88" s="115">
        <f t="shared" ca="1" si="15"/>
        <v>0</v>
      </c>
      <c r="AJ88" s="115">
        <f t="shared" ca="1" si="15"/>
        <v>0</v>
      </c>
      <c r="AK88" s="115">
        <f t="shared" ca="1" si="15"/>
        <v>0</v>
      </c>
      <c r="AL88" s="115">
        <f t="shared" ca="1" si="16"/>
        <v>0</v>
      </c>
      <c r="AM88" s="115">
        <f t="shared" ca="1" si="16"/>
        <v>0</v>
      </c>
      <c r="AN88" s="115">
        <f t="shared" ca="1" si="16"/>
        <v>0</v>
      </c>
      <c r="AO88" s="115">
        <f t="shared" ca="1" si="16"/>
        <v>0</v>
      </c>
    </row>
    <row r="89" spans="2:41">
      <c r="D89" s="111">
        <f t="shared" ca="1" si="18"/>
        <v>44777</v>
      </c>
      <c r="E89" s="115">
        <f t="shared" ca="1" si="17"/>
        <v>0</v>
      </c>
      <c r="F89" s="115">
        <f t="shared" ca="1" si="14"/>
        <v>0</v>
      </c>
      <c r="G89" s="115">
        <f t="shared" ca="1" si="14"/>
        <v>0</v>
      </c>
      <c r="H89" s="115">
        <f t="shared" ca="1" si="14"/>
        <v>0</v>
      </c>
      <c r="I89" s="115">
        <f t="shared" ca="1" si="14"/>
        <v>0</v>
      </c>
      <c r="J89" s="115">
        <f t="shared" ca="1" si="14"/>
        <v>0</v>
      </c>
      <c r="K89" s="115">
        <f t="shared" ca="1" si="14"/>
        <v>0</v>
      </c>
      <c r="L89" s="115">
        <f t="shared" ca="1" si="14"/>
        <v>0</v>
      </c>
      <c r="M89" s="115">
        <f t="shared" ca="1" si="14"/>
        <v>0</v>
      </c>
      <c r="N89" s="115">
        <f t="shared" ca="1" si="14"/>
        <v>0</v>
      </c>
      <c r="O89" s="115">
        <f t="shared" ca="1" si="14"/>
        <v>0</v>
      </c>
      <c r="P89" s="115">
        <f t="shared" ca="1" si="14"/>
        <v>0</v>
      </c>
      <c r="Q89" s="115">
        <f t="shared" ca="1" si="14"/>
        <v>0</v>
      </c>
      <c r="R89" s="115">
        <f t="shared" ca="1" si="14"/>
        <v>0</v>
      </c>
      <c r="S89" s="115">
        <f t="shared" ca="1" si="14"/>
        <v>0</v>
      </c>
      <c r="T89" s="115">
        <f t="shared" ca="1" si="14"/>
        <v>0</v>
      </c>
      <c r="U89" s="115">
        <f t="shared" ref="U89:AJ104" ca="1" si="19">IFERROR((OptionPrice(LEFT($C$79),U$72,$C$74,($C$75-$D89+1)/365,$C$76,$C$78,$C$77)-$C$80)*$C$81,0)</f>
        <v>0</v>
      </c>
      <c r="V89" s="115">
        <f t="shared" ca="1" si="15"/>
        <v>0</v>
      </c>
      <c r="W89" s="115">
        <f t="shared" ca="1" si="15"/>
        <v>0</v>
      </c>
      <c r="X89" s="115">
        <f t="shared" ca="1" si="15"/>
        <v>0</v>
      </c>
      <c r="Y89" s="115">
        <f t="shared" ca="1" si="15"/>
        <v>0</v>
      </c>
      <c r="Z89" s="115">
        <f t="shared" ca="1" si="15"/>
        <v>0</v>
      </c>
      <c r="AA89" s="115">
        <f t="shared" ca="1" si="15"/>
        <v>0</v>
      </c>
      <c r="AB89" s="115">
        <f t="shared" ca="1" si="15"/>
        <v>0</v>
      </c>
      <c r="AC89" s="115">
        <f t="shared" ca="1" si="15"/>
        <v>0</v>
      </c>
      <c r="AD89" s="115">
        <f t="shared" ca="1" si="15"/>
        <v>0</v>
      </c>
      <c r="AE89" s="115">
        <f t="shared" ca="1" si="15"/>
        <v>0</v>
      </c>
      <c r="AF89" s="115">
        <f t="shared" ca="1" si="15"/>
        <v>0</v>
      </c>
      <c r="AG89" s="115">
        <f t="shared" ca="1" si="15"/>
        <v>0</v>
      </c>
      <c r="AH89" s="115">
        <f t="shared" ca="1" si="15"/>
        <v>0</v>
      </c>
      <c r="AI89" s="115">
        <f t="shared" ca="1" si="15"/>
        <v>0</v>
      </c>
      <c r="AJ89" s="115">
        <f t="shared" ca="1" si="15"/>
        <v>0</v>
      </c>
      <c r="AK89" s="115">
        <f t="shared" ref="AK89:AK104" ca="1" si="20">IFERROR((OptionPrice(LEFT($C$79),AK$72,$C$74,($C$75-$D89+1)/365,$C$76,$C$78,$C$77)-$C$80)*$C$81,0)</f>
        <v>0</v>
      </c>
      <c r="AL89" s="115">
        <f t="shared" ca="1" si="16"/>
        <v>0</v>
      </c>
      <c r="AM89" s="115">
        <f t="shared" ca="1" si="16"/>
        <v>0</v>
      </c>
      <c r="AN89" s="115">
        <f t="shared" ca="1" si="16"/>
        <v>0</v>
      </c>
      <c r="AO89" s="115">
        <f t="shared" ca="1" si="16"/>
        <v>0</v>
      </c>
    </row>
    <row r="90" spans="2:41">
      <c r="D90" s="111">
        <f t="shared" ca="1" si="18"/>
        <v>44778</v>
      </c>
      <c r="E90" s="115">
        <f t="shared" ca="1" si="17"/>
        <v>0</v>
      </c>
      <c r="F90" s="115">
        <f t="shared" ca="1" si="17"/>
        <v>0</v>
      </c>
      <c r="G90" s="115">
        <f t="shared" ca="1" si="17"/>
        <v>0</v>
      </c>
      <c r="H90" s="115">
        <f t="shared" ca="1" si="17"/>
        <v>0</v>
      </c>
      <c r="I90" s="115">
        <f t="shared" ca="1" si="17"/>
        <v>0</v>
      </c>
      <c r="J90" s="115">
        <f t="shared" ca="1" si="17"/>
        <v>0</v>
      </c>
      <c r="K90" s="115">
        <f t="shared" ca="1" si="17"/>
        <v>0</v>
      </c>
      <c r="L90" s="115">
        <f t="shared" ca="1" si="17"/>
        <v>0</v>
      </c>
      <c r="M90" s="115">
        <f t="shared" ca="1" si="17"/>
        <v>0</v>
      </c>
      <c r="N90" s="115">
        <f t="shared" ca="1" si="17"/>
        <v>0</v>
      </c>
      <c r="O90" s="115">
        <f t="shared" ca="1" si="17"/>
        <v>0</v>
      </c>
      <c r="P90" s="115">
        <f t="shared" ca="1" si="17"/>
        <v>0</v>
      </c>
      <c r="Q90" s="115">
        <f t="shared" ca="1" si="17"/>
        <v>0</v>
      </c>
      <c r="R90" s="115">
        <f t="shared" ca="1" si="17"/>
        <v>0</v>
      </c>
      <c r="S90" s="115">
        <f t="shared" ca="1" si="17"/>
        <v>0</v>
      </c>
      <c r="T90" s="115">
        <f t="shared" ca="1" si="17"/>
        <v>0</v>
      </c>
      <c r="U90" s="115">
        <f t="shared" ca="1" si="19"/>
        <v>0</v>
      </c>
      <c r="V90" s="115">
        <f t="shared" ca="1" si="19"/>
        <v>0</v>
      </c>
      <c r="W90" s="115">
        <f t="shared" ca="1" si="19"/>
        <v>0</v>
      </c>
      <c r="X90" s="115">
        <f t="shared" ca="1" si="19"/>
        <v>0</v>
      </c>
      <c r="Y90" s="115">
        <f t="shared" ca="1" si="19"/>
        <v>0</v>
      </c>
      <c r="Z90" s="115">
        <f t="shared" ca="1" si="19"/>
        <v>0</v>
      </c>
      <c r="AA90" s="115">
        <f t="shared" ca="1" si="19"/>
        <v>0</v>
      </c>
      <c r="AB90" s="115">
        <f t="shared" ca="1" si="19"/>
        <v>0</v>
      </c>
      <c r="AC90" s="115">
        <f t="shared" ca="1" si="19"/>
        <v>0</v>
      </c>
      <c r="AD90" s="115">
        <f t="shared" ca="1" si="19"/>
        <v>0</v>
      </c>
      <c r="AE90" s="115">
        <f t="shared" ca="1" si="19"/>
        <v>0</v>
      </c>
      <c r="AF90" s="115">
        <f t="shared" ca="1" si="19"/>
        <v>0</v>
      </c>
      <c r="AG90" s="115">
        <f t="shared" ca="1" si="19"/>
        <v>0</v>
      </c>
      <c r="AH90" s="115">
        <f t="shared" ca="1" si="19"/>
        <v>0</v>
      </c>
      <c r="AI90" s="115">
        <f t="shared" ca="1" si="19"/>
        <v>0</v>
      </c>
      <c r="AJ90" s="115">
        <f t="shared" ca="1" si="19"/>
        <v>0</v>
      </c>
      <c r="AK90" s="115">
        <f t="shared" ca="1" si="20"/>
        <v>0</v>
      </c>
      <c r="AL90" s="115">
        <f t="shared" ca="1" si="16"/>
        <v>0</v>
      </c>
      <c r="AM90" s="115">
        <f t="shared" ca="1" si="16"/>
        <v>0</v>
      </c>
      <c r="AN90" s="115">
        <f t="shared" ca="1" si="16"/>
        <v>0</v>
      </c>
      <c r="AO90" s="115">
        <f t="shared" ca="1" si="16"/>
        <v>0</v>
      </c>
    </row>
    <row r="91" spans="2:41">
      <c r="D91" s="111">
        <f t="shared" ca="1" si="18"/>
        <v>44781</v>
      </c>
      <c r="E91" s="115">
        <f t="shared" ref="E91:T105" ca="1" si="21">IFERROR((OptionPrice(LEFT($C$79),E$72,$C$74,($C$75-$D91+1)/365,$C$76,$C$78,$C$77)-$C$80)*$C$81,0)</f>
        <v>0</v>
      </c>
      <c r="F91" s="115">
        <f t="shared" ca="1" si="21"/>
        <v>0</v>
      </c>
      <c r="G91" s="115">
        <f t="shared" ca="1" si="21"/>
        <v>0</v>
      </c>
      <c r="H91" s="115">
        <f t="shared" ca="1" si="21"/>
        <v>0</v>
      </c>
      <c r="I91" s="115">
        <f t="shared" ca="1" si="21"/>
        <v>0</v>
      </c>
      <c r="J91" s="115">
        <f t="shared" ca="1" si="21"/>
        <v>0</v>
      </c>
      <c r="K91" s="115">
        <f t="shared" ca="1" si="21"/>
        <v>0</v>
      </c>
      <c r="L91" s="115">
        <f t="shared" ca="1" si="21"/>
        <v>0</v>
      </c>
      <c r="M91" s="115">
        <f t="shared" ca="1" si="21"/>
        <v>0</v>
      </c>
      <c r="N91" s="115">
        <f t="shared" ca="1" si="21"/>
        <v>0</v>
      </c>
      <c r="O91" s="115">
        <f t="shared" ca="1" si="21"/>
        <v>0</v>
      </c>
      <c r="P91" s="115">
        <f t="shared" ca="1" si="21"/>
        <v>0</v>
      </c>
      <c r="Q91" s="115">
        <f t="shared" ca="1" si="21"/>
        <v>0</v>
      </c>
      <c r="R91" s="115">
        <f t="shared" ca="1" si="21"/>
        <v>0</v>
      </c>
      <c r="S91" s="115">
        <f t="shared" ca="1" si="21"/>
        <v>0</v>
      </c>
      <c r="T91" s="115">
        <f t="shared" ca="1" si="21"/>
        <v>0</v>
      </c>
      <c r="U91" s="115">
        <f t="shared" ca="1" si="19"/>
        <v>0</v>
      </c>
      <c r="V91" s="115">
        <f t="shared" ca="1" si="19"/>
        <v>0</v>
      </c>
      <c r="W91" s="115">
        <f t="shared" ca="1" si="19"/>
        <v>0</v>
      </c>
      <c r="X91" s="115">
        <f t="shared" ca="1" si="19"/>
        <v>0</v>
      </c>
      <c r="Y91" s="115">
        <f t="shared" ca="1" si="19"/>
        <v>0</v>
      </c>
      <c r="Z91" s="115">
        <f t="shared" ca="1" si="19"/>
        <v>0</v>
      </c>
      <c r="AA91" s="115">
        <f t="shared" ca="1" si="19"/>
        <v>0</v>
      </c>
      <c r="AB91" s="115">
        <f t="shared" ca="1" si="19"/>
        <v>0</v>
      </c>
      <c r="AC91" s="115">
        <f t="shared" ca="1" si="19"/>
        <v>0</v>
      </c>
      <c r="AD91" s="115">
        <f t="shared" ca="1" si="19"/>
        <v>0</v>
      </c>
      <c r="AE91" s="115">
        <f t="shared" ca="1" si="19"/>
        <v>0</v>
      </c>
      <c r="AF91" s="115">
        <f t="shared" ca="1" si="19"/>
        <v>0</v>
      </c>
      <c r="AG91" s="115">
        <f t="shared" ca="1" si="19"/>
        <v>0</v>
      </c>
      <c r="AH91" s="115">
        <f t="shared" ca="1" si="19"/>
        <v>0</v>
      </c>
      <c r="AI91" s="115">
        <f t="shared" ca="1" si="19"/>
        <v>0</v>
      </c>
      <c r="AJ91" s="115">
        <f t="shared" ca="1" si="19"/>
        <v>0</v>
      </c>
      <c r="AK91" s="115">
        <f t="shared" ca="1" si="20"/>
        <v>0</v>
      </c>
      <c r="AL91" s="115">
        <f t="shared" ca="1" si="16"/>
        <v>0</v>
      </c>
      <c r="AM91" s="115">
        <f t="shared" ca="1" si="16"/>
        <v>0</v>
      </c>
      <c r="AN91" s="115">
        <f t="shared" ca="1" si="16"/>
        <v>0</v>
      </c>
      <c r="AO91" s="115">
        <f t="shared" ca="1" si="16"/>
        <v>0</v>
      </c>
    </row>
    <row r="92" spans="2:41">
      <c r="D92" s="111">
        <f t="shared" ca="1" si="18"/>
        <v>44782</v>
      </c>
      <c r="E92" s="115">
        <f t="shared" ca="1" si="21"/>
        <v>0</v>
      </c>
      <c r="F92" s="115">
        <f t="shared" ca="1" si="21"/>
        <v>0</v>
      </c>
      <c r="G92" s="115">
        <f t="shared" ca="1" si="21"/>
        <v>0</v>
      </c>
      <c r="H92" s="115">
        <f t="shared" ca="1" si="21"/>
        <v>0</v>
      </c>
      <c r="I92" s="115">
        <f t="shared" ca="1" si="21"/>
        <v>0</v>
      </c>
      <c r="J92" s="115">
        <f t="shared" ca="1" si="21"/>
        <v>0</v>
      </c>
      <c r="K92" s="115">
        <f t="shared" ca="1" si="21"/>
        <v>0</v>
      </c>
      <c r="L92" s="115">
        <f t="shared" ca="1" si="21"/>
        <v>0</v>
      </c>
      <c r="M92" s="115">
        <f t="shared" ca="1" si="21"/>
        <v>0</v>
      </c>
      <c r="N92" s="115">
        <f t="shared" ca="1" si="21"/>
        <v>0</v>
      </c>
      <c r="O92" s="115">
        <f t="shared" ca="1" si="21"/>
        <v>0</v>
      </c>
      <c r="P92" s="115">
        <f t="shared" ca="1" si="21"/>
        <v>0</v>
      </c>
      <c r="Q92" s="115">
        <f t="shared" ca="1" si="21"/>
        <v>0</v>
      </c>
      <c r="R92" s="115">
        <f t="shared" ca="1" si="21"/>
        <v>0</v>
      </c>
      <c r="S92" s="115">
        <f t="shared" ca="1" si="21"/>
        <v>0</v>
      </c>
      <c r="T92" s="115">
        <f t="shared" ca="1" si="21"/>
        <v>0</v>
      </c>
      <c r="U92" s="115">
        <f t="shared" ca="1" si="19"/>
        <v>0</v>
      </c>
      <c r="V92" s="115">
        <f t="shared" ca="1" si="19"/>
        <v>0</v>
      </c>
      <c r="W92" s="115">
        <f t="shared" ca="1" si="19"/>
        <v>0</v>
      </c>
      <c r="X92" s="115">
        <f t="shared" ca="1" si="19"/>
        <v>0</v>
      </c>
      <c r="Y92" s="115">
        <f t="shared" ca="1" si="19"/>
        <v>0</v>
      </c>
      <c r="Z92" s="115">
        <f t="shared" ca="1" si="19"/>
        <v>0</v>
      </c>
      <c r="AA92" s="115">
        <f t="shared" ca="1" si="19"/>
        <v>0</v>
      </c>
      <c r="AB92" s="115">
        <f t="shared" ca="1" si="19"/>
        <v>0</v>
      </c>
      <c r="AC92" s="115">
        <f t="shared" ca="1" si="19"/>
        <v>0</v>
      </c>
      <c r="AD92" s="115">
        <f t="shared" ca="1" si="19"/>
        <v>0</v>
      </c>
      <c r="AE92" s="115">
        <f t="shared" ca="1" si="19"/>
        <v>0</v>
      </c>
      <c r="AF92" s="115">
        <f t="shared" ca="1" si="19"/>
        <v>0</v>
      </c>
      <c r="AG92" s="115">
        <f t="shared" ca="1" si="19"/>
        <v>0</v>
      </c>
      <c r="AH92" s="115">
        <f t="shared" ca="1" si="19"/>
        <v>0</v>
      </c>
      <c r="AI92" s="115">
        <f t="shared" ca="1" si="19"/>
        <v>0</v>
      </c>
      <c r="AJ92" s="115">
        <f t="shared" ca="1" si="19"/>
        <v>0</v>
      </c>
      <c r="AK92" s="115">
        <f t="shared" ca="1" si="20"/>
        <v>0</v>
      </c>
      <c r="AL92" s="115">
        <f t="shared" ca="1" si="16"/>
        <v>0</v>
      </c>
      <c r="AM92" s="115">
        <f t="shared" ca="1" si="16"/>
        <v>0</v>
      </c>
      <c r="AN92" s="115">
        <f t="shared" ca="1" si="16"/>
        <v>0</v>
      </c>
      <c r="AO92" s="115">
        <f t="shared" ca="1" si="16"/>
        <v>0</v>
      </c>
    </row>
    <row r="93" spans="2:41">
      <c r="D93" s="111">
        <f t="shared" ca="1" si="18"/>
        <v>44783</v>
      </c>
      <c r="E93" s="115">
        <f t="shared" ca="1" si="21"/>
        <v>0</v>
      </c>
      <c r="F93" s="115">
        <f t="shared" ca="1" si="21"/>
        <v>0</v>
      </c>
      <c r="G93" s="115">
        <f t="shared" ca="1" si="21"/>
        <v>0</v>
      </c>
      <c r="H93" s="115">
        <f t="shared" ca="1" si="21"/>
        <v>0</v>
      </c>
      <c r="I93" s="115">
        <f t="shared" ca="1" si="21"/>
        <v>0</v>
      </c>
      <c r="J93" s="115">
        <f t="shared" ca="1" si="21"/>
        <v>0</v>
      </c>
      <c r="K93" s="115">
        <f t="shared" ca="1" si="21"/>
        <v>0</v>
      </c>
      <c r="L93" s="115">
        <f t="shared" ca="1" si="21"/>
        <v>0</v>
      </c>
      <c r="M93" s="115">
        <f t="shared" ca="1" si="21"/>
        <v>0</v>
      </c>
      <c r="N93" s="115">
        <f t="shared" ca="1" si="21"/>
        <v>0</v>
      </c>
      <c r="O93" s="115">
        <f t="shared" ca="1" si="21"/>
        <v>0</v>
      </c>
      <c r="P93" s="115">
        <f t="shared" ca="1" si="21"/>
        <v>0</v>
      </c>
      <c r="Q93" s="115">
        <f t="shared" ca="1" si="21"/>
        <v>0</v>
      </c>
      <c r="R93" s="115">
        <f t="shared" ca="1" si="21"/>
        <v>0</v>
      </c>
      <c r="S93" s="115">
        <f t="shared" ca="1" si="21"/>
        <v>0</v>
      </c>
      <c r="T93" s="115">
        <f t="shared" ca="1" si="21"/>
        <v>0</v>
      </c>
      <c r="U93" s="115">
        <f t="shared" ca="1" si="19"/>
        <v>0</v>
      </c>
      <c r="V93" s="115">
        <f t="shared" ca="1" si="19"/>
        <v>0</v>
      </c>
      <c r="W93" s="115">
        <f t="shared" ca="1" si="19"/>
        <v>0</v>
      </c>
      <c r="X93" s="115">
        <f t="shared" ca="1" si="19"/>
        <v>0</v>
      </c>
      <c r="Y93" s="115">
        <f t="shared" ca="1" si="19"/>
        <v>0</v>
      </c>
      <c r="Z93" s="115">
        <f t="shared" ca="1" si="19"/>
        <v>0</v>
      </c>
      <c r="AA93" s="115">
        <f t="shared" ca="1" si="19"/>
        <v>0</v>
      </c>
      <c r="AB93" s="115">
        <f t="shared" ca="1" si="19"/>
        <v>0</v>
      </c>
      <c r="AC93" s="115">
        <f t="shared" ca="1" si="19"/>
        <v>0</v>
      </c>
      <c r="AD93" s="115">
        <f t="shared" ca="1" si="19"/>
        <v>0</v>
      </c>
      <c r="AE93" s="115">
        <f t="shared" ca="1" si="19"/>
        <v>0</v>
      </c>
      <c r="AF93" s="115">
        <f t="shared" ca="1" si="19"/>
        <v>0</v>
      </c>
      <c r="AG93" s="115">
        <f t="shared" ca="1" si="19"/>
        <v>0</v>
      </c>
      <c r="AH93" s="115">
        <f t="shared" ca="1" si="19"/>
        <v>0</v>
      </c>
      <c r="AI93" s="115">
        <f t="shared" ca="1" si="19"/>
        <v>0</v>
      </c>
      <c r="AJ93" s="115">
        <f t="shared" ca="1" si="19"/>
        <v>0</v>
      </c>
      <c r="AK93" s="115">
        <f t="shared" ca="1" si="20"/>
        <v>0</v>
      </c>
      <c r="AL93" s="115">
        <f t="shared" ca="1" si="16"/>
        <v>0</v>
      </c>
      <c r="AM93" s="115">
        <f t="shared" ca="1" si="16"/>
        <v>0</v>
      </c>
      <c r="AN93" s="115">
        <f t="shared" ca="1" si="16"/>
        <v>0</v>
      </c>
      <c r="AO93" s="115">
        <f t="shared" ca="1" si="16"/>
        <v>0</v>
      </c>
    </row>
    <row r="94" spans="2:41">
      <c r="D94" s="111">
        <f t="shared" ca="1" si="18"/>
        <v>44784</v>
      </c>
      <c r="E94" s="115">
        <f t="shared" ca="1" si="21"/>
        <v>0</v>
      </c>
      <c r="F94" s="115">
        <f t="shared" ca="1" si="21"/>
        <v>0</v>
      </c>
      <c r="G94" s="115">
        <f t="shared" ca="1" si="21"/>
        <v>0</v>
      </c>
      <c r="H94" s="115">
        <f t="shared" ca="1" si="21"/>
        <v>0</v>
      </c>
      <c r="I94" s="115">
        <f t="shared" ca="1" si="21"/>
        <v>0</v>
      </c>
      <c r="J94" s="115">
        <f t="shared" ca="1" si="21"/>
        <v>0</v>
      </c>
      <c r="K94" s="115">
        <f t="shared" ca="1" si="21"/>
        <v>0</v>
      </c>
      <c r="L94" s="115">
        <f t="shared" ca="1" si="21"/>
        <v>0</v>
      </c>
      <c r="M94" s="115">
        <f t="shared" ca="1" si="21"/>
        <v>0</v>
      </c>
      <c r="N94" s="115">
        <f t="shared" ca="1" si="21"/>
        <v>0</v>
      </c>
      <c r="O94" s="115">
        <f t="shared" ca="1" si="21"/>
        <v>0</v>
      </c>
      <c r="P94" s="115">
        <f t="shared" ca="1" si="21"/>
        <v>0</v>
      </c>
      <c r="Q94" s="115">
        <f t="shared" ca="1" si="21"/>
        <v>0</v>
      </c>
      <c r="R94" s="115">
        <f t="shared" ca="1" si="21"/>
        <v>0</v>
      </c>
      <c r="S94" s="115">
        <f t="shared" ca="1" si="21"/>
        <v>0</v>
      </c>
      <c r="T94" s="115">
        <f t="shared" ca="1" si="21"/>
        <v>0</v>
      </c>
      <c r="U94" s="115">
        <f t="shared" ca="1" si="19"/>
        <v>0</v>
      </c>
      <c r="V94" s="115">
        <f t="shared" ca="1" si="19"/>
        <v>0</v>
      </c>
      <c r="W94" s="115">
        <f t="shared" ca="1" si="19"/>
        <v>0</v>
      </c>
      <c r="X94" s="115">
        <f t="shared" ca="1" si="19"/>
        <v>0</v>
      </c>
      <c r="Y94" s="115">
        <f t="shared" ca="1" si="19"/>
        <v>0</v>
      </c>
      <c r="Z94" s="115">
        <f t="shared" ca="1" si="19"/>
        <v>0</v>
      </c>
      <c r="AA94" s="115">
        <f t="shared" ca="1" si="19"/>
        <v>0</v>
      </c>
      <c r="AB94" s="115">
        <f t="shared" ca="1" si="19"/>
        <v>0</v>
      </c>
      <c r="AC94" s="115">
        <f t="shared" ca="1" si="19"/>
        <v>0</v>
      </c>
      <c r="AD94" s="115">
        <f t="shared" ca="1" si="19"/>
        <v>0</v>
      </c>
      <c r="AE94" s="115">
        <f t="shared" ca="1" si="19"/>
        <v>0</v>
      </c>
      <c r="AF94" s="115">
        <f t="shared" ca="1" si="19"/>
        <v>0</v>
      </c>
      <c r="AG94" s="115">
        <f t="shared" ca="1" si="19"/>
        <v>0</v>
      </c>
      <c r="AH94" s="115">
        <f t="shared" ca="1" si="19"/>
        <v>0</v>
      </c>
      <c r="AI94" s="115">
        <f t="shared" ca="1" si="19"/>
        <v>0</v>
      </c>
      <c r="AJ94" s="115">
        <f t="shared" ca="1" si="19"/>
        <v>0</v>
      </c>
      <c r="AK94" s="115">
        <f t="shared" ca="1" si="20"/>
        <v>0</v>
      </c>
      <c r="AL94" s="115">
        <f t="shared" ca="1" si="16"/>
        <v>0</v>
      </c>
      <c r="AM94" s="115">
        <f t="shared" ca="1" si="16"/>
        <v>0</v>
      </c>
      <c r="AN94" s="115">
        <f t="shared" ca="1" si="16"/>
        <v>0</v>
      </c>
      <c r="AO94" s="115">
        <f t="shared" ca="1" si="16"/>
        <v>0</v>
      </c>
    </row>
    <row r="95" spans="2:41">
      <c r="D95" s="111">
        <f t="shared" ca="1" si="18"/>
        <v>44785</v>
      </c>
      <c r="E95" s="115">
        <f t="shared" ca="1" si="21"/>
        <v>0</v>
      </c>
      <c r="F95" s="115">
        <f t="shared" ca="1" si="21"/>
        <v>0</v>
      </c>
      <c r="G95" s="115">
        <f t="shared" ca="1" si="21"/>
        <v>0</v>
      </c>
      <c r="H95" s="115">
        <f t="shared" ca="1" si="21"/>
        <v>0</v>
      </c>
      <c r="I95" s="115">
        <f t="shared" ca="1" si="21"/>
        <v>0</v>
      </c>
      <c r="J95" s="115">
        <f t="shared" ca="1" si="21"/>
        <v>0</v>
      </c>
      <c r="K95" s="115">
        <f t="shared" ca="1" si="21"/>
        <v>0</v>
      </c>
      <c r="L95" s="115">
        <f t="shared" ca="1" si="21"/>
        <v>0</v>
      </c>
      <c r="M95" s="115">
        <f t="shared" ca="1" si="21"/>
        <v>0</v>
      </c>
      <c r="N95" s="115">
        <f t="shared" ca="1" si="21"/>
        <v>0</v>
      </c>
      <c r="O95" s="115">
        <f t="shared" ca="1" si="21"/>
        <v>0</v>
      </c>
      <c r="P95" s="115">
        <f t="shared" ca="1" si="21"/>
        <v>0</v>
      </c>
      <c r="Q95" s="115">
        <f t="shared" ca="1" si="21"/>
        <v>0</v>
      </c>
      <c r="R95" s="115">
        <f t="shared" ca="1" si="21"/>
        <v>0</v>
      </c>
      <c r="S95" s="115">
        <f t="shared" ca="1" si="21"/>
        <v>0</v>
      </c>
      <c r="T95" s="115">
        <f t="shared" ca="1" si="21"/>
        <v>0</v>
      </c>
      <c r="U95" s="115">
        <f t="shared" ca="1" si="19"/>
        <v>0</v>
      </c>
      <c r="V95" s="115">
        <f t="shared" ca="1" si="19"/>
        <v>0</v>
      </c>
      <c r="W95" s="115">
        <f t="shared" ca="1" si="19"/>
        <v>0</v>
      </c>
      <c r="X95" s="115">
        <f t="shared" ca="1" si="19"/>
        <v>0</v>
      </c>
      <c r="Y95" s="115">
        <f t="shared" ca="1" si="19"/>
        <v>0</v>
      </c>
      <c r="Z95" s="115">
        <f t="shared" ca="1" si="19"/>
        <v>0</v>
      </c>
      <c r="AA95" s="115">
        <f t="shared" ca="1" si="19"/>
        <v>0</v>
      </c>
      <c r="AB95" s="115">
        <f t="shared" ca="1" si="19"/>
        <v>0</v>
      </c>
      <c r="AC95" s="115">
        <f t="shared" ca="1" si="19"/>
        <v>0</v>
      </c>
      <c r="AD95" s="115">
        <f t="shared" ca="1" si="19"/>
        <v>0</v>
      </c>
      <c r="AE95" s="115">
        <f t="shared" ca="1" si="19"/>
        <v>0</v>
      </c>
      <c r="AF95" s="115">
        <f t="shared" ca="1" si="19"/>
        <v>0</v>
      </c>
      <c r="AG95" s="115">
        <f t="shared" ca="1" si="19"/>
        <v>0</v>
      </c>
      <c r="AH95" s="115">
        <f t="shared" ca="1" si="19"/>
        <v>0</v>
      </c>
      <c r="AI95" s="115">
        <f t="shared" ca="1" si="19"/>
        <v>0</v>
      </c>
      <c r="AJ95" s="115">
        <f t="shared" ca="1" si="19"/>
        <v>0</v>
      </c>
      <c r="AK95" s="115">
        <f t="shared" ca="1" si="20"/>
        <v>0</v>
      </c>
      <c r="AL95" s="115">
        <f t="shared" ca="1" si="16"/>
        <v>0</v>
      </c>
      <c r="AM95" s="115">
        <f t="shared" ca="1" si="16"/>
        <v>0</v>
      </c>
      <c r="AN95" s="115">
        <f t="shared" ca="1" si="16"/>
        <v>0</v>
      </c>
      <c r="AO95" s="115">
        <f t="shared" ca="1" si="16"/>
        <v>0</v>
      </c>
    </row>
    <row r="96" spans="2:41">
      <c r="D96" s="111">
        <f t="shared" ca="1" si="18"/>
        <v>44788</v>
      </c>
      <c r="E96" s="115">
        <f t="shared" ca="1" si="21"/>
        <v>0</v>
      </c>
      <c r="F96" s="115">
        <f t="shared" ca="1" si="21"/>
        <v>0</v>
      </c>
      <c r="G96" s="115">
        <f t="shared" ca="1" si="21"/>
        <v>0</v>
      </c>
      <c r="H96" s="115">
        <f t="shared" ca="1" si="21"/>
        <v>0</v>
      </c>
      <c r="I96" s="115">
        <f t="shared" ca="1" si="21"/>
        <v>0</v>
      </c>
      <c r="J96" s="115">
        <f t="shared" ca="1" si="21"/>
        <v>0</v>
      </c>
      <c r="K96" s="115">
        <f t="shared" ca="1" si="21"/>
        <v>0</v>
      </c>
      <c r="L96" s="115">
        <f t="shared" ca="1" si="21"/>
        <v>0</v>
      </c>
      <c r="M96" s="115">
        <f t="shared" ca="1" si="21"/>
        <v>0</v>
      </c>
      <c r="N96" s="115">
        <f t="shared" ca="1" si="21"/>
        <v>0</v>
      </c>
      <c r="O96" s="115">
        <f t="shared" ca="1" si="21"/>
        <v>0</v>
      </c>
      <c r="P96" s="115">
        <f t="shared" ca="1" si="21"/>
        <v>0</v>
      </c>
      <c r="Q96" s="115">
        <f t="shared" ca="1" si="21"/>
        <v>0</v>
      </c>
      <c r="R96" s="115">
        <f t="shared" ca="1" si="21"/>
        <v>0</v>
      </c>
      <c r="S96" s="115">
        <f t="shared" ca="1" si="21"/>
        <v>0</v>
      </c>
      <c r="T96" s="115">
        <f t="shared" ca="1" si="21"/>
        <v>0</v>
      </c>
      <c r="U96" s="115">
        <f t="shared" ca="1" si="19"/>
        <v>0</v>
      </c>
      <c r="V96" s="115">
        <f t="shared" ca="1" si="19"/>
        <v>0</v>
      </c>
      <c r="W96" s="115">
        <f t="shared" ca="1" si="19"/>
        <v>0</v>
      </c>
      <c r="X96" s="115">
        <f t="shared" ca="1" si="19"/>
        <v>0</v>
      </c>
      <c r="Y96" s="115">
        <f t="shared" ca="1" si="19"/>
        <v>0</v>
      </c>
      <c r="Z96" s="115">
        <f t="shared" ca="1" si="19"/>
        <v>0</v>
      </c>
      <c r="AA96" s="115">
        <f t="shared" ca="1" si="19"/>
        <v>0</v>
      </c>
      <c r="AB96" s="115">
        <f t="shared" ca="1" si="19"/>
        <v>0</v>
      </c>
      <c r="AC96" s="115">
        <f t="shared" ca="1" si="19"/>
        <v>0</v>
      </c>
      <c r="AD96" s="115">
        <f t="shared" ca="1" si="19"/>
        <v>0</v>
      </c>
      <c r="AE96" s="115">
        <f t="shared" ca="1" si="19"/>
        <v>0</v>
      </c>
      <c r="AF96" s="115">
        <f t="shared" ca="1" si="19"/>
        <v>0</v>
      </c>
      <c r="AG96" s="115">
        <f t="shared" ca="1" si="19"/>
        <v>0</v>
      </c>
      <c r="AH96" s="115">
        <f t="shared" ca="1" si="19"/>
        <v>0</v>
      </c>
      <c r="AI96" s="115">
        <f t="shared" ca="1" si="19"/>
        <v>0</v>
      </c>
      <c r="AJ96" s="115">
        <f t="shared" ca="1" si="19"/>
        <v>0</v>
      </c>
      <c r="AK96" s="115">
        <f t="shared" ca="1" si="20"/>
        <v>0</v>
      </c>
      <c r="AL96" s="115">
        <f t="shared" ca="1" si="16"/>
        <v>0</v>
      </c>
      <c r="AM96" s="115">
        <f t="shared" ca="1" si="16"/>
        <v>0</v>
      </c>
      <c r="AN96" s="115">
        <f t="shared" ca="1" si="16"/>
        <v>0</v>
      </c>
      <c r="AO96" s="115">
        <f t="shared" ca="1" si="16"/>
        <v>0</v>
      </c>
    </row>
    <row r="97" spans="3:41">
      <c r="D97" s="111">
        <f t="shared" ca="1" si="18"/>
        <v>44789</v>
      </c>
      <c r="E97" s="115">
        <f t="shared" ca="1" si="21"/>
        <v>0</v>
      </c>
      <c r="F97" s="115">
        <f t="shared" ca="1" si="21"/>
        <v>0</v>
      </c>
      <c r="G97" s="115">
        <f t="shared" ca="1" si="21"/>
        <v>0</v>
      </c>
      <c r="H97" s="115">
        <f t="shared" ca="1" si="21"/>
        <v>0</v>
      </c>
      <c r="I97" s="115">
        <f t="shared" ca="1" si="21"/>
        <v>0</v>
      </c>
      <c r="J97" s="115">
        <f t="shared" ca="1" si="21"/>
        <v>0</v>
      </c>
      <c r="K97" s="115">
        <f t="shared" ca="1" si="21"/>
        <v>0</v>
      </c>
      <c r="L97" s="115">
        <f t="shared" ca="1" si="21"/>
        <v>0</v>
      </c>
      <c r="M97" s="115">
        <f t="shared" ca="1" si="21"/>
        <v>0</v>
      </c>
      <c r="N97" s="115">
        <f t="shared" ca="1" si="21"/>
        <v>0</v>
      </c>
      <c r="O97" s="115">
        <f t="shared" ca="1" si="21"/>
        <v>0</v>
      </c>
      <c r="P97" s="115">
        <f t="shared" ca="1" si="21"/>
        <v>0</v>
      </c>
      <c r="Q97" s="115">
        <f t="shared" ca="1" si="21"/>
        <v>0</v>
      </c>
      <c r="R97" s="115">
        <f t="shared" ca="1" si="21"/>
        <v>0</v>
      </c>
      <c r="S97" s="115">
        <f t="shared" ca="1" si="21"/>
        <v>0</v>
      </c>
      <c r="T97" s="115">
        <f t="shared" ca="1" si="21"/>
        <v>0</v>
      </c>
      <c r="U97" s="115">
        <f t="shared" ca="1" si="19"/>
        <v>0</v>
      </c>
      <c r="V97" s="115">
        <f t="shared" ca="1" si="19"/>
        <v>0</v>
      </c>
      <c r="W97" s="115">
        <f t="shared" ca="1" si="19"/>
        <v>0</v>
      </c>
      <c r="X97" s="115">
        <f t="shared" ca="1" si="19"/>
        <v>0</v>
      </c>
      <c r="Y97" s="115">
        <f t="shared" ca="1" si="19"/>
        <v>0</v>
      </c>
      <c r="Z97" s="115">
        <f t="shared" ca="1" si="19"/>
        <v>0</v>
      </c>
      <c r="AA97" s="115">
        <f t="shared" ca="1" si="19"/>
        <v>0</v>
      </c>
      <c r="AB97" s="115">
        <f t="shared" ca="1" si="19"/>
        <v>0</v>
      </c>
      <c r="AC97" s="115">
        <f t="shared" ca="1" si="19"/>
        <v>0</v>
      </c>
      <c r="AD97" s="115">
        <f t="shared" ca="1" si="19"/>
        <v>0</v>
      </c>
      <c r="AE97" s="115">
        <f t="shared" ca="1" si="19"/>
        <v>0</v>
      </c>
      <c r="AF97" s="115">
        <f t="shared" ca="1" si="19"/>
        <v>0</v>
      </c>
      <c r="AG97" s="115">
        <f t="shared" ca="1" si="19"/>
        <v>0</v>
      </c>
      <c r="AH97" s="115">
        <f t="shared" ca="1" si="19"/>
        <v>0</v>
      </c>
      <c r="AI97" s="115">
        <f t="shared" ca="1" si="19"/>
        <v>0</v>
      </c>
      <c r="AJ97" s="115">
        <f t="shared" ca="1" si="19"/>
        <v>0</v>
      </c>
      <c r="AK97" s="115">
        <f t="shared" ca="1" si="20"/>
        <v>0</v>
      </c>
      <c r="AL97" s="115">
        <f t="shared" ca="1" si="16"/>
        <v>0</v>
      </c>
      <c r="AM97" s="115">
        <f t="shared" ca="1" si="16"/>
        <v>0</v>
      </c>
      <c r="AN97" s="115">
        <f t="shared" ca="1" si="16"/>
        <v>0</v>
      </c>
      <c r="AO97" s="115">
        <f t="shared" ca="1" si="16"/>
        <v>0</v>
      </c>
    </row>
    <row r="98" spans="3:41">
      <c r="D98" s="111">
        <f t="shared" ca="1" si="18"/>
        <v>44790</v>
      </c>
      <c r="E98" s="115">
        <f t="shared" ca="1" si="21"/>
        <v>0</v>
      </c>
      <c r="F98" s="115">
        <f t="shared" ca="1" si="21"/>
        <v>0</v>
      </c>
      <c r="G98" s="115">
        <f t="shared" ca="1" si="21"/>
        <v>0</v>
      </c>
      <c r="H98" s="115">
        <f t="shared" ca="1" si="21"/>
        <v>0</v>
      </c>
      <c r="I98" s="115">
        <f t="shared" ca="1" si="21"/>
        <v>0</v>
      </c>
      <c r="J98" s="115">
        <f t="shared" ca="1" si="21"/>
        <v>0</v>
      </c>
      <c r="K98" s="115">
        <f t="shared" ca="1" si="21"/>
        <v>0</v>
      </c>
      <c r="L98" s="115">
        <f t="shared" ca="1" si="21"/>
        <v>0</v>
      </c>
      <c r="M98" s="115">
        <f t="shared" ca="1" si="21"/>
        <v>0</v>
      </c>
      <c r="N98" s="115">
        <f t="shared" ca="1" si="21"/>
        <v>0</v>
      </c>
      <c r="O98" s="115">
        <f t="shared" ca="1" si="21"/>
        <v>0</v>
      </c>
      <c r="P98" s="115">
        <f t="shared" ca="1" si="21"/>
        <v>0</v>
      </c>
      <c r="Q98" s="115">
        <f t="shared" ca="1" si="21"/>
        <v>0</v>
      </c>
      <c r="R98" s="115">
        <f t="shared" ca="1" si="21"/>
        <v>0</v>
      </c>
      <c r="S98" s="115">
        <f t="shared" ca="1" si="21"/>
        <v>0</v>
      </c>
      <c r="T98" s="115">
        <f t="shared" ca="1" si="21"/>
        <v>0</v>
      </c>
      <c r="U98" s="115">
        <f t="shared" ca="1" si="19"/>
        <v>0</v>
      </c>
      <c r="V98" s="115">
        <f t="shared" ca="1" si="19"/>
        <v>0</v>
      </c>
      <c r="W98" s="115">
        <f t="shared" ca="1" si="19"/>
        <v>0</v>
      </c>
      <c r="X98" s="115">
        <f t="shared" ca="1" si="19"/>
        <v>0</v>
      </c>
      <c r="Y98" s="115">
        <f t="shared" ca="1" si="19"/>
        <v>0</v>
      </c>
      <c r="Z98" s="115">
        <f t="shared" ca="1" si="19"/>
        <v>0</v>
      </c>
      <c r="AA98" s="115">
        <f t="shared" ca="1" si="19"/>
        <v>0</v>
      </c>
      <c r="AB98" s="115">
        <f t="shared" ca="1" si="19"/>
        <v>0</v>
      </c>
      <c r="AC98" s="115">
        <f t="shared" ca="1" si="19"/>
        <v>0</v>
      </c>
      <c r="AD98" s="115">
        <f t="shared" ca="1" si="19"/>
        <v>0</v>
      </c>
      <c r="AE98" s="115">
        <f t="shared" ca="1" si="19"/>
        <v>0</v>
      </c>
      <c r="AF98" s="115">
        <f t="shared" ca="1" si="19"/>
        <v>0</v>
      </c>
      <c r="AG98" s="115">
        <f t="shared" ca="1" si="19"/>
        <v>0</v>
      </c>
      <c r="AH98" s="115">
        <f t="shared" ca="1" si="19"/>
        <v>0</v>
      </c>
      <c r="AI98" s="115">
        <f t="shared" ca="1" si="19"/>
        <v>0</v>
      </c>
      <c r="AJ98" s="115">
        <f t="shared" ca="1" si="19"/>
        <v>0</v>
      </c>
      <c r="AK98" s="115">
        <f t="shared" ca="1" si="20"/>
        <v>0</v>
      </c>
      <c r="AL98" s="115">
        <f t="shared" ca="1" si="16"/>
        <v>0</v>
      </c>
      <c r="AM98" s="115">
        <f t="shared" ca="1" si="16"/>
        <v>0</v>
      </c>
      <c r="AN98" s="115">
        <f t="shared" ca="1" si="16"/>
        <v>0</v>
      </c>
      <c r="AO98" s="115">
        <f t="shared" ca="1" si="16"/>
        <v>0</v>
      </c>
    </row>
    <row r="99" spans="3:41">
      <c r="D99" s="111">
        <f t="shared" ca="1" si="18"/>
        <v>44791</v>
      </c>
      <c r="E99" s="115">
        <f t="shared" ca="1" si="21"/>
        <v>0</v>
      </c>
      <c r="F99" s="115">
        <f t="shared" ca="1" si="21"/>
        <v>0</v>
      </c>
      <c r="G99" s="115">
        <f t="shared" ca="1" si="21"/>
        <v>0</v>
      </c>
      <c r="H99" s="115">
        <f t="shared" ca="1" si="21"/>
        <v>0</v>
      </c>
      <c r="I99" s="115">
        <f t="shared" ca="1" si="21"/>
        <v>0</v>
      </c>
      <c r="J99" s="115">
        <f t="shared" ca="1" si="21"/>
        <v>0</v>
      </c>
      <c r="K99" s="115">
        <f t="shared" ca="1" si="21"/>
        <v>0</v>
      </c>
      <c r="L99" s="115">
        <f t="shared" ca="1" si="21"/>
        <v>0</v>
      </c>
      <c r="M99" s="115">
        <f t="shared" ca="1" si="21"/>
        <v>0</v>
      </c>
      <c r="N99" s="115">
        <f t="shared" ca="1" si="21"/>
        <v>0</v>
      </c>
      <c r="O99" s="115">
        <f t="shared" ca="1" si="21"/>
        <v>0</v>
      </c>
      <c r="P99" s="115">
        <f t="shared" ca="1" si="21"/>
        <v>0</v>
      </c>
      <c r="Q99" s="115">
        <f t="shared" ca="1" si="21"/>
        <v>0</v>
      </c>
      <c r="R99" s="115">
        <f t="shared" ca="1" si="21"/>
        <v>0</v>
      </c>
      <c r="S99" s="115">
        <f t="shared" ca="1" si="21"/>
        <v>0</v>
      </c>
      <c r="T99" s="115">
        <f t="shared" ca="1" si="21"/>
        <v>0</v>
      </c>
      <c r="U99" s="115">
        <f t="shared" ca="1" si="19"/>
        <v>0</v>
      </c>
      <c r="V99" s="115">
        <f t="shared" ca="1" si="19"/>
        <v>0</v>
      </c>
      <c r="W99" s="115">
        <f t="shared" ca="1" si="19"/>
        <v>0</v>
      </c>
      <c r="X99" s="115">
        <f t="shared" ca="1" si="19"/>
        <v>0</v>
      </c>
      <c r="Y99" s="115">
        <f t="shared" ca="1" si="19"/>
        <v>0</v>
      </c>
      <c r="Z99" s="115">
        <f t="shared" ca="1" si="19"/>
        <v>0</v>
      </c>
      <c r="AA99" s="115">
        <f t="shared" ca="1" si="19"/>
        <v>0</v>
      </c>
      <c r="AB99" s="115">
        <f t="shared" ca="1" si="19"/>
        <v>0</v>
      </c>
      <c r="AC99" s="115">
        <f t="shared" ca="1" si="19"/>
        <v>0</v>
      </c>
      <c r="AD99" s="115">
        <f t="shared" ca="1" si="19"/>
        <v>0</v>
      </c>
      <c r="AE99" s="115">
        <f t="shared" ca="1" si="19"/>
        <v>0</v>
      </c>
      <c r="AF99" s="115">
        <f t="shared" ca="1" si="19"/>
        <v>0</v>
      </c>
      <c r="AG99" s="115">
        <f t="shared" ca="1" si="19"/>
        <v>0</v>
      </c>
      <c r="AH99" s="115">
        <f t="shared" ca="1" si="19"/>
        <v>0</v>
      </c>
      <c r="AI99" s="115">
        <f t="shared" ca="1" si="19"/>
        <v>0</v>
      </c>
      <c r="AJ99" s="115">
        <f t="shared" ca="1" si="19"/>
        <v>0</v>
      </c>
      <c r="AK99" s="115">
        <f t="shared" ca="1" si="20"/>
        <v>0</v>
      </c>
      <c r="AL99" s="115">
        <f t="shared" ca="1" si="16"/>
        <v>0</v>
      </c>
      <c r="AM99" s="115">
        <f t="shared" ca="1" si="16"/>
        <v>0</v>
      </c>
      <c r="AN99" s="115">
        <f t="shared" ca="1" si="16"/>
        <v>0</v>
      </c>
      <c r="AO99" s="115">
        <f t="shared" ca="1" si="16"/>
        <v>0</v>
      </c>
    </row>
    <row r="100" spans="3:41">
      <c r="D100" s="111">
        <f t="shared" ca="1" si="18"/>
        <v>44792</v>
      </c>
      <c r="E100" s="115">
        <f t="shared" ca="1" si="21"/>
        <v>0</v>
      </c>
      <c r="F100" s="115">
        <f t="shared" ca="1" si="21"/>
        <v>0</v>
      </c>
      <c r="G100" s="115">
        <f t="shared" ca="1" si="21"/>
        <v>0</v>
      </c>
      <c r="H100" s="115">
        <f t="shared" ca="1" si="21"/>
        <v>0</v>
      </c>
      <c r="I100" s="115">
        <f t="shared" ca="1" si="21"/>
        <v>0</v>
      </c>
      <c r="J100" s="115">
        <f t="shared" ca="1" si="21"/>
        <v>0</v>
      </c>
      <c r="K100" s="115">
        <f t="shared" ca="1" si="21"/>
        <v>0</v>
      </c>
      <c r="L100" s="115">
        <f t="shared" ca="1" si="21"/>
        <v>0</v>
      </c>
      <c r="M100" s="115">
        <f t="shared" ca="1" si="21"/>
        <v>0</v>
      </c>
      <c r="N100" s="115">
        <f t="shared" ca="1" si="21"/>
        <v>0</v>
      </c>
      <c r="O100" s="115">
        <f t="shared" ca="1" si="21"/>
        <v>0</v>
      </c>
      <c r="P100" s="115">
        <f t="shared" ca="1" si="21"/>
        <v>0</v>
      </c>
      <c r="Q100" s="115">
        <f t="shared" ca="1" si="21"/>
        <v>0</v>
      </c>
      <c r="R100" s="115">
        <f t="shared" ca="1" si="21"/>
        <v>0</v>
      </c>
      <c r="S100" s="115">
        <f t="shared" ca="1" si="21"/>
        <v>0</v>
      </c>
      <c r="T100" s="115">
        <f t="shared" ca="1" si="21"/>
        <v>0</v>
      </c>
      <c r="U100" s="115">
        <f t="shared" ca="1" si="19"/>
        <v>0</v>
      </c>
      <c r="V100" s="115">
        <f t="shared" ca="1" si="19"/>
        <v>0</v>
      </c>
      <c r="W100" s="115">
        <f t="shared" ca="1" si="19"/>
        <v>0</v>
      </c>
      <c r="X100" s="115">
        <f t="shared" ca="1" si="19"/>
        <v>0</v>
      </c>
      <c r="Y100" s="115">
        <f t="shared" ca="1" si="19"/>
        <v>0</v>
      </c>
      <c r="Z100" s="115">
        <f t="shared" ca="1" si="19"/>
        <v>0</v>
      </c>
      <c r="AA100" s="115">
        <f t="shared" ca="1" si="19"/>
        <v>0</v>
      </c>
      <c r="AB100" s="115">
        <f t="shared" ca="1" si="19"/>
        <v>0</v>
      </c>
      <c r="AC100" s="115">
        <f t="shared" ca="1" si="19"/>
        <v>0</v>
      </c>
      <c r="AD100" s="115">
        <f t="shared" ca="1" si="19"/>
        <v>0</v>
      </c>
      <c r="AE100" s="115">
        <f t="shared" ca="1" si="19"/>
        <v>0</v>
      </c>
      <c r="AF100" s="115">
        <f t="shared" ca="1" si="19"/>
        <v>0</v>
      </c>
      <c r="AG100" s="115">
        <f t="shared" ca="1" si="19"/>
        <v>0</v>
      </c>
      <c r="AH100" s="115">
        <f t="shared" ca="1" si="19"/>
        <v>0</v>
      </c>
      <c r="AI100" s="115">
        <f t="shared" ca="1" si="19"/>
        <v>0</v>
      </c>
      <c r="AJ100" s="115">
        <f t="shared" ca="1" si="19"/>
        <v>0</v>
      </c>
      <c r="AK100" s="115">
        <f t="shared" ca="1" si="20"/>
        <v>0</v>
      </c>
      <c r="AL100" s="115">
        <f t="shared" ca="1" si="16"/>
        <v>0</v>
      </c>
      <c r="AM100" s="115">
        <f t="shared" ca="1" si="16"/>
        <v>0</v>
      </c>
      <c r="AN100" s="115">
        <f t="shared" ca="1" si="16"/>
        <v>0</v>
      </c>
      <c r="AO100" s="115">
        <f t="shared" ca="1" si="16"/>
        <v>0</v>
      </c>
    </row>
    <row r="101" spans="3:41">
      <c r="D101" s="111">
        <f t="shared" ca="1" si="18"/>
        <v>44795</v>
      </c>
      <c r="E101" s="115">
        <f t="shared" ca="1" si="21"/>
        <v>0</v>
      </c>
      <c r="F101" s="115">
        <f t="shared" ca="1" si="21"/>
        <v>0</v>
      </c>
      <c r="G101" s="115">
        <f t="shared" ca="1" si="21"/>
        <v>0</v>
      </c>
      <c r="H101" s="115">
        <f t="shared" ca="1" si="21"/>
        <v>0</v>
      </c>
      <c r="I101" s="115">
        <f t="shared" ca="1" si="21"/>
        <v>0</v>
      </c>
      <c r="J101" s="115">
        <f t="shared" ca="1" si="21"/>
        <v>0</v>
      </c>
      <c r="K101" s="115">
        <f t="shared" ca="1" si="21"/>
        <v>0</v>
      </c>
      <c r="L101" s="115">
        <f t="shared" ca="1" si="21"/>
        <v>0</v>
      </c>
      <c r="M101" s="115">
        <f t="shared" ca="1" si="21"/>
        <v>0</v>
      </c>
      <c r="N101" s="115">
        <f t="shared" ca="1" si="21"/>
        <v>0</v>
      </c>
      <c r="O101" s="115">
        <f t="shared" ca="1" si="21"/>
        <v>0</v>
      </c>
      <c r="P101" s="115">
        <f t="shared" ca="1" si="21"/>
        <v>0</v>
      </c>
      <c r="Q101" s="115">
        <f t="shared" ca="1" si="21"/>
        <v>0</v>
      </c>
      <c r="R101" s="115">
        <f t="shared" ca="1" si="21"/>
        <v>0</v>
      </c>
      <c r="S101" s="115">
        <f t="shared" ca="1" si="21"/>
        <v>0</v>
      </c>
      <c r="T101" s="115">
        <f t="shared" ca="1" si="21"/>
        <v>0</v>
      </c>
      <c r="U101" s="115">
        <f t="shared" ca="1" si="19"/>
        <v>0</v>
      </c>
      <c r="V101" s="115">
        <f t="shared" ca="1" si="19"/>
        <v>0</v>
      </c>
      <c r="W101" s="115">
        <f t="shared" ca="1" si="19"/>
        <v>0</v>
      </c>
      <c r="X101" s="115">
        <f t="shared" ca="1" si="19"/>
        <v>0</v>
      </c>
      <c r="Y101" s="115">
        <f t="shared" ca="1" si="19"/>
        <v>0</v>
      </c>
      <c r="Z101" s="115">
        <f t="shared" ca="1" si="19"/>
        <v>0</v>
      </c>
      <c r="AA101" s="115">
        <f t="shared" ca="1" si="19"/>
        <v>0</v>
      </c>
      <c r="AB101" s="115">
        <f t="shared" ca="1" si="19"/>
        <v>0</v>
      </c>
      <c r="AC101" s="115">
        <f t="shared" ca="1" si="19"/>
        <v>0</v>
      </c>
      <c r="AD101" s="115">
        <f t="shared" ca="1" si="19"/>
        <v>0</v>
      </c>
      <c r="AE101" s="115">
        <f t="shared" ca="1" si="19"/>
        <v>0</v>
      </c>
      <c r="AF101" s="115">
        <f t="shared" ca="1" si="19"/>
        <v>0</v>
      </c>
      <c r="AG101" s="115">
        <f t="shared" ca="1" si="19"/>
        <v>0</v>
      </c>
      <c r="AH101" s="115">
        <f t="shared" ca="1" si="19"/>
        <v>0</v>
      </c>
      <c r="AI101" s="115">
        <f t="shared" ca="1" si="19"/>
        <v>0</v>
      </c>
      <c r="AJ101" s="115">
        <f t="shared" ca="1" si="19"/>
        <v>0</v>
      </c>
      <c r="AK101" s="115">
        <f t="shared" ca="1" si="20"/>
        <v>0</v>
      </c>
      <c r="AL101" s="115">
        <f t="shared" ca="1" si="16"/>
        <v>0</v>
      </c>
      <c r="AM101" s="115">
        <f t="shared" ca="1" si="16"/>
        <v>0</v>
      </c>
      <c r="AN101" s="115">
        <f t="shared" ca="1" si="16"/>
        <v>0</v>
      </c>
      <c r="AO101" s="115">
        <f t="shared" ca="1" si="16"/>
        <v>0</v>
      </c>
    </row>
    <row r="102" spans="3:41">
      <c r="D102" s="111">
        <f t="shared" ca="1" si="18"/>
        <v>44796</v>
      </c>
      <c r="E102" s="115">
        <f t="shared" ca="1" si="21"/>
        <v>0</v>
      </c>
      <c r="F102" s="115">
        <f t="shared" ca="1" si="21"/>
        <v>0</v>
      </c>
      <c r="G102" s="115">
        <f t="shared" ca="1" si="21"/>
        <v>0</v>
      </c>
      <c r="H102" s="115">
        <f t="shared" ca="1" si="21"/>
        <v>0</v>
      </c>
      <c r="I102" s="115">
        <f t="shared" ca="1" si="21"/>
        <v>0</v>
      </c>
      <c r="J102" s="115">
        <f t="shared" ca="1" si="21"/>
        <v>0</v>
      </c>
      <c r="K102" s="115">
        <f t="shared" ca="1" si="21"/>
        <v>0</v>
      </c>
      <c r="L102" s="115">
        <f t="shared" ca="1" si="21"/>
        <v>0</v>
      </c>
      <c r="M102" s="115">
        <f t="shared" ca="1" si="21"/>
        <v>0</v>
      </c>
      <c r="N102" s="115">
        <f t="shared" ca="1" si="21"/>
        <v>0</v>
      </c>
      <c r="O102" s="115">
        <f t="shared" ca="1" si="21"/>
        <v>0</v>
      </c>
      <c r="P102" s="115">
        <f t="shared" ca="1" si="21"/>
        <v>0</v>
      </c>
      <c r="Q102" s="115">
        <f t="shared" ca="1" si="21"/>
        <v>0</v>
      </c>
      <c r="R102" s="115">
        <f t="shared" ca="1" si="21"/>
        <v>0</v>
      </c>
      <c r="S102" s="115">
        <f t="shared" ca="1" si="21"/>
        <v>0</v>
      </c>
      <c r="T102" s="115">
        <f t="shared" ca="1" si="21"/>
        <v>0</v>
      </c>
      <c r="U102" s="115">
        <f t="shared" ca="1" si="19"/>
        <v>0</v>
      </c>
      <c r="V102" s="115">
        <f t="shared" ca="1" si="19"/>
        <v>0</v>
      </c>
      <c r="W102" s="115">
        <f t="shared" ca="1" si="19"/>
        <v>0</v>
      </c>
      <c r="X102" s="115">
        <f t="shared" ca="1" si="19"/>
        <v>0</v>
      </c>
      <c r="Y102" s="115">
        <f t="shared" ca="1" si="19"/>
        <v>0</v>
      </c>
      <c r="Z102" s="115">
        <f t="shared" ca="1" si="19"/>
        <v>0</v>
      </c>
      <c r="AA102" s="115">
        <f t="shared" ca="1" si="19"/>
        <v>0</v>
      </c>
      <c r="AB102" s="115">
        <f t="shared" ca="1" si="19"/>
        <v>0</v>
      </c>
      <c r="AC102" s="115">
        <f t="shared" ca="1" si="19"/>
        <v>0</v>
      </c>
      <c r="AD102" s="115">
        <f t="shared" ca="1" si="19"/>
        <v>0</v>
      </c>
      <c r="AE102" s="115">
        <f t="shared" ca="1" si="19"/>
        <v>0</v>
      </c>
      <c r="AF102" s="115">
        <f t="shared" ca="1" si="19"/>
        <v>0</v>
      </c>
      <c r="AG102" s="115">
        <f t="shared" ca="1" si="19"/>
        <v>0</v>
      </c>
      <c r="AH102" s="115">
        <f t="shared" ca="1" si="19"/>
        <v>0</v>
      </c>
      <c r="AI102" s="115">
        <f t="shared" ca="1" si="19"/>
        <v>0</v>
      </c>
      <c r="AJ102" s="115">
        <f t="shared" ca="1" si="19"/>
        <v>0</v>
      </c>
      <c r="AK102" s="115">
        <f t="shared" ca="1" si="20"/>
        <v>0</v>
      </c>
      <c r="AL102" s="115">
        <f t="shared" ca="1" si="16"/>
        <v>0</v>
      </c>
      <c r="AM102" s="115">
        <f t="shared" ca="1" si="16"/>
        <v>0</v>
      </c>
      <c r="AN102" s="115">
        <f t="shared" ca="1" si="16"/>
        <v>0</v>
      </c>
      <c r="AO102" s="115">
        <f t="shared" ca="1" si="16"/>
        <v>0</v>
      </c>
    </row>
    <row r="103" spans="3:41">
      <c r="D103" s="111">
        <f t="shared" ca="1" si="18"/>
        <v>44797</v>
      </c>
      <c r="E103" s="115">
        <f t="shared" ca="1" si="21"/>
        <v>0</v>
      </c>
      <c r="F103" s="115">
        <f t="shared" ca="1" si="21"/>
        <v>0</v>
      </c>
      <c r="G103" s="115">
        <f t="shared" ca="1" si="21"/>
        <v>0</v>
      </c>
      <c r="H103" s="115">
        <f t="shared" ca="1" si="21"/>
        <v>0</v>
      </c>
      <c r="I103" s="115">
        <f t="shared" ca="1" si="21"/>
        <v>0</v>
      </c>
      <c r="J103" s="115">
        <f t="shared" ca="1" si="21"/>
        <v>0</v>
      </c>
      <c r="K103" s="115">
        <f t="shared" ca="1" si="21"/>
        <v>0</v>
      </c>
      <c r="L103" s="115">
        <f t="shared" ca="1" si="21"/>
        <v>0</v>
      </c>
      <c r="M103" s="115">
        <f t="shared" ca="1" si="21"/>
        <v>0</v>
      </c>
      <c r="N103" s="115">
        <f t="shared" ca="1" si="21"/>
        <v>0</v>
      </c>
      <c r="O103" s="115">
        <f t="shared" ca="1" si="21"/>
        <v>0</v>
      </c>
      <c r="P103" s="115">
        <f t="shared" ca="1" si="21"/>
        <v>0</v>
      </c>
      <c r="Q103" s="115">
        <f t="shared" ca="1" si="21"/>
        <v>0</v>
      </c>
      <c r="R103" s="115">
        <f t="shared" ca="1" si="21"/>
        <v>0</v>
      </c>
      <c r="S103" s="115">
        <f t="shared" ca="1" si="21"/>
        <v>0</v>
      </c>
      <c r="T103" s="115">
        <f t="shared" ca="1" si="21"/>
        <v>0</v>
      </c>
      <c r="U103" s="115">
        <f t="shared" ca="1" si="19"/>
        <v>0</v>
      </c>
      <c r="V103" s="115">
        <f t="shared" ca="1" si="19"/>
        <v>0</v>
      </c>
      <c r="W103" s="115">
        <f t="shared" ca="1" si="19"/>
        <v>0</v>
      </c>
      <c r="X103" s="115">
        <f t="shared" ca="1" si="19"/>
        <v>0</v>
      </c>
      <c r="Y103" s="115">
        <f t="shared" ca="1" si="19"/>
        <v>0</v>
      </c>
      <c r="Z103" s="115">
        <f t="shared" ca="1" si="19"/>
        <v>0</v>
      </c>
      <c r="AA103" s="115">
        <f t="shared" ca="1" si="19"/>
        <v>0</v>
      </c>
      <c r="AB103" s="115">
        <f t="shared" ca="1" si="19"/>
        <v>0</v>
      </c>
      <c r="AC103" s="115">
        <f t="shared" ca="1" si="19"/>
        <v>0</v>
      </c>
      <c r="AD103" s="115">
        <f t="shared" ca="1" si="19"/>
        <v>0</v>
      </c>
      <c r="AE103" s="115">
        <f t="shared" ca="1" si="19"/>
        <v>0</v>
      </c>
      <c r="AF103" s="115">
        <f t="shared" ca="1" si="19"/>
        <v>0</v>
      </c>
      <c r="AG103" s="115">
        <f t="shared" ca="1" si="19"/>
        <v>0</v>
      </c>
      <c r="AH103" s="115">
        <f t="shared" ca="1" si="19"/>
        <v>0</v>
      </c>
      <c r="AI103" s="115">
        <f t="shared" ca="1" si="19"/>
        <v>0</v>
      </c>
      <c r="AJ103" s="115">
        <f t="shared" ca="1" si="19"/>
        <v>0</v>
      </c>
      <c r="AK103" s="115">
        <f t="shared" ca="1" si="20"/>
        <v>0</v>
      </c>
      <c r="AL103" s="115">
        <f t="shared" ca="1" si="16"/>
        <v>0</v>
      </c>
      <c r="AM103" s="115">
        <f t="shared" ca="1" si="16"/>
        <v>0</v>
      </c>
      <c r="AN103" s="115">
        <f t="shared" ca="1" si="16"/>
        <v>0</v>
      </c>
      <c r="AO103" s="115">
        <f t="shared" ca="1" si="16"/>
        <v>0</v>
      </c>
    </row>
    <row r="104" spans="3:41">
      <c r="D104" s="111">
        <f t="shared" ca="1" si="18"/>
        <v>44798</v>
      </c>
      <c r="E104" s="115">
        <f t="shared" ca="1" si="21"/>
        <v>0</v>
      </c>
      <c r="F104" s="115">
        <f t="shared" ca="1" si="21"/>
        <v>0</v>
      </c>
      <c r="G104" s="115">
        <f t="shared" ca="1" si="21"/>
        <v>0</v>
      </c>
      <c r="H104" s="115">
        <f t="shared" ca="1" si="21"/>
        <v>0</v>
      </c>
      <c r="I104" s="115">
        <f t="shared" ca="1" si="21"/>
        <v>0</v>
      </c>
      <c r="J104" s="115">
        <f t="shared" ca="1" si="21"/>
        <v>0</v>
      </c>
      <c r="K104" s="115">
        <f t="shared" ca="1" si="21"/>
        <v>0</v>
      </c>
      <c r="L104" s="115">
        <f t="shared" ca="1" si="21"/>
        <v>0</v>
      </c>
      <c r="M104" s="115">
        <f t="shared" ca="1" si="21"/>
        <v>0</v>
      </c>
      <c r="N104" s="115">
        <f t="shared" ca="1" si="21"/>
        <v>0</v>
      </c>
      <c r="O104" s="115">
        <f t="shared" ca="1" si="21"/>
        <v>0</v>
      </c>
      <c r="P104" s="115">
        <f t="shared" ca="1" si="21"/>
        <v>0</v>
      </c>
      <c r="Q104" s="115">
        <f t="shared" ca="1" si="21"/>
        <v>0</v>
      </c>
      <c r="R104" s="115">
        <f t="shared" ca="1" si="21"/>
        <v>0</v>
      </c>
      <c r="S104" s="115">
        <f t="shared" ca="1" si="21"/>
        <v>0</v>
      </c>
      <c r="T104" s="115">
        <f t="shared" ca="1" si="21"/>
        <v>0</v>
      </c>
      <c r="U104" s="115">
        <f t="shared" ca="1" si="19"/>
        <v>0</v>
      </c>
      <c r="V104" s="115">
        <f t="shared" ca="1" si="19"/>
        <v>0</v>
      </c>
      <c r="W104" s="115">
        <f t="shared" ca="1" si="19"/>
        <v>0</v>
      </c>
      <c r="X104" s="115">
        <f t="shared" ca="1" si="19"/>
        <v>0</v>
      </c>
      <c r="Y104" s="115">
        <f t="shared" ca="1" si="19"/>
        <v>0</v>
      </c>
      <c r="Z104" s="115">
        <f t="shared" ca="1" si="19"/>
        <v>0</v>
      </c>
      <c r="AA104" s="115">
        <f t="shared" ca="1" si="19"/>
        <v>0</v>
      </c>
      <c r="AB104" s="115">
        <f t="shared" ca="1" si="19"/>
        <v>0</v>
      </c>
      <c r="AC104" s="115">
        <f t="shared" ca="1" si="19"/>
        <v>0</v>
      </c>
      <c r="AD104" s="115">
        <f t="shared" ca="1" si="19"/>
        <v>0</v>
      </c>
      <c r="AE104" s="115">
        <f t="shared" ca="1" si="19"/>
        <v>0</v>
      </c>
      <c r="AF104" s="115">
        <f t="shared" ca="1" si="19"/>
        <v>0</v>
      </c>
      <c r="AG104" s="115">
        <f t="shared" ca="1" si="19"/>
        <v>0</v>
      </c>
      <c r="AH104" s="115">
        <f t="shared" ca="1" si="19"/>
        <v>0</v>
      </c>
      <c r="AI104" s="115">
        <f t="shared" ca="1" si="19"/>
        <v>0</v>
      </c>
      <c r="AJ104" s="115">
        <f t="shared" ca="1" si="19"/>
        <v>0</v>
      </c>
      <c r="AK104" s="115">
        <f t="shared" ca="1" si="20"/>
        <v>0</v>
      </c>
      <c r="AL104" s="115">
        <f t="shared" ca="1" si="16"/>
        <v>0</v>
      </c>
      <c r="AM104" s="115">
        <f t="shared" ca="1" si="16"/>
        <v>0</v>
      </c>
      <c r="AN104" s="115">
        <f t="shared" ca="1" si="16"/>
        <v>0</v>
      </c>
      <c r="AO104" s="115">
        <f t="shared" ca="1" si="16"/>
        <v>0</v>
      </c>
    </row>
    <row r="105" spans="3:41">
      <c r="D105" s="111">
        <f t="shared" ca="1" si="18"/>
        <v>44799</v>
      </c>
      <c r="E105" s="115">
        <f t="shared" ca="1" si="21"/>
        <v>0</v>
      </c>
      <c r="F105" s="115">
        <f t="shared" ca="1" si="21"/>
        <v>0</v>
      </c>
      <c r="G105" s="115">
        <f t="shared" ca="1" si="21"/>
        <v>0</v>
      </c>
      <c r="H105" s="115">
        <f t="shared" ca="1" si="21"/>
        <v>0</v>
      </c>
      <c r="I105" s="115">
        <f t="shared" ca="1" si="21"/>
        <v>0</v>
      </c>
      <c r="J105" s="115">
        <f t="shared" ca="1" si="21"/>
        <v>0</v>
      </c>
      <c r="K105" s="115">
        <f t="shared" ca="1" si="21"/>
        <v>0</v>
      </c>
      <c r="L105" s="115">
        <f t="shared" ca="1" si="21"/>
        <v>0</v>
      </c>
      <c r="M105" s="115">
        <f t="shared" ca="1" si="21"/>
        <v>0</v>
      </c>
      <c r="N105" s="115">
        <f t="shared" ca="1" si="21"/>
        <v>0</v>
      </c>
      <c r="O105" s="115">
        <f t="shared" ca="1" si="21"/>
        <v>0</v>
      </c>
      <c r="P105" s="115">
        <f t="shared" ca="1" si="21"/>
        <v>0</v>
      </c>
      <c r="Q105" s="115">
        <f t="shared" ca="1" si="21"/>
        <v>0</v>
      </c>
      <c r="R105" s="115">
        <f t="shared" ca="1" si="21"/>
        <v>0</v>
      </c>
      <c r="S105" s="115">
        <f t="shared" ca="1" si="21"/>
        <v>0</v>
      </c>
      <c r="T105" s="115">
        <f t="shared" ca="1" si="21"/>
        <v>0</v>
      </c>
      <c r="U105" s="115">
        <f t="shared" ref="U105:AK105" ca="1" si="22">IFERROR((OptionPrice(LEFT($C$79),U$72,$C$74,($C$75-$D105+1)/365,$C$76,$C$78,$C$77)-$C$80)*$C$81,0)</f>
        <v>0</v>
      </c>
      <c r="V105" s="115">
        <f t="shared" ca="1" si="22"/>
        <v>0</v>
      </c>
      <c r="W105" s="115">
        <f t="shared" ca="1" si="22"/>
        <v>0</v>
      </c>
      <c r="X105" s="115">
        <f t="shared" ca="1" si="22"/>
        <v>0</v>
      </c>
      <c r="Y105" s="115">
        <f t="shared" ca="1" si="22"/>
        <v>0</v>
      </c>
      <c r="Z105" s="115">
        <f t="shared" ca="1" si="22"/>
        <v>0</v>
      </c>
      <c r="AA105" s="115">
        <f t="shared" ca="1" si="22"/>
        <v>0</v>
      </c>
      <c r="AB105" s="115">
        <f t="shared" ca="1" si="22"/>
        <v>0</v>
      </c>
      <c r="AC105" s="115">
        <f t="shared" ca="1" si="22"/>
        <v>0</v>
      </c>
      <c r="AD105" s="115">
        <f t="shared" ca="1" si="22"/>
        <v>0</v>
      </c>
      <c r="AE105" s="115">
        <f t="shared" ca="1" si="22"/>
        <v>0</v>
      </c>
      <c r="AF105" s="115">
        <f t="shared" ca="1" si="22"/>
        <v>0</v>
      </c>
      <c r="AG105" s="115">
        <f t="shared" ca="1" si="22"/>
        <v>0</v>
      </c>
      <c r="AH105" s="115">
        <f t="shared" ca="1" si="22"/>
        <v>0</v>
      </c>
      <c r="AI105" s="115">
        <f t="shared" ca="1" si="22"/>
        <v>0</v>
      </c>
      <c r="AJ105" s="115">
        <f t="shared" ca="1" si="22"/>
        <v>0</v>
      </c>
      <c r="AK105" s="115">
        <f t="shared" ca="1" si="22"/>
        <v>0</v>
      </c>
      <c r="AL105" s="115">
        <f t="shared" ca="1" si="16"/>
        <v>0</v>
      </c>
      <c r="AM105" s="115">
        <f t="shared" ca="1" si="16"/>
        <v>0</v>
      </c>
      <c r="AN105" s="115">
        <f t="shared" ca="1" si="16"/>
        <v>0</v>
      </c>
      <c r="AO105" s="115">
        <f t="shared" ca="1" si="16"/>
        <v>0</v>
      </c>
    </row>
    <row r="106" spans="3:41">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row>
    <row r="107" spans="3:41">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row>
    <row r="108" spans="3:41">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c r="AL108" s="116"/>
      <c r="AM108" s="116"/>
      <c r="AN108" s="116"/>
      <c r="AO108" s="116"/>
    </row>
    <row r="109" spans="3:41">
      <c r="D109" s="13" t="s">
        <v>79</v>
      </c>
      <c r="E109" s="109" t="e">
        <f>E72</f>
        <v>#VALUE!</v>
      </c>
      <c r="F109" s="110" t="e">
        <f t="shared" ref="F109:AO109" si="23">F72</f>
        <v>#VALUE!</v>
      </c>
      <c r="G109" s="110" t="e">
        <f t="shared" si="23"/>
        <v>#VALUE!</v>
      </c>
      <c r="H109" s="110" t="e">
        <f t="shared" si="23"/>
        <v>#VALUE!</v>
      </c>
      <c r="I109" s="110" t="e">
        <f t="shared" si="23"/>
        <v>#VALUE!</v>
      </c>
      <c r="J109" s="110" t="e">
        <f t="shared" si="23"/>
        <v>#VALUE!</v>
      </c>
      <c r="K109" s="110" t="e">
        <f t="shared" si="23"/>
        <v>#VALUE!</v>
      </c>
      <c r="L109" s="110" t="e">
        <f t="shared" si="23"/>
        <v>#VALUE!</v>
      </c>
      <c r="M109" s="110" t="e">
        <f t="shared" si="23"/>
        <v>#VALUE!</v>
      </c>
      <c r="N109" s="110" t="e">
        <f t="shared" si="23"/>
        <v>#VALUE!</v>
      </c>
      <c r="O109" s="110" t="e">
        <f t="shared" si="23"/>
        <v>#VALUE!</v>
      </c>
      <c r="P109" s="110" t="e">
        <f t="shared" si="23"/>
        <v>#VALUE!</v>
      </c>
      <c r="Q109" s="110" t="e">
        <f t="shared" si="23"/>
        <v>#VALUE!</v>
      </c>
      <c r="R109" s="110" t="e">
        <f t="shared" si="23"/>
        <v>#VALUE!</v>
      </c>
      <c r="S109" s="110" t="e">
        <f t="shared" si="23"/>
        <v>#VALUE!</v>
      </c>
      <c r="T109" s="110" t="e">
        <f t="shared" si="23"/>
        <v>#VALUE!</v>
      </c>
      <c r="U109" s="110" t="e">
        <f t="shared" si="23"/>
        <v>#VALUE!</v>
      </c>
      <c r="V109" s="110" t="e">
        <f t="shared" si="23"/>
        <v>#VALUE!</v>
      </c>
      <c r="W109" s="110" t="e">
        <f t="shared" si="23"/>
        <v>#VALUE!</v>
      </c>
      <c r="X109" s="110" t="e">
        <f t="shared" si="23"/>
        <v>#VALUE!</v>
      </c>
      <c r="Y109" s="110" t="e">
        <f t="shared" si="23"/>
        <v>#VALUE!</v>
      </c>
      <c r="Z109" s="110" t="e">
        <f t="shared" si="23"/>
        <v>#VALUE!</v>
      </c>
      <c r="AA109" s="110" t="e">
        <f t="shared" si="23"/>
        <v>#VALUE!</v>
      </c>
      <c r="AB109" s="110" t="e">
        <f t="shared" si="23"/>
        <v>#VALUE!</v>
      </c>
      <c r="AC109" s="110" t="e">
        <f t="shared" si="23"/>
        <v>#VALUE!</v>
      </c>
      <c r="AD109" s="110" t="e">
        <f t="shared" si="23"/>
        <v>#VALUE!</v>
      </c>
      <c r="AE109" s="110" t="e">
        <f t="shared" si="23"/>
        <v>#VALUE!</v>
      </c>
      <c r="AF109" s="110" t="e">
        <f t="shared" si="23"/>
        <v>#VALUE!</v>
      </c>
      <c r="AG109" s="110" t="e">
        <f t="shared" si="23"/>
        <v>#VALUE!</v>
      </c>
      <c r="AH109" s="110" t="e">
        <f t="shared" si="23"/>
        <v>#VALUE!</v>
      </c>
      <c r="AI109" s="110" t="e">
        <f t="shared" si="23"/>
        <v>#VALUE!</v>
      </c>
      <c r="AJ109" s="110" t="e">
        <f t="shared" si="23"/>
        <v>#VALUE!</v>
      </c>
      <c r="AK109" s="110" t="e">
        <f t="shared" si="23"/>
        <v>#VALUE!</v>
      </c>
      <c r="AL109" s="110" t="e">
        <f t="shared" si="23"/>
        <v>#VALUE!</v>
      </c>
      <c r="AM109" s="110" t="e">
        <f t="shared" si="23"/>
        <v>#VALUE!</v>
      </c>
      <c r="AN109" s="110" t="e">
        <f t="shared" si="23"/>
        <v>#VALUE!</v>
      </c>
      <c r="AO109" s="110" t="e">
        <f t="shared" si="23"/>
        <v>#VALUE!</v>
      </c>
    </row>
    <row r="110" spans="3:41">
      <c r="D110" s="61" t="s">
        <v>19</v>
      </c>
      <c r="E110" s="127" t="e">
        <f>E73</f>
        <v>#VALUE!</v>
      </c>
      <c r="F110" s="127" t="e">
        <f t="shared" ref="F110:AO110" si="24">F73</f>
        <v>#VALUE!</v>
      </c>
      <c r="G110" s="127" t="e">
        <f t="shared" si="24"/>
        <v>#VALUE!</v>
      </c>
      <c r="H110" s="127" t="e">
        <f t="shared" si="24"/>
        <v>#VALUE!</v>
      </c>
      <c r="I110" s="127" t="e">
        <f t="shared" si="24"/>
        <v>#VALUE!</v>
      </c>
      <c r="J110" s="127" t="e">
        <f t="shared" si="24"/>
        <v>#VALUE!</v>
      </c>
      <c r="K110" s="127" t="e">
        <f t="shared" si="24"/>
        <v>#VALUE!</v>
      </c>
      <c r="L110" s="127" t="e">
        <f t="shared" si="24"/>
        <v>#VALUE!</v>
      </c>
      <c r="M110" s="127" t="e">
        <f t="shared" si="24"/>
        <v>#VALUE!</v>
      </c>
      <c r="N110" s="127" t="e">
        <f t="shared" si="24"/>
        <v>#VALUE!</v>
      </c>
      <c r="O110" s="127" t="e">
        <f t="shared" si="24"/>
        <v>#VALUE!</v>
      </c>
      <c r="P110" s="127" t="e">
        <f t="shared" si="24"/>
        <v>#VALUE!</v>
      </c>
      <c r="Q110" s="127" t="e">
        <f t="shared" si="24"/>
        <v>#VALUE!</v>
      </c>
      <c r="R110" s="127" t="e">
        <f t="shared" si="24"/>
        <v>#VALUE!</v>
      </c>
      <c r="S110" s="127" t="e">
        <f t="shared" si="24"/>
        <v>#VALUE!</v>
      </c>
      <c r="T110" s="127" t="e">
        <f t="shared" si="24"/>
        <v>#VALUE!</v>
      </c>
      <c r="U110" s="127" t="e">
        <f t="shared" si="24"/>
        <v>#VALUE!</v>
      </c>
      <c r="V110" s="127" t="e">
        <f t="shared" si="24"/>
        <v>#VALUE!</v>
      </c>
      <c r="W110" s="127" t="e">
        <f t="shared" si="24"/>
        <v>#VALUE!</v>
      </c>
      <c r="X110" s="127" t="e">
        <f t="shared" si="24"/>
        <v>#VALUE!</v>
      </c>
      <c r="Y110" s="127" t="e">
        <f t="shared" si="24"/>
        <v>#VALUE!</v>
      </c>
      <c r="Z110" s="127" t="e">
        <f t="shared" si="24"/>
        <v>#VALUE!</v>
      </c>
      <c r="AA110" s="127" t="e">
        <f t="shared" si="24"/>
        <v>#VALUE!</v>
      </c>
      <c r="AB110" s="127" t="e">
        <f t="shared" si="24"/>
        <v>#VALUE!</v>
      </c>
      <c r="AC110" s="127" t="e">
        <f t="shared" si="24"/>
        <v>#VALUE!</v>
      </c>
      <c r="AD110" s="127" t="e">
        <f t="shared" si="24"/>
        <v>#VALUE!</v>
      </c>
      <c r="AE110" s="127" t="e">
        <f t="shared" si="24"/>
        <v>#VALUE!</v>
      </c>
      <c r="AF110" s="127" t="e">
        <f t="shared" si="24"/>
        <v>#VALUE!</v>
      </c>
      <c r="AG110" s="127" t="e">
        <f t="shared" si="24"/>
        <v>#VALUE!</v>
      </c>
      <c r="AH110" s="127" t="e">
        <f t="shared" si="24"/>
        <v>#VALUE!</v>
      </c>
      <c r="AI110" s="127" t="e">
        <f t="shared" si="24"/>
        <v>#VALUE!</v>
      </c>
      <c r="AJ110" s="127" t="e">
        <f t="shared" si="24"/>
        <v>#VALUE!</v>
      </c>
      <c r="AK110" s="127" t="e">
        <f t="shared" si="24"/>
        <v>#VALUE!</v>
      </c>
      <c r="AL110" s="127" t="e">
        <f t="shared" si="24"/>
        <v>#VALUE!</v>
      </c>
      <c r="AM110" s="127" t="e">
        <f t="shared" si="24"/>
        <v>#VALUE!</v>
      </c>
      <c r="AN110" s="127" t="e">
        <f t="shared" si="24"/>
        <v>#VALUE!</v>
      </c>
      <c r="AO110" s="127" t="e">
        <f t="shared" si="24"/>
        <v>#VALUE!</v>
      </c>
    </row>
    <row r="111" spans="3:41">
      <c r="D111" s="111">
        <f ca="1">TODAY()</f>
        <v>44756</v>
      </c>
      <c r="E111" s="115">
        <f ca="1">E37*$C$36+E74*$C$73</f>
        <v>0</v>
      </c>
      <c r="F111" s="115">
        <f t="shared" ref="F111:AO111" ca="1" si="25">F37*$C$36+F74*$C$73</f>
        <v>0</v>
      </c>
      <c r="G111" s="115">
        <f t="shared" ca="1" si="25"/>
        <v>0</v>
      </c>
      <c r="H111" s="115">
        <f t="shared" ca="1" si="25"/>
        <v>0</v>
      </c>
      <c r="I111" s="115">
        <f t="shared" ca="1" si="25"/>
        <v>0</v>
      </c>
      <c r="J111" s="115">
        <f t="shared" ca="1" si="25"/>
        <v>0</v>
      </c>
      <c r="K111" s="115">
        <f t="shared" ca="1" si="25"/>
        <v>0</v>
      </c>
      <c r="L111" s="115">
        <f t="shared" ca="1" si="25"/>
        <v>0</v>
      </c>
      <c r="M111" s="115">
        <f t="shared" ca="1" si="25"/>
        <v>0</v>
      </c>
      <c r="N111" s="115">
        <f t="shared" ca="1" si="25"/>
        <v>0</v>
      </c>
      <c r="O111" s="115">
        <f t="shared" ca="1" si="25"/>
        <v>0</v>
      </c>
      <c r="P111" s="115">
        <f t="shared" ca="1" si="25"/>
        <v>0</v>
      </c>
      <c r="Q111" s="115">
        <f t="shared" ca="1" si="25"/>
        <v>0</v>
      </c>
      <c r="R111" s="115">
        <f t="shared" ca="1" si="25"/>
        <v>0</v>
      </c>
      <c r="S111" s="115">
        <f t="shared" ca="1" si="25"/>
        <v>0</v>
      </c>
      <c r="T111" s="115">
        <f t="shared" ca="1" si="25"/>
        <v>0</v>
      </c>
      <c r="U111" s="115">
        <f t="shared" ca="1" si="25"/>
        <v>0</v>
      </c>
      <c r="V111" s="115">
        <f t="shared" ca="1" si="25"/>
        <v>0</v>
      </c>
      <c r="W111" s="115">
        <f t="shared" ca="1" si="25"/>
        <v>0</v>
      </c>
      <c r="X111" s="115">
        <f t="shared" ca="1" si="25"/>
        <v>0</v>
      </c>
      <c r="Y111" s="115">
        <f t="shared" ca="1" si="25"/>
        <v>0</v>
      </c>
      <c r="Z111" s="115">
        <f t="shared" ca="1" si="25"/>
        <v>0</v>
      </c>
      <c r="AA111" s="115">
        <f t="shared" ca="1" si="25"/>
        <v>0</v>
      </c>
      <c r="AB111" s="115">
        <f t="shared" ca="1" si="25"/>
        <v>0</v>
      </c>
      <c r="AC111" s="115">
        <f t="shared" ca="1" si="25"/>
        <v>0</v>
      </c>
      <c r="AD111" s="115">
        <f t="shared" ca="1" si="25"/>
        <v>0</v>
      </c>
      <c r="AE111" s="115">
        <f t="shared" ca="1" si="25"/>
        <v>0</v>
      </c>
      <c r="AF111" s="115">
        <f t="shared" ca="1" si="25"/>
        <v>0</v>
      </c>
      <c r="AG111" s="115">
        <f t="shared" ca="1" si="25"/>
        <v>0</v>
      </c>
      <c r="AH111" s="115">
        <f t="shared" ca="1" si="25"/>
        <v>0</v>
      </c>
      <c r="AI111" s="115">
        <f t="shared" ca="1" si="25"/>
        <v>0</v>
      </c>
      <c r="AJ111" s="115">
        <f t="shared" ca="1" si="25"/>
        <v>0</v>
      </c>
      <c r="AK111" s="115">
        <f t="shared" ca="1" si="25"/>
        <v>0</v>
      </c>
      <c r="AL111" s="115">
        <f t="shared" ca="1" si="25"/>
        <v>0</v>
      </c>
      <c r="AM111" s="115">
        <f t="shared" ca="1" si="25"/>
        <v>0</v>
      </c>
      <c r="AN111" s="115">
        <f t="shared" ca="1" si="25"/>
        <v>0</v>
      </c>
      <c r="AO111" s="115">
        <f t="shared" ca="1" si="25"/>
        <v>0</v>
      </c>
    </row>
    <row r="112" spans="3:41">
      <c r="C112" s="106">
        <f ca="1">WORKDAY(D111,1)</f>
        <v>44757</v>
      </c>
      <c r="D112" s="111">
        <f ca="1">WORKDAY(D111,1)</f>
        <v>44757</v>
      </c>
      <c r="E112" s="115">
        <f t="shared" ref="E112:AO112" ca="1" si="26">E38*$C$36+E75*$C$73</f>
        <v>0</v>
      </c>
      <c r="F112" s="115">
        <f t="shared" ca="1" si="26"/>
        <v>0</v>
      </c>
      <c r="G112" s="115">
        <f t="shared" ca="1" si="26"/>
        <v>0</v>
      </c>
      <c r="H112" s="115">
        <f t="shared" ca="1" si="26"/>
        <v>0</v>
      </c>
      <c r="I112" s="115">
        <f t="shared" ca="1" si="26"/>
        <v>0</v>
      </c>
      <c r="J112" s="115">
        <f t="shared" ca="1" si="26"/>
        <v>0</v>
      </c>
      <c r="K112" s="115">
        <f t="shared" ca="1" si="26"/>
        <v>0</v>
      </c>
      <c r="L112" s="115">
        <f t="shared" ca="1" si="26"/>
        <v>0</v>
      </c>
      <c r="M112" s="115">
        <f t="shared" ca="1" si="26"/>
        <v>0</v>
      </c>
      <c r="N112" s="115">
        <f t="shared" ca="1" si="26"/>
        <v>0</v>
      </c>
      <c r="O112" s="115">
        <f t="shared" ca="1" si="26"/>
        <v>0</v>
      </c>
      <c r="P112" s="115">
        <f t="shared" ca="1" si="26"/>
        <v>0</v>
      </c>
      <c r="Q112" s="115">
        <f t="shared" ca="1" si="26"/>
        <v>0</v>
      </c>
      <c r="R112" s="115">
        <f t="shared" ca="1" si="26"/>
        <v>0</v>
      </c>
      <c r="S112" s="115">
        <f t="shared" ca="1" si="26"/>
        <v>0</v>
      </c>
      <c r="T112" s="115">
        <f t="shared" ca="1" si="26"/>
        <v>0</v>
      </c>
      <c r="U112" s="115">
        <f t="shared" ca="1" si="26"/>
        <v>0</v>
      </c>
      <c r="V112" s="115">
        <f t="shared" ca="1" si="26"/>
        <v>0</v>
      </c>
      <c r="W112" s="115">
        <f t="shared" ca="1" si="26"/>
        <v>0</v>
      </c>
      <c r="X112" s="115">
        <f t="shared" ca="1" si="26"/>
        <v>0</v>
      </c>
      <c r="Y112" s="115">
        <f t="shared" ca="1" si="26"/>
        <v>0</v>
      </c>
      <c r="Z112" s="115">
        <f t="shared" ca="1" si="26"/>
        <v>0</v>
      </c>
      <c r="AA112" s="115">
        <f t="shared" ca="1" si="26"/>
        <v>0</v>
      </c>
      <c r="AB112" s="115">
        <f t="shared" ca="1" si="26"/>
        <v>0</v>
      </c>
      <c r="AC112" s="115">
        <f t="shared" ca="1" si="26"/>
        <v>0</v>
      </c>
      <c r="AD112" s="115">
        <f t="shared" ca="1" si="26"/>
        <v>0</v>
      </c>
      <c r="AE112" s="115">
        <f t="shared" ca="1" si="26"/>
        <v>0</v>
      </c>
      <c r="AF112" s="115">
        <f t="shared" ca="1" si="26"/>
        <v>0</v>
      </c>
      <c r="AG112" s="115">
        <f t="shared" ca="1" si="26"/>
        <v>0</v>
      </c>
      <c r="AH112" s="115">
        <f t="shared" ca="1" si="26"/>
        <v>0</v>
      </c>
      <c r="AI112" s="115">
        <f t="shared" ca="1" si="26"/>
        <v>0</v>
      </c>
      <c r="AJ112" s="115">
        <f t="shared" ca="1" si="26"/>
        <v>0</v>
      </c>
      <c r="AK112" s="115">
        <f t="shared" ca="1" si="26"/>
        <v>0</v>
      </c>
      <c r="AL112" s="115">
        <f t="shared" ca="1" si="26"/>
        <v>0</v>
      </c>
      <c r="AM112" s="115">
        <f t="shared" ca="1" si="26"/>
        <v>0</v>
      </c>
      <c r="AN112" s="115">
        <f t="shared" ca="1" si="26"/>
        <v>0</v>
      </c>
      <c r="AO112" s="115">
        <f t="shared" ca="1" si="26"/>
        <v>0</v>
      </c>
    </row>
    <row r="113" spans="3:41">
      <c r="C113" s="107"/>
      <c r="D113" s="111">
        <f t="shared" ref="D113:D142" ca="1" si="27">WORKDAY(D112,1)</f>
        <v>44760</v>
      </c>
      <c r="E113" s="115">
        <f t="shared" ref="E113:AO113" ca="1" si="28">E39*$C$36+E76*$C$73</f>
        <v>0</v>
      </c>
      <c r="F113" s="115">
        <f t="shared" ca="1" si="28"/>
        <v>0</v>
      </c>
      <c r="G113" s="115">
        <f t="shared" ca="1" si="28"/>
        <v>0</v>
      </c>
      <c r="H113" s="115">
        <f t="shared" ca="1" si="28"/>
        <v>0</v>
      </c>
      <c r="I113" s="115">
        <f t="shared" ca="1" si="28"/>
        <v>0</v>
      </c>
      <c r="J113" s="115">
        <f t="shared" ca="1" si="28"/>
        <v>0</v>
      </c>
      <c r="K113" s="115">
        <f t="shared" ca="1" si="28"/>
        <v>0</v>
      </c>
      <c r="L113" s="115">
        <f t="shared" ca="1" si="28"/>
        <v>0</v>
      </c>
      <c r="M113" s="115">
        <f t="shared" ca="1" si="28"/>
        <v>0</v>
      </c>
      <c r="N113" s="115">
        <f t="shared" ca="1" si="28"/>
        <v>0</v>
      </c>
      <c r="O113" s="115">
        <f t="shared" ca="1" si="28"/>
        <v>0</v>
      </c>
      <c r="P113" s="115">
        <f t="shared" ca="1" si="28"/>
        <v>0</v>
      </c>
      <c r="Q113" s="115">
        <f t="shared" ca="1" si="28"/>
        <v>0</v>
      </c>
      <c r="R113" s="115">
        <f t="shared" ca="1" si="28"/>
        <v>0</v>
      </c>
      <c r="S113" s="115">
        <f t="shared" ca="1" si="28"/>
        <v>0</v>
      </c>
      <c r="T113" s="115">
        <f t="shared" ca="1" si="28"/>
        <v>0</v>
      </c>
      <c r="U113" s="115">
        <f t="shared" ca="1" si="28"/>
        <v>0</v>
      </c>
      <c r="V113" s="115">
        <f t="shared" ca="1" si="28"/>
        <v>0</v>
      </c>
      <c r="W113" s="115">
        <f t="shared" ca="1" si="28"/>
        <v>0</v>
      </c>
      <c r="X113" s="115">
        <f t="shared" ca="1" si="28"/>
        <v>0</v>
      </c>
      <c r="Y113" s="115">
        <f t="shared" ca="1" si="28"/>
        <v>0</v>
      </c>
      <c r="Z113" s="115">
        <f t="shared" ca="1" si="28"/>
        <v>0</v>
      </c>
      <c r="AA113" s="115">
        <f t="shared" ca="1" si="28"/>
        <v>0</v>
      </c>
      <c r="AB113" s="115">
        <f t="shared" ca="1" si="28"/>
        <v>0</v>
      </c>
      <c r="AC113" s="115">
        <f t="shared" ca="1" si="28"/>
        <v>0</v>
      </c>
      <c r="AD113" s="115">
        <f t="shared" ca="1" si="28"/>
        <v>0</v>
      </c>
      <c r="AE113" s="115">
        <f t="shared" ca="1" si="28"/>
        <v>0</v>
      </c>
      <c r="AF113" s="115">
        <f t="shared" ca="1" si="28"/>
        <v>0</v>
      </c>
      <c r="AG113" s="115">
        <f t="shared" ca="1" si="28"/>
        <v>0</v>
      </c>
      <c r="AH113" s="115">
        <f t="shared" ca="1" si="28"/>
        <v>0</v>
      </c>
      <c r="AI113" s="115">
        <f t="shared" ca="1" si="28"/>
        <v>0</v>
      </c>
      <c r="AJ113" s="115">
        <f t="shared" ca="1" si="28"/>
        <v>0</v>
      </c>
      <c r="AK113" s="115">
        <f t="shared" ca="1" si="28"/>
        <v>0</v>
      </c>
      <c r="AL113" s="115">
        <f t="shared" ca="1" si="28"/>
        <v>0</v>
      </c>
      <c r="AM113" s="115">
        <f t="shared" ca="1" si="28"/>
        <v>0</v>
      </c>
      <c r="AN113" s="115">
        <f t="shared" ca="1" si="28"/>
        <v>0</v>
      </c>
      <c r="AO113" s="115">
        <f t="shared" ca="1" si="28"/>
        <v>0</v>
      </c>
    </row>
    <row r="114" spans="3:41">
      <c r="C114" s="108"/>
      <c r="D114" s="111">
        <f t="shared" ca="1" si="27"/>
        <v>44761</v>
      </c>
      <c r="E114" s="115">
        <f t="shared" ref="E114:AO114" ca="1" si="29">E40*$C$36+E77*$C$73</f>
        <v>0</v>
      </c>
      <c r="F114" s="115">
        <f t="shared" ca="1" si="29"/>
        <v>0</v>
      </c>
      <c r="G114" s="115">
        <f t="shared" ca="1" si="29"/>
        <v>0</v>
      </c>
      <c r="H114" s="115">
        <f t="shared" ca="1" si="29"/>
        <v>0</v>
      </c>
      <c r="I114" s="115">
        <f t="shared" ca="1" si="29"/>
        <v>0</v>
      </c>
      <c r="J114" s="115">
        <f t="shared" ca="1" si="29"/>
        <v>0</v>
      </c>
      <c r="K114" s="115">
        <f t="shared" ca="1" si="29"/>
        <v>0</v>
      </c>
      <c r="L114" s="115">
        <f t="shared" ca="1" si="29"/>
        <v>0</v>
      </c>
      <c r="M114" s="115">
        <f t="shared" ca="1" si="29"/>
        <v>0</v>
      </c>
      <c r="N114" s="115">
        <f t="shared" ca="1" si="29"/>
        <v>0</v>
      </c>
      <c r="O114" s="115">
        <f t="shared" ca="1" si="29"/>
        <v>0</v>
      </c>
      <c r="P114" s="115">
        <f t="shared" ca="1" si="29"/>
        <v>0</v>
      </c>
      <c r="Q114" s="115">
        <f t="shared" ca="1" si="29"/>
        <v>0</v>
      </c>
      <c r="R114" s="115">
        <f t="shared" ca="1" si="29"/>
        <v>0</v>
      </c>
      <c r="S114" s="115">
        <f t="shared" ca="1" si="29"/>
        <v>0</v>
      </c>
      <c r="T114" s="115">
        <f t="shared" ca="1" si="29"/>
        <v>0</v>
      </c>
      <c r="U114" s="115">
        <f t="shared" ca="1" si="29"/>
        <v>0</v>
      </c>
      <c r="V114" s="115">
        <f t="shared" ca="1" si="29"/>
        <v>0</v>
      </c>
      <c r="W114" s="115">
        <f t="shared" ca="1" si="29"/>
        <v>0</v>
      </c>
      <c r="X114" s="115">
        <f t="shared" ca="1" si="29"/>
        <v>0</v>
      </c>
      <c r="Y114" s="115">
        <f t="shared" ca="1" si="29"/>
        <v>0</v>
      </c>
      <c r="Z114" s="115">
        <f t="shared" ca="1" si="29"/>
        <v>0</v>
      </c>
      <c r="AA114" s="115">
        <f t="shared" ca="1" si="29"/>
        <v>0</v>
      </c>
      <c r="AB114" s="115">
        <f t="shared" ca="1" si="29"/>
        <v>0</v>
      </c>
      <c r="AC114" s="115">
        <f t="shared" ca="1" si="29"/>
        <v>0</v>
      </c>
      <c r="AD114" s="115">
        <f t="shared" ca="1" si="29"/>
        <v>0</v>
      </c>
      <c r="AE114" s="115">
        <f t="shared" ca="1" si="29"/>
        <v>0</v>
      </c>
      <c r="AF114" s="115">
        <f t="shared" ca="1" si="29"/>
        <v>0</v>
      </c>
      <c r="AG114" s="115">
        <f t="shared" ca="1" si="29"/>
        <v>0</v>
      </c>
      <c r="AH114" s="115">
        <f t="shared" ca="1" si="29"/>
        <v>0</v>
      </c>
      <c r="AI114" s="115">
        <f t="shared" ca="1" si="29"/>
        <v>0</v>
      </c>
      <c r="AJ114" s="115">
        <f t="shared" ca="1" si="29"/>
        <v>0</v>
      </c>
      <c r="AK114" s="115">
        <f t="shared" ca="1" si="29"/>
        <v>0</v>
      </c>
      <c r="AL114" s="115">
        <f t="shared" ca="1" si="29"/>
        <v>0</v>
      </c>
      <c r="AM114" s="115">
        <f t="shared" ca="1" si="29"/>
        <v>0</v>
      </c>
      <c r="AN114" s="115">
        <f t="shared" ca="1" si="29"/>
        <v>0</v>
      </c>
      <c r="AO114" s="115">
        <f t="shared" ca="1" si="29"/>
        <v>0</v>
      </c>
    </row>
    <row r="115" spans="3:41">
      <c r="C115" s="108"/>
      <c r="D115" s="111">
        <f t="shared" ca="1" si="27"/>
        <v>44762</v>
      </c>
      <c r="E115" s="115">
        <f t="shared" ref="E115:AO115" ca="1" si="30">E41*$C$36+E78*$C$73</f>
        <v>0</v>
      </c>
      <c r="F115" s="115">
        <f t="shared" ca="1" si="30"/>
        <v>0</v>
      </c>
      <c r="G115" s="115">
        <f t="shared" ca="1" si="30"/>
        <v>0</v>
      </c>
      <c r="H115" s="115">
        <f t="shared" ca="1" si="30"/>
        <v>0</v>
      </c>
      <c r="I115" s="115">
        <f t="shared" ca="1" si="30"/>
        <v>0</v>
      </c>
      <c r="J115" s="115">
        <f t="shared" ca="1" si="30"/>
        <v>0</v>
      </c>
      <c r="K115" s="115">
        <f t="shared" ca="1" si="30"/>
        <v>0</v>
      </c>
      <c r="L115" s="115">
        <f t="shared" ca="1" si="30"/>
        <v>0</v>
      </c>
      <c r="M115" s="115">
        <f t="shared" ca="1" si="30"/>
        <v>0</v>
      </c>
      <c r="N115" s="115">
        <f t="shared" ca="1" si="30"/>
        <v>0</v>
      </c>
      <c r="O115" s="115">
        <f t="shared" ca="1" si="30"/>
        <v>0</v>
      </c>
      <c r="P115" s="115">
        <f t="shared" ca="1" si="30"/>
        <v>0</v>
      </c>
      <c r="Q115" s="115">
        <f t="shared" ca="1" si="30"/>
        <v>0</v>
      </c>
      <c r="R115" s="115">
        <f t="shared" ca="1" si="30"/>
        <v>0</v>
      </c>
      <c r="S115" s="115">
        <f t="shared" ca="1" si="30"/>
        <v>0</v>
      </c>
      <c r="T115" s="115">
        <f t="shared" ca="1" si="30"/>
        <v>0</v>
      </c>
      <c r="U115" s="115">
        <f t="shared" ca="1" si="30"/>
        <v>0</v>
      </c>
      <c r="V115" s="115">
        <f t="shared" ca="1" si="30"/>
        <v>0</v>
      </c>
      <c r="W115" s="115">
        <f t="shared" ca="1" si="30"/>
        <v>0</v>
      </c>
      <c r="X115" s="115">
        <f t="shared" ca="1" si="30"/>
        <v>0</v>
      </c>
      <c r="Y115" s="115">
        <f t="shared" ca="1" si="30"/>
        <v>0</v>
      </c>
      <c r="Z115" s="115">
        <f t="shared" ca="1" si="30"/>
        <v>0</v>
      </c>
      <c r="AA115" s="115">
        <f t="shared" ca="1" si="30"/>
        <v>0</v>
      </c>
      <c r="AB115" s="115">
        <f t="shared" ca="1" si="30"/>
        <v>0</v>
      </c>
      <c r="AC115" s="115">
        <f t="shared" ca="1" si="30"/>
        <v>0</v>
      </c>
      <c r="AD115" s="115">
        <f t="shared" ca="1" si="30"/>
        <v>0</v>
      </c>
      <c r="AE115" s="115">
        <f t="shared" ca="1" si="30"/>
        <v>0</v>
      </c>
      <c r="AF115" s="115">
        <f t="shared" ca="1" si="30"/>
        <v>0</v>
      </c>
      <c r="AG115" s="115">
        <f t="shared" ca="1" si="30"/>
        <v>0</v>
      </c>
      <c r="AH115" s="115">
        <f t="shared" ca="1" si="30"/>
        <v>0</v>
      </c>
      <c r="AI115" s="115">
        <f t="shared" ca="1" si="30"/>
        <v>0</v>
      </c>
      <c r="AJ115" s="115">
        <f t="shared" ca="1" si="30"/>
        <v>0</v>
      </c>
      <c r="AK115" s="115">
        <f t="shared" ca="1" si="30"/>
        <v>0</v>
      </c>
      <c r="AL115" s="115">
        <f t="shared" ca="1" si="30"/>
        <v>0</v>
      </c>
      <c r="AM115" s="115">
        <f t="shared" ca="1" si="30"/>
        <v>0</v>
      </c>
      <c r="AN115" s="115">
        <f t="shared" ca="1" si="30"/>
        <v>0</v>
      </c>
      <c r="AO115" s="115">
        <f t="shared" ca="1" si="30"/>
        <v>0</v>
      </c>
    </row>
    <row r="116" spans="3:41">
      <c r="D116" s="111">
        <f t="shared" ca="1" si="27"/>
        <v>44763</v>
      </c>
      <c r="E116" s="115">
        <f t="shared" ref="E116:AO116" ca="1" si="31">E42*$C$36+E79*$C$73</f>
        <v>0</v>
      </c>
      <c r="F116" s="115">
        <f t="shared" ca="1" si="31"/>
        <v>0</v>
      </c>
      <c r="G116" s="115">
        <f t="shared" ca="1" si="31"/>
        <v>0</v>
      </c>
      <c r="H116" s="115">
        <f t="shared" ca="1" si="31"/>
        <v>0</v>
      </c>
      <c r="I116" s="115">
        <f t="shared" ca="1" si="31"/>
        <v>0</v>
      </c>
      <c r="J116" s="115">
        <f t="shared" ca="1" si="31"/>
        <v>0</v>
      </c>
      <c r="K116" s="115">
        <f t="shared" ca="1" si="31"/>
        <v>0</v>
      </c>
      <c r="L116" s="115">
        <f t="shared" ca="1" si="31"/>
        <v>0</v>
      </c>
      <c r="M116" s="115">
        <f t="shared" ca="1" si="31"/>
        <v>0</v>
      </c>
      <c r="N116" s="115">
        <f t="shared" ca="1" si="31"/>
        <v>0</v>
      </c>
      <c r="O116" s="115">
        <f t="shared" ca="1" si="31"/>
        <v>0</v>
      </c>
      <c r="P116" s="115">
        <f t="shared" ca="1" si="31"/>
        <v>0</v>
      </c>
      <c r="Q116" s="115">
        <f t="shared" ca="1" si="31"/>
        <v>0</v>
      </c>
      <c r="R116" s="115">
        <f t="shared" ca="1" si="31"/>
        <v>0</v>
      </c>
      <c r="S116" s="115">
        <f t="shared" ca="1" si="31"/>
        <v>0</v>
      </c>
      <c r="T116" s="115">
        <f t="shared" ca="1" si="31"/>
        <v>0</v>
      </c>
      <c r="U116" s="115">
        <f t="shared" ca="1" si="31"/>
        <v>0</v>
      </c>
      <c r="V116" s="115">
        <f t="shared" ca="1" si="31"/>
        <v>0</v>
      </c>
      <c r="W116" s="115">
        <f t="shared" ca="1" si="31"/>
        <v>0</v>
      </c>
      <c r="X116" s="115">
        <f t="shared" ca="1" si="31"/>
        <v>0</v>
      </c>
      <c r="Y116" s="115">
        <f t="shared" ca="1" si="31"/>
        <v>0</v>
      </c>
      <c r="Z116" s="115">
        <f t="shared" ca="1" si="31"/>
        <v>0</v>
      </c>
      <c r="AA116" s="115">
        <f t="shared" ca="1" si="31"/>
        <v>0</v>
      </c>
      <c r="AB116" s="115">
        <f t="shared" ca="1" si="31"/>
        <v>0</v>
      </c>
      <c r="AC116" s="115">
        <f t="shared" ca="1" si="31"/>
        <v>0</v>
      </c>
      <c r="AD116" s="115">
        <f t="shared" ca="1" si="31"/>
        <v>0</v>
      </c>
      <c r="AE116" s="115">
        <f t="shared" ca="1" si="31"/>
        <v>0</v>
      </c>
      <c r="AF116" s="115">
        <f t="shared" ca="1" si="31"/>
        <v>0</v>
      </c>
      <c r="AG116" s="115">
        <f t="shared" ca="1" si="31"/>
        <v>0</v>
      </c>
      <c r="AH116" s="115">
        <f t="shared" ca="1" si="31"/>
        <v>0</v>
      </c>
      <c r="AI116" s="115">
        <f t="shared" ca="1" si="31"/>
        <v>0</v>
      </c>
      <c r="AJ116" s="115">
        <f t="shared" ca="1" si="31"/>
        <v>0</v>
      </c>
      <c r="AK116" s="115">
        <f t="shared" ca="1" si="31"/>
        <v>0</v>
      </c>
      <c r="AL116" s="115">
        <f t="shared" ca="1" si="31"/>
        <v>0</v>
      </c>
      <c r="AM116" s="115">
        <f t="shared" ca="1" si="31"/>
        <v>0</v>
      </c>
      <c r="AN116" s="115">
        <f t="shared" ca="1" si="31"/>
        <v>0</v>
      </c>
      <c r="AO116" s="115">
        <f t="shared" ca="1" si="31"/>
        <v>0</v>
      </c>
    </row>
    <row r="117" spans="3:41">
      <c r="D117" s="111">
        <f t="shared" ca="1" si="27"/>
        <v>44764</v>
      </c>
      <c r="E117" s="115">
        <f t="shared" ref="E117:AO117" ca="1" si="32">E43*$C$36+E80*$C$73</f>
        <v>0</v>
      </c>
      <c r="F117" s="115">
        <f t="shared" ca="1" si="32"/>
        <v>0</v>
      </c>
      <c r="G117" s="115">
        <f t="shared" ca="1" si="32"/>
        <v>0</v>
      </c>
      <c r="H117" s="115">
        <f t="shared" ca="1" si="32"/>
        <v>0</v>
      </c>
      <c r="I117" s="115">
        <f t="shared" ca="1" si="32"/>
        <v>0</v>
      </c>
      <c r="J117" s="115">
        <f t="shared" ca="1" si="32"/>
        <v>0</v>
      </c>
      <c r="K117" s="115">
        <f t="shared" ca="1" si="32"/>
        <v>0</v>
      </c>
      <c r="L117" s="115">
        <f t="shared" ca="1" si="32"/>
        <v>0</v>
      </c>
      <c r="M117" s="115">
        <f t="shared" ca="1" si="32"/>
        <v>0</v>
      </c>
      <c r="N117" s="115">
        <f t="shared" ca="1" si="32"/>
        <v>0</v>
      </c>
      <c r="O117" s="115">
        <f t="shared" ca="1" si="32"/>
        <v>0</v>
      </c>
      <c r="P117" s="115">
        <f t="shared" ca="1" si="32"/>
        <v>0</v>
      </c>
      <c r="Q117" s="115">
        <f t="shared" ca="1" si="32"/>
        <v>0</v>
      </c>
      <c r="R117" s="115">
        <f t="shared" ca="1" si="32"/>
        <v>0</v>
      </c>
      <c r="S117" s="115">
        <f t="shared" ca="1" si="32"/>
        <v>0</v>
      </c>
      <c r="T117" s="115">
        <f t="shared" ca="1" si="32"/>
        <v>0</v>
      </c>
      <c r="U117" s="115">
        <f t="shared" ca="1" si="32"/>
        <v>0</v>
      </c>
      <c r="V117" s="115">
        <f t="shared" ca="1" si="32"/>
        <v>0</v>
      </c>
      <c r="W117" s="115">
        <f t="shared" ca="1" si="32"/>
        <v>0</v>
      </c>
      <c r="X117" s="115">
        <f t="shared" ca="1" si="32"/>
        <v>0</v>
      </c>
      <c r="Y117" s="115">
        <f t="shared" ca="1" si="32"/>
        <v>0</v>
      </c>
      <c r="Z117" s="115">
        <f t="shared" ca="1" si="32"/>
        <v>0</v>
      </c>
      <c r="AA117" s="115">
        <f t="shared" ca="1" si="32"/>
        <v>0</v>
      </c>
      <c r="AB117" s="115">
        <f t="shared" ca="1" si="32"/>
        <v>0</v>
      </c>
      <c r="AC117" s="115">
        <f t="shared" ca="1" si="32"/>
        <v>0</v>
      </c>
      <c r="AD117" s="115">
        <f t="shared" ca="1" si="32"/>
        <v>0</v>
      </c>
      <c r="AE117" s="115">
        <f t="shared" ca="1" si="32"/>
        <v>0</v>
      </c>
      <c r="AF117" s="115">
        <f t="shared" ca="1" si="32"/>
        <v>0</v>
      </c>
      <c r="AG117" s="115">
        <f t="shared" ca="1" si="32"/>
        <v>0</v>
      </c>
      <c r="AH117" s="115">
        <f t="shared" ca="1" si="32"/>
        <v>0</v>
      </c>
      <c r="AI117" s="115">
        <f t="shared" ca="1" si="32"/>
        <v>0</v>
      </c>
      <c r="AJ117" s="115">
        <f t="shared" ca="1" si="32"/>
        <v>0</v>
      </c>
      <c r="AK117" s="115">
        <f t="shared" ca="1" si="32"/>
        <v>0</v>
      </c>
      <c r="AL117" s="115">
        <f t="shared" ca="1" si="32"/>
        <v>0</v>
      </c>
      <c r="AM117" s="115">
        <f t="shared" ca="1" si="32"/>
        <v>0</v>
      </c>
      <c r="AN117" s="115">
        <f t="shared" ca="1" si="32"/>
        <v>0</v>
      </c>
      <c r="AO117" s="115">
        <f t="shared" ca="1" si="32"/>
        <v>0</v>
      </c>
    </row>
    <row r="118" spans="3:41">
      <c r="D118" s="111">
        <f t="shared" ca="1" si="27"/>
        <v>44767</v>
      </c>
      <c r="E118" s="115">
        <f t="shared" ref="E118:AO118" ca="1" si="33">E44*$C$36+E81*$C$73</f>
        <v>0</v>
      </c>
      <c r="F118" s="115">
        <f t="shared" ca="1" si="33"/>
        <v>0</v>
      </c>
      <c r="G118" s="115">
        <f t="shared" ca="1" si="33"/>
        <v>0</v>
      </c>
      <c r="H118" s="115">
        <f t="shared" ca="1" si="33"/>
        <v>0</v>
      </c>
      <c r="I118" s="115">
        <f t="shared" ca="1" si="33"/>
        <v>0</v>
      </c>
      <c r="J118" s="115">
        <f t="shared" ca="1" si="33"/>
        <v>0</v>
      </c>
      <c r="K118" s="115">
        <f t="shared" ca="1" si="33"/>
        <v>0</v>
      </c>
      <c r="L118" s="115">
        <f t="shared" ca="1" si="33"/>
        <v>0</v>
      </c>
      <c r="M118" s="115">
        <f t="shared" ca="1" si="33"/>
        <v>0</v>
      </c>
      <c r="N118" s="115">
        <f t="shared" ca="1" si="33"/>
        <v>0</v>
      </c>
      <c r="O118" s="115">
        <f t="shared" ca="1" si="33"/>
        <v>0</v>
      </c>
      <c r="P118" s="115">
        <f t="shared" ca="1" si="33"/>
        <v>0</v>
      </c>
      <c r="Q118" s="115">
        <f t="shared" ca="1" si="33"/>
        <v>0</v>
      </c>
      <c r="R118" s="115">
        <f t="shared" ca="1" si="33"/>
        <v>0</v>
      </c>
      <c r="S118" s="115">
        <f t="shared" ca="1" si="33"/>
        <v>0</v>
      </c>
      <c r="T118" s="115">
        <f t="shared" ca="1" si="33"/>
        <v>0</v>
      </c>
      <c r="U118" s="115">
        <f t="shared" ca="1" si="33"/>
        <v>0</v>
      </c>
      <c r="V118" s="115">
        <f t="shared" ca="1" si="33"/>
        <v>0</v>
      </c>
      <c r="W118" s="115">
        <f t="shared" ca="1" si="33"/>
        <v>0</v>
      </c>
      <c r="X118" s="115">
        <f t="shared" ca="1" si="33"/>
        <v>0</v>
      </c>
      <c r="Y118" s="115">
        <f t="shared" ca="1" si="33"/>
        <v>0</v>
      </c>
      <c r="Z118" s="115">
        <f t="shared" ca="1" si="33"/>
        <v>0</v>
      </c>
      <c r="AA118" s="115">
        <f t="shared" ca="1" si="33"/>
        <v>0</v>
      </c>
      <c r="AB118" s="115">
        <f t="shared" ca="1" si="33"/>
        <v>0</v>
      </c>
      <c r="AC118" s="115">
        <f t="shared" ca="1" si="33"/>
        <v>0</v>
      </c>
      <c r="AD118" s="115">
        <f t="shared" ca="1" si="33"/>
        <v>0</v>
      </c>
      <c r="AE118" s="115">
        <f t="shared" ca="1" si="33"/>
        <v>0</v>
      </c>
      <c r="AF118" s="115">
        <f t="shared" ca="1" si="33"/>
        <v>0</v>
      </c>
      <c r="AG118" s="115">
        <f t="shared" ca="1" si="33"/>
        <v>0</v>
      </c>
      <c r="AH118" s="115">
        <f t="shared" ca="1" si="33"/>
        <v>0</v>
      </c>
      <c r="AI118" s="115">
        <f t="shared" ca="1" si="33"/>
        <v>0</v>
      </c>
      <c r="AJ118" s="115">
        <f t="shared" ca="1" si="33"/>
        <v>0</v>
      </c>
      <c r="AK118" s="115">
        <f t="shared" ca="1" si="33"/>
        <v>0</v>
      </c>
      <c r="AL118" s="115">
        <f t="shared" ca="1" si="33"/>
        <v>0</v>
      </c>
      <c r="AM118" s="115">
        <f t="shared" ca="1" si="33"/>
        <v>0</v>
      </c>
      <c r="AN118" s="115">
        <f t="shared" ca="1" si="33"/>
        <v>0</v>
      </c>
      <c r="AO118" s="115">
        <f t="shared" ca="1" si="33"/>
        <v>0</v>
      </c>
    </row>
    <row r="119" spans="3:41">
      <c r="D119" s="111">
        <f t="shared" ca="1" si="27"/>
        <v>44768</v>
      </c>
      <c r="E119" s="115">
        <f t="shared" ref="E119:AO119" ca="1" si="34">E45*$C$36+E82*$C$73</f>
        <v>0</v>
      </c>
      <c r="F119" s="115">
        <f t="shared" ca="1" si="34"/>
        <v>0</v>
      </c>
      <c r="G119" s="115">
        <f t="shared" ca="1" si="34"/>
        <v>0</v>
      </c>
      <c r="H119" s="115">
        <f t="shared" ca="1" si="34"/>
        <v>0</v>
      </c>
      <c r="I119" s="115">
        <f t="shared" ca="1" si="34"/>
        <v>0</v>
      </c>
      <c r="J119" s="115">
        <f t="shared" ca="1" si="34"/>
        <v>0</v>
      </c>
      <c r="K119" s="115">
        <f t="shared" ca="1" si="34"/>
        <v>0</v>
      </c>
      <c r="L119" s="115">
        <f t="shared" ca="1" si="34"/>
        <v>0</v>
      </c>
      <c r="M119" s="115">
        <f t="shared" ca="1" si="34"/>
        <v>0</v>
      </c>
      <c r="N119" s="115">
        <f t="shared" ca="1" si="34"/>
        <v>0</v>
      </c>
      <c r="O119" s="115">
        <f t="shared" ca="1" si="34"/>
        <v>0</v>
      </c>
      <c r="P119" s="115">
        <f t="shared" ca="1" si="34"/>
        <v>0</v>
      </c>
      <c r="Q119" s="115">
        <f t="shared" ca="1" si="34"/>
        <v>0</v>
      </c>
      <c r="R119" s="115">
        <f t="shared" ca="1" si="34"/>
        <v>0</v>
      </c>
      <c r="S119" s="115">
        <f t="shared" ca="1" si="34"/>
        <v>0</v>
      </c>
      <c r="T119" s="115">
        <f t="shared" ca="1" si="34"/>
        <v>0</v>
      </c>
      <c r="U119" s="115">
        <f t="shared" ca="1" si="34"/>
        <v>0</v>
      </c>
      <c r="V119" s="115">
        <f t="shared" ca="1" si="34"/>
        <v>0</v>
      </c>
      <c r="W119" s="115">
        <f t="shared" ca="1" si="34"/>
        <v>0</v>
      </c>
      <c r="X119" s="115">
        <f t="shared" ca="1" si="34"/>
        <v>0</v>
      </c>
      <c r="Y119" s="115">
        <f t="shared" ca="1" si="34"/>
        <v>0</v>
      </c>
      <c r="Z119" s="115">
        <f t="shared" ca="1" si="34"/>
        <v>0</v>
      </c>
      <c r="AA119" s="115">
        <f t="shared" ca="1" si="34"/>
        <v>0</v>
      </c>
      <c r="AB119" s="115">
        <f t="shared" ca="1" si="34"/>
        <v>0</v>
      </c>
      <c r="AC119" s="115">
        <f t="shared" ca="1" si="34"/>
        <v>0</v>
      </c>
      <c r="AD119" s="115">
        <f t="shared" ca="1" si="34"/>
        <v>0</v>
      </c>
      <c r="AE119" s="115">
        <f t="shared" ca="1" si="34"/>
        <v>0</v>
      </c>
      <c r="AF119" s="115">
        <f t="shared" ca="1" si="34"/>
        <v>0</v>
      </c>
      <c r="AG119" s="115">
        <f t="shared" ca="1" si="34"/>
        <v>0</v>
      </c>
      <c r="AH119" s="115">
        <f t="shared" ca="1" si="34"/>
        <v>0</v>
      </c>
      <c r="AI119" s="115">
        <f t="shared" ca="1" si="34"/>
        <v>0</v>
      </c>
      <c r="AJ119" s="115">
        <f t="shared" ca="1" si="34"/>
        <v>0</v>
      </c>
      <c r="AK119" s="115">
        <f t="shared" ca="1" si="34"/>
        <v>0</v>
      </c>
      <c r="AL119" s="115">
        <f t="shared" ca="1" si="34"/>
        <v>0</v>
      </c>
      <c r="AM119" s="115">
        <f t="shared" ca="1" si="34"/>
        <v>0</v>
      </c>
      <c r="AN119" s="115">
        <f t="shared" ca="1" si="34"/>
        <v>0</v>
      </c>
      <c r="AO119" s="115">
        <f t="shared" ca="1" si="34"/>
        <v>0</v>
      </c>
    </row>
    <row r="120" spans="3:41">
      <c r="D120" s="111">
        <f t="shared" ca="1" si="27"/>
        <v>44769</v>
      </c>
      <c r="E120" s="115">
        <f t="shared" ref="E120:AO120" ca="1" si="35">E46*$C$36+E83*$C$73</f>
        <v>0</v>
      </c>
      <c r="F120" s="115">
        <f t="shared" ca="1" si="35"/>
        <v>0</v>
      </c>
      <c r="G120" s="115">
        <f t="shared" ca="1" si="35"/>
        <v>0</v>
      </c>
      <c r="H120" s="115">
        <f t="shared" ca="1" si="35"/>
        <v>0</v>
      </c>
      <c r="I120" s="115">
        <f t="shared" ca="1" si="35"/>
        <v>0</v>
      </c>
      <c r="J120" s="115">
        <f t="shared" ca="1" si="35"/>
        <v>0</v>
      </c>
      <c r="K120" s="115">
        <f t="shared" ca="1" si="35"/>
        <v>0</v>
      </c>
      <c r="L120" s="115">
        <f t="shared" ca="1" si="35"/>
        <v>0</v>
      </c>
      <c r="M120" s="115">
        <f t="shared" ca="1" si="35"/>
        <v>0</v>
      </c>
      <c r="N120" s="115">
        <f t="shared" ca="1" si="35"/>
        <v>0</v>
      </c>
      <c r="O120" s="115">
        <f t="shared" ca="1" si="35"/>
        <v>0</v>
      </c>
      <c r="P120" s="115">
        <f t="shared" ca="1" si="35"/>
        <v>0</v>
      </c>
      <c r="Q120" s="115">
        <f t="shared" ca="1" si="35"/>
        <v>0</v>
      </c>
      <c r="R120" s="115">
        <f t="shared" ca="1" si="35"/>
        <v>0</v>
      </c>
      <c r="S120" s="115">
        <f t="shared" ca="1" si="35"/>
        <v>0</v>
      </c>
      <c r="T120" s="115">
        <f t="shared" ca="1" si="35"/>
        <v>0</v>
      </c>
      <c r="U120" s="115">
        <f t="shared" ca="1" si="35"/>
        <v>0</v>
      </c>
      <c r="V120" s="115">
        <f t="shared" ca="1" si="35"/>
        <v>0</v>
      </c>
      <c r="W120" s="115">
        <f t="shared" ca="1" si="35"/>
        <v>0</v>
      </c>
      <c r="X120" s="115">
        <f t="shared" ca="1" si="35"/>
        <v>0</v>
      </c>
      <c r="Y120" s="115">
        <f t="shared" ca="1" si="35"/>
        <v>0</v>
      </c>
      <c r="Z120" s="115">
        <f t="shared" ca="1" si="35"/>
        <v>0</v>
      </c>
      <c r="AA120" s="115">
        <f t="shared" ca="1" si="35"/>
        <v>0</v>
      </c>
      <c r="AB120" s="115">
        <f t="shared" ca="1" si="35"/>
        <v>0</v>
      </c>
      <c r="AC120" s="115">
        <f t="shared" ca="1" si="35"/>
        <v>0</v>
      </c>
      <c r="AD120" s="115">
        <f t="shared" ca="1" si="35"/>
        <v>0</v>
      </c>
      <c r="AE120" s="115">
        <f t="shared" ca="1" si="35"/>
        <v>0</v>
      </c>
      <c r="AF120" s="115">
        <f t="shared" ca="1" si="35"/>
        <v>0</v>
      </c>
      <c r="AG120" s="115">
        <f t="shared" ca="1" si="35"/>
        <v>0</v>
      </c>
      <c r="AH120" s="115">
        <f t="shared" ca="1" si="35"/>
        <v>0</v>
      </c>
      <c r="AI120" s="115">
        <f t="shared" ca="1" si="35"/>
        <v>0</v>
      </c>
      <c r="AJ120" s="115">
        <f t="shared" ca="1" si="35"/>
        <v>0</v>
      </c>
      <c r="AK120" s="115">
        <f t="shared" ca="1" si="35"/>
        <v>0</v>
      </c>
      <c r="AL120" s="115">
        <f t="shared" ca="1" si="35"/>
        <v>0</v>
      </c>
      <c r="AM120" s="115">
        <f t="shared" ca="1" si="35"/>
        <v>0</v>
      </c>
      <c r="AN120" s="115">
        <f t="shared" ca="1" si="35"/>
        <v>0</v>
      </c>
      <c r="AO120" s="115">
        <f t="shared" ca="1" si="35"/>
        <v>0</v>
      </c>
    </row>
    <row r="121" spans="3:41">
      <c r="D121" s="111">
        <f t="shared" ca="1" si="27"/>
        <v>44770</v>
      </c>
      <c r="E121" s="115">
        <f t="shared" ref="E121:AO121" ca="1" si="36">E47*$C$36+E84*$C$73</f>
        <v>0</v>
      </c>
      <c r="F121" s="115">
        <f t="shared" ca="1" si="36"/>
        <v>0</v>
      </c>
      <c r="G121" s="115">
        <f t="shared" ca="1" si="36"/>
        <v>0</v>
      </c>
      <c r="H121" s="115">
        <f t="shared" ca="1" si="36"/>
        <v>0</v>
      </c>
      <c r="I121" s="115">
        <f t="shared" ca="1" si="36"/>
        <v>0</v>
      </c>
      <c r="J121" s="115">
        <f t="shared" ca="1" si="36"/>
        <v>0</v>
      </c>
      <c r="K121" s="115">
        <f t="shared" ca="1" si="36"/>
        <v>0</v>
      </c>
      <c r="L121" s="115">
        <f t="shared" ca="1" si="36"/>
        <v>0</v>
      </c>
      <c r="M121" s="115">
        <f t="shared" ca="1" si="36"/>
        <v>0</v>
      </c>
      <c r="N121" s="115">
        <f t="shared" ca="1" si="36"/>
        <v>0</v>
      </c>
      <c r="O121" s="115">
        <f t="shared" ca="1" si="36"/>
        <v>0</v>
      </c>
      <c r="P121" s="115">
        <f t="shared" ca="1" si="36"/>
        <v>0</v>
      </c>
      <c r="Q121" s="115">
        <f t="shared" ca="1" si="36"/>
        <v>0</v>
      </c>
      <c r="R121" s="115">
        <f t="shared" ca="1" si="36"/>
        <v>0</v>
      </c>
      <c r="S121" s="115">
        <f t="shared" ca="1" si="36"/>
        <v>0</v>
      </c>
      <c r="T121" s="115">
        <f t="shared" ca="1" si="36"/>
        <v>0</v>
      </c>
      <c r="U121" s="115">
        <f t="shared" ca="1" si="36"/>
        <v>0</v>
      </c>
      <c r="V121" s="115">
        <f t="shared" ca="1" si="36"/>
        <v>0</v>
      </c>
      <c r="W121" s="115">
        <f t="shared" ca="1" si="36"/>
        <v>0</v>
      </c>
      <c r="X121" s="115">
        <f t="shared" ca="1" si="36"/>
        <v>0</v>
      </c>
      <c r="Y121" s="115">
        <f t="shared" ca="1" si="36"/>
        <v>0</v>
      </c>
      <c r="Z121" s="115">
        <f t="shared" ca="1" si="36"/>
        <v>0</v>
      </c>
      <c r="AA121" s="115">
        <f t="shared" ca="1" si="36"/>
        <v>0</v>
      </c>
      <c r="AB121" s="115">
        <f t="shared" ca="1" si="36"/>
        <v>0</v>
      </c>
      <c r="AC121" s="115">
        <f t="shared" ca="1" si="36"/>
        <v>0</v>
      </c>
      <c r="AD121" s="115">
        <f t="shared" ca="1" si="36"/>
        <v>0</v>
      </c>
      <c r="AE121" s="115">
        <f t="shared" ca="1" si="36"/>
        <v>0</v>
      </c>
      <c r="AF121" s="115">
        <f t="shared" ca="1" si="36"/>
        <v>0</v>
      </c>
      <c r="AG121" s="115">
        <f t="shared" ca="1" si="36"/>
        <v>0</v>
      </c>
      <c r="AH121" s="115">
        <f t="shared" ca="1" si="36"/>
        <v>0</v>
      </c>
      <c r="AI121" s="115">
        <f t="shared" ca="1" si="36"/>
        <v>0</v>
      </c>
      <c r="AJ121" s="115">
        <f t="shared" ca="1" si="36"/>
        <v>0</v>
      </c>
      <c r="AK121" s="115">
        <f t="shared" ca="1" si="36"/>
        <v>0</v>
      </c>
      <c r="AL121" s="115">
        <f t="shared" ca="1" si="36"/>
        <v>0</v>
      </c>
      <c r="AM121" s="115">
        <f t="shared" ca="1" si="36"/>
        <v>0</v>
      </c>
      <c r="AN121" s="115">
        <f t="shared" ca="1" si="36"/>
        <v>0</v>
      </c>
      <c r="AO121" s="115">
        <f t="shared" ca="1" si="36"/>
        <v>0</v>
      </c>
    </row>
    <row r="122" spans="3:41">
      <c r="D122" s="111">
        <f t="shared" ca="1" si="27"/>
        <v>44771</v>
      </c>
      <c r="E122" s="115">
        <f t="shared" ref="E122:AO122" ca="1" si="37">E48*$C$36+E85*$C$73</f>
        <v>0</v>
      </c>
      <c r="F122" s="115">
        <f t="shared" ca="1" si="37"/>
        <v>0</v>
      </c>
      <c r="G122" s="115">
        <f t="shared" ca="1" si="37"/>
        <v>0</v>
      </c>
      <c r="H122" s="115">
        <f t="shared" ca="1" si="37"/>
        <v>0</v>
      </c>
      <c r="I122" s="115">
        <f t="shared" ca="1" si="37"/>
        <v>0</v>
      </c>
      <c r="J122" s="115">
        <f t="shared" ca="1" si="37"/>
        <v>0</v>
      </c>
      <c r="K122" s="115">
        <f t="shared" ca="1" si="37"/>
        <v>0</v>
      </c>
      <c r="L122" s="115">
        <f t="shared" ca="1" si="37"/>
        <v>0</v>
      </c>
      <c r="M122" s="115">
        <f t="shared" ca="1" si="37"/>
        <v>0</v>
      </c>
      <c r="N122" s="115">
        <f t="shared" ca="1" si="37"/>
        <v>0</v>
      </c>
      <c r="O122" s="115">
        <f t="shared" ca="1" si="37"/>
        <v>0</v>
      </c>
      <c r="P122" s="115">
        <f t="shared" ca="1" si="37"/>
        <v>0</v>
      </c>
      <c r="Q122" s="115">
        <f t="shared" ca="1" si="37"/>
        <v>0</v>
      </c>
      <c r="R122" s="115">
        <f t="shared" ca="1" si="37"/>
        <v>0</v>
      </c>
      <c r="S122" s="115">
        <f t="shared" ca="1" si="37"/>
        <v>0</v>
      </c>
      <c r="T122" s="115">
        <f t="shared" ca="1" si="37"/>
        <v>0</v>
      </c>
      <c r="U122" s="115">
        <f t="shared" ca="1" si="37"/>
        <v>0</v>
      </c>
      <c r="V122" s="115">
        <f t="shared" ca="1" si="37"/>
        <v>0</v>
      </c>
      <c r="W122" s="115">
        <f t="shared" ca="1" si="37"/>
        <v>0</v>
      </c>
      <c r="X122" s="115">
        <f t="shared" ca="1" si="37"/>
        <v>0</v>
      </c>
      <c r="Y122" s="115">
        <f t="shared" ca="1" si="37"/>
        <v>0</v>
      </c>
      <c r="Z122" s="115">
        <f t="shared" ca="1" si="37"/>
        <v>0</v>
      </c>
      <c r="AA122" s="115">
        <f t="shared" ca="1" si="37"/>
        <v>0</v>
      </c>
      <c r="AB122" s="115">
        <f t="shared" ca="1" si="37"/>
        <v>0</v>
      </c>
      <c r="AC122" s="115">
        <f t="shared" ca="1" si="37"/>
        <v>0</v>
      </c>
      <c r="AD122" s="115">
        <f t="shared" ca="1" si="37"/>
        <v>0</v>
      </c>
      <c r="AE122" s="115">
        <f t="shared" ca="1" si="37"/>
        <v>0</v>
      </c>
      <c r="AF122" s="115">
        <f t="shared" ca="1" si="37"/>
        <v>0</v>
      </c>
      <c r="AG122" s="115">
        <f t="shared" ca="1" si="37"/>
        <v>0</v>
      </c>
      <c r="AH122" s="115">
        <f t="shared" ca="1" si="37"/>
        <v>0</v>
      </c>
      <c r="AI122" s="115">
        <f t="shared" ca="1" si="37"/>
        <v>0</v>
      </c>
      <c r="AJ122" s="115">
        <f t="shared" ca="1" si="37"/>
        <v>0</v>
      </c>
      <c r="AK122" s="115">
        <f t="shared" ca="1" si="37"/>
        <v>0</v>
      </c>
      <c r="AL122" s="115">
        <f t="shared" ca="1" si="37"/>
        <v>0</v>
      </c>
      <c r="AM122" s="115">
        <f t="shared" ca="1" si="37"/>
        <v>0</v>
      </c>
      <c r="AN122" s="115">
        <f t="shared" ca="1" si="37"/>
        <v>0</v>
      </c>
      <c r="AO122" s="115">
        <f t="shared" ca="1" si="37"/>
        <v>0</v>
      </c>
    </row>
    <row r="123" spans="3:41">
      <c r="D123" s="111">
        <f t="shared" ca="1" si="27"/>
        <v>44774</v>
      </c>
      <c r="E123" s="115">
        <f t="shared" ref="E123:AO123" ca="1" si="38">E49*$C$36+E86*$C$73</f>
        <v>0</v>
      </c>
      <c r="F123" s="115">
        <f t="shared" ca="1" si="38"/>
        <v>0</v>
      </c>
      <c r="G123" s="115">
        <f t="shared" ca="1" si="38"/>
        <v>0</v>
      </c>
      <c r="H123" s="115">
        <f t="shared" ca="1" si="38"/>
        <v>0</v>
      </c>
      <c r="I123" s="115">
        <f t="shared" ca="1" si="38"/>
        <v>0</v>
      </c>
      <c r="J123" s="115">
        <f t="shared" ca="1" si="38"/>
        <v>0</v>
      </c>
      <c r="K123" s="115">
        <f t="shared" ca="1" si="38"/>
        <v>0</v>
      </c>
      <c r="L123" s="115">
        <f t="shared" ca="1" si="38"/>
        <v>0</v>
      </c>
      <c r="M123" s="115">
        <f t="shared" ca="1" si="38"/>
        <v>0</v>
      </c>
      <c r="N123" s="115">
        <f t="shared" ca="1" si="38"/>
        <v>0</v>
      </c>
      <c r="O123" s="115">
        <f t="shared" ca="1" si="38"/>
        <v>0</v>
      </c>
      <c r="P123" s="115">
        <f t="shared" ca="1" si="38"/>
        <v>0</v>
      </c>
      <c r="Q123" s="115">
        <f t="shared" ca="1" si="38"/>
        <v>0</v>
      </c>
      <c r="R123" s="115">
        <f t="shared" ca="1" si="38"/>
        <v>0</v>
      </c>
      <c r="S123" s="115">
        <f t="shared" ca="1" si="38"/>
        <v>0</v>
      </c>
      <c r="T123" s="115">
        <f t="shared" ca="1" si="38"/>
        <v>0</v>
      </c>
      <c r="U123" s="115">
        <f t="shared" ca="1" si="38"/>
        <v>0</v>
      </c>
      <c r="V123" s="115">
        <f t="shared" ca="1" si="38"/>
        <v>0</v>
      </c>
      <c r="W123" s="115">
        <f t="shared" ca="1" si="38"/>
        <v>0</v>
      </c>
      <c r="X123" s="115">
        <f t="shared" ca="1" si="38"/>
        <v>0</v>
      </c>
      <c r="Y123" s="115">
        <f t="shared" ca="1" si="38"/>
        <v>0</v>
      </c>
      <c r="Z123" s="115">
        <f t="shared" ca="1" si="38"/>
        <v>0</v>
      </c>
      <c r="AA123" s="115">
        <f t="shared" ca="1" si="38"/>
        <v>0</v>
      </c>
      <c r="AB123" s="115">
        <f t="shared" ca="1" si="38"/>
        <v>0</v>
      </c>
      <c r="AC123" s="115">
        <f t="shared" ca="1" si="38"/>
        <v>0</v>
      </c>
      <c r="AD123" s="115">
        <f t="shared" ca="1" si="38"/>
        <v>0</v>
      </c>
      <c r="AE123" s="115">
        <f t="shared" ca="1" si="38"/>
        <v>0</v>
      </c>
      <c r="AF123" s="115">
        <f t="shared" ca="1" si="38"/>
        <v>0</v>
      </c>
      <c r="AG123" s="115">
        <f t="shared" ca="1" si="38"/>
        <v>0</v>
      </c>
      <c r="AH123" s="115">
        <f t="shared" ca="1" si="38"/>
        <v>0</v>
      </c>
      <c r="AI123" s="115">
        <f t="shared" ca="1" si="38"/>
        <v>0</v>
      </c>
      <c r="AJ123" s="115">
        <f t="shared" ca="1" si="38"/>
        <v>0</v>
      </c>
      <c r="AK123" s="115">
        <f t="shared" ca="1" si="38"/>
        <v>0</v>
      </c>
      <c r="AL123" s="115">
        <f t="shared" ca="1" si="38"/>
        <v>0</v>
      </c>
      <c r="AM123" s="115">
        <f t="shared" ca="1" si="38"/>
        <v>0</v>
      </c>
      <c r="AN123" s="115">
        <f t="shared" ca="1" si="38"/>
        <v>0</v>
      </c>
      <c r="AO123" s="115">
        <f t="shared" ca="1" si="38"/>
        <v>0</v>
      </c>
    </row>
    <row r="124" spans="3:41">
      <c r="D124" s="111">
        <f t="shared" ca="1" si="27"/>
        <v>44775</v>
      </c>
      <c r="E124" s="115">
        <f t="shared" ref="E124:AO124" ca="1" si="39">E50*$C$36+E87*$C$73</f>
        <v>0</v>
      </c>
      <c r="F124" s="115">
        <f t="shared" ca="1" si="39"/>
        <v>0</v>
      </c>
      <c r="G124" s="115">
        <f t="shared" ca="1" si="39"/>
        <v>0</v>
      </c>
      <c r="H124" s="115">
        <f t="shared" ca="1" si="39"/>
        <v>0</v>
      </c>
      <c r="I124" s="115">
        <f t="shared" ca="1" si="39"/>
        <v>0</v>
      </c>
      <c r="J124" s="115">
        <f t="shared" ca="1" si="39"/>
        <v>0</v>
      </c>
      <c r="K124" s="115">
        <f t="shared" ca="1" si="39"/>
        <v>0</v>
      </c>
      <c r="L124" s="115">
        <f t="shared" ca="1" si="39"/>
        <v>0</v>
      </c>
      <c r="M124" s="115">
        <f t="shared" ca="1" si="39"/>
        <v>0</v>
      </c>
      <c r="N124" s="115">
        <f t="shared" ca="1" si="39"/>
        <v>0</v>
      </c>
      <c r="O124" s="115">
        <f t="shared" ca="1" si="39"/>
        <v>0</v>
      </c>
      <c r="P124" s="115">
        <f t="shared" ca="1" si="39"/>
        <v>0</v>
      </c>
      <c r="Q124" s="115">
        <f t="shared" ca="1" si="39"/>
        <v>0</v>
      </c>
      <c r="R124" s="115">
        <f t="shared" ca="1" si="39"/>
        <v>0</v>
      </c>
      <c r="S124" s="115">
        <f t="shared" ca="1" si="39"/>
        <v>0</v>
      </c>
      <c r="T124" s="115">
        <f t="shared" ca="1" si="39"/>
        <v>0</v>
      </c>
      <c r="U124" s="115">
        <f t="shared" ca="1" si="39"/>
        <v>0</v>
      </c>
      <c r="V124" s="115">
        <f t="shared" ca="1" si="39"/>
        <v>0</v>
      </c>
      <c r="W124" s="115">
        <f t="shared" ca="1" si="39"/>
        <v>0</v>
      </c>
      <c r="X124" s="115">
        <f t="shared" ca="1" si="39"/>
        <v>0</v>
      </c>
      <c r="Y124" s="115">
        <f t="shared" ca="1" si="39"/>
        <v>0</v>
      </c>
      <c r="Z124" s="115">
        <f t="shared" ca="1" si="39"/>
        <v>0</v>
      </c>
      <c r="AA124" s="115">
        <f t="shared" ca="1" si="39"/>
        <v>0</v>
      </c>
      <c r="AB124" s="115">
        <f t="shared" ca="1" si="39"/>
        <v>0</v>
      </c>
      <c r="AC124" s="115">
        <f t="shared" ca="1" si="39"/>
        <v>0</v>
      </c>
      <c r="AD124" s="115">
        <f t="shared" ca="1" si="39"/>
        <v>0</v>
      </c>
      <c r="AE124" s="115">
        <f t="shared" ca="1" si="39"/>
        <v>0</v>
      </c>
      <c r="AF124" s="115">
        <f t="shared" ca="1" si="39"/>
        <v>0</v>
      </c>
      <c r="AG124" s="115">
        <f t="shared" ca="1" si="39"/>
        <v>0</v>
      </c>
      <c r="AH124" s="115">
        <f t="shared" ca="1" si="39"/>
        <v>0</v>
      </c>
      <c r="AI124" s="115">
        <f t="shared" ca="1" si="39"/>
        <v>0</v>
      </c>
      <c r="AJ124" s="115">
        <f t="shared" ca="1" si="39"/>
        <v>0</v>
      </c>
      <c r="AK124" s="115">
        <f t="shared" ca="1" si="39"/>
        <v>0</v>
      </c>
      <c r="AL124" s="115">
        <f t="shared" ca="1" si="39"/>
        <v>0</v>
      </c>
      <c r="AM124" s="115">
        <f t="shared" ca="1" si="39"/>
        <v>0</v>
      </c>
      <c r="AN124" s="115">
        <f t="shared" ca="1" si="39"/>
        <v>0</v>
      </c>
      <c r="AO124" s="115">
        <f t="shared" ca="1" si="39"/>
        <v>0</v>
      </c>
    </row>
    <row r="125" spans="3:41">
      <c r="D125" s="111">
        <f t="shared" ca="1" si="27"/>
        <v>44776</v>
      </c>
      <c r="E125" s="115">
        <f t="shared" ref="E125:AO125" ca="1" si="40">E51*$C$36+E88*$C$73</f>
        <v>0</v>
      </c>
      <c r="F125" s="115">
        <f t="shared" ca="1" si="40"/>
        <v>0</v>
      </c>
      <c r="G125" s="115">
        <f t="shared" ca="1" si="40"/>
        <v>0</v>
      </c>
      <c r="H125" s="115">
        <f t="shared" ca="1" si="40"/>
        <v>0</v>
      </c>
      <c r="I125" s="115">
        <f t="shared" ca="1" si="40"/>
        <v>0</v>
      </c>
      <c r="J125" s="115">
        <f t="shared" ca="1" si="40"/>
        <v>0</v>
      </c>
      <c r="K125" s="115">
        <f t="shared" ca="1" si="40"/>
        <v>0</v>
      </c>
      <c r="L125" s="115">
        <f t="shared" ca="1" si="40"/>
        <v>0</v>
      </c>
      <c r="M125" s="115">
        <f t="shared" ca="1" si="40"/>
        <v>0</v>
      </c>
      <c r="N125" s="115">
        <f t="shared" ca="1" si="40"/>
        <v>0</v>
      </c>
      <c r="O125" s="115">
        <f t="shared" ca="1" si="40"/>
        <v>0</v>
      </c>
      <c r="P125" s="115">
        <f t="shared" ca="1" si="40"/>
        <v>0</v>
      </c>
      <c r="Q125" s="115">
        <f t="shared" ca="1" si="40"/>
        <v>0</v>
      </c>
      <c r="R125" s="115">
        <f t="shared" ca="1" si="40"/>
        <v>0</v>
      </c>
      <c r="S125" s="115">
        <f t="shared" ca="1" si="40"/>
        <v>0</v>
      </c>
      <c r="T125" s="115">
        <f t="shared" ca="1" si="40"/>
        <v>0</v>
      </c>
      <c r="U125" s="115">
        <f t="shared" ca="1" si="40"/>
        <v>0</v>
      </c>
      <c r="V125" s="115">
        <f t="shared" ca="1" si="40"/>
        <v>0</v>
      </c>
      <c r="W125" s="115">
        <f t="shared" ca="1" si="40"/>
        <v>0</v>
      </c>
      <c r="X125" s="115">
        <f t="shared" ca="1" si="40"/>
        <v>0</v>
      </c>
      <c r="Y125" s="115">
        <f t="shared" ca="1" si="40"/>
        <v>0</v>
      </c>
      <c r="Z125" s="115">
        <f t="shared" ca="1" si="40"/>
        <v>0</v>
      </c>
      <c r="AA125" s="115">
        <f t="shared" ca="1" si="40"/>
        <v>0</v>
      </c>
      <c r="AB125" s="115">
        <f t="shared" ca="1" si="40"/>
        <v>0</v>
      </c>
      <c r="AC125" s="115">
        <f t="shared" ca="1" si="40"/>
        <v>0</v>
      </c>
      <c r="AD125" s="115">
        <f t="shared" ca="1" si="40"/>
        <v>0</v>
      </c>
      <c r="AE125" s="115">
        <f t="shared" ca="1" si="40"/>
        <v>0</v>
      </c>
      <c r="AF125" s="115">
        <f t="shared" ca="1" si="40"/>
        <v>0</v>
      </c>
      <c r="AG125" s="115">
        <f t="shared" ca="1" si="40"/>
        <v>0</v>
      </c>
      <c r="AH125" s="115">
        <f t="shared" ca="1" si="40"/>
        <v>0</v>
      </c>
      <c r="AI125" s="115">
        <f t="shared" ca="1" si="40"/>
        <v>0</v>
      </c>
      <c r="AJ125" s="115">
        <f t="shared" ca="1" si="40"/>
        <v>0</v>
      </c>
      <c r="AK125" s="115">
        <f t="shared" ca="1" si="40"/>
        <v>0</v>
      </c>
      <c r="AL125" s="115">
        <f t="shared" ca="1" si="40"/>
        <v>0</v>
      </c>
      <c r="AM125" s="115">
        <f t="shared" ca="1" si="40"/>
        <v>0</v>
      </c>
      <c r="AN125" s="115">
        <f t="shared" ca="1" si="40"/>
        <v>0</v>
      </c>
      <c r="AO125" s="115">
        <f t="shared" ca="1" si="40"/>
        <v>0</v>
      </c>
    </row>
    <row r="126" spans="3:41">
      <c r="D126" s="111">
        <f t="shared" ca="1" si="27"/>
        <v>44777</v>
      </c>
      <c r="E126" s="115">
        <f t="shared" ref="E126:AO126" ca="1" si="41">E52*$C$36+E89*$C$73</f>
        <v>0</v>
      </c>
      <c r="F126" s="115">
        <f t="shared" ca="1" si="41"/>
        <v>0</v>
      </c>
      <c r="G126" s="115">
        <f t="shared" ca="1" si="41"/>
        <v>0</v>
      </c>
      <c r="H126" s="115">
        <f t="shared" ca="1" si="41"/>
        <v>0</v>
      </c>
      <c r="I126" s="115">
        <f t="shared" ca="1" si="41"/>
        <v>0</v>
      </c>
      <c r="J126" s="115">
        <f t="shared" ca="1" si="41"/>
        <v>0</v>
      </c>
      <c r="K126" s="115">
        <f t="shared" ca="1" si="41"/>
        <v>0</v>
      </c>
      <c r="L126" s="115">
        <f t="shared" ca="1" si="41"/>
        <v>0</v>
      </c>
      <c r="M126" s="115">
        <f t="shared" ca="1" si="41"/>
        <v>0</v>
      </c>
      <c r="N126" s="115">
        <f t="shared" ca="1" si="41"/>
        <v>0</v>
      </c>
      <c r="O126" s="115">
        <f t="shared" ca="1" si="41"/>
        <v>0</v>
      </c>
      <c r="P126" s="115">
        <f t="shared" ca="1" si="41"/>
        <v>0</v>
      </c>
      <c r="Q126" s="115">
        <f t="shared" ca="1" si="41"/>
        <v>0</v>
      </c>
      <c r="R126" s="115">
        <f t="shared" ca="1" si="41"/>
        <v>0</v>
      </c>
      <c r="S126" s="115">
        <f t="shared" ca="1" si="41"/>
        <v>0</v>
      </c>
      <c r="T126" s="115">
        <f t="shared" ca="1" si="41"/>
        <v>0</v>
      </c>
      <c r="U126" s="115">
        <f t="shared" ca="1" si="41"/>
        <v>0</v>
      </c>
      <c r="V126" s="115">
        <f t="shared" ca="1" si="41"/>
        <v>0</v>
      </c>
      <c r="W126" s="115">
        <f t="shared" ca="1" si="41"/>
        <v>0</v>
      </c>
      <c r="X126" s="115">
        <f t="shared" ca="1" si="41"/>
        <v>0</v>
      </c>
      <c r="Y126" s="115">
        <f t="shared" ca="1" si="41"/>
        <v>0</v>
      </c>
      <c r="Z126" s="115">
        <f t="shared" ca="1" si="41"/>
        <v>0</v>
      </c>
      <c r="AA126" s="115">
        <f t="shared" ca="1" si="41"/>
        <v>0</v>
      </c>
      <c r="AB126" s="115">
        <f t="shared" ca="1" si="41"/>
        <v>0</v>
      </c>
      <c r="AC126" s="115">
        <f t="shared" ca="1" si="41"/>
        <v>0</v>
      </c>
      <c r="AD126" s="115">
        <f t="shared" ca="1" si="41"/>
        <v>0</v>
      </c>
      <c r="AE126" s="115">
        <f t="shared" ca="1" si="41"/>
        <v>0</v>
      </c>
      <c r="AF126" s="115">
        <f t="shared" ca="1" si="41"/>
        <v>0</v>
      </c>
      <c r="AG126" s="115">
        <f t="shared" ca="1" si="41"/>
        <v>0</v>
      </c>
      <c r="AH126" s="115">
        <f t="shared" ca="1" si="41"/>
        <v>0</v>
      </c>
      <c r="AI126" s="115">
        <f t="shared" ca="1" si="41"/>
        <v>0</v>
      </c>
      <c r="AJ126" s="115">
        <f t="shared" ca="1" si="41"/>
        <v>0</v>
      </c>
      <c r="AK126" s="115">
        <f t="shared" ca="1" si="41"/>
        <v>0</v>
      </c>
      <c r="AL126" s="115">
        <f t="shared" ca="1" si="41"/>
        <v>0</v>
      </c>
      <c r="AM126" s="115">
        <f t="shared" ca="1" si="41"/>
        <v>0</v>
      </c>
      <c r="AN126" s="115">
        <f t="shared" ca="1" si="41"/>
        <v>0</v>
      </c>
      <c r="AO126" s="115">
        <f t="shared" ca="1" si="41"/>
        <v>0</v>
      </c>
    </row>
    <row r="127" spans="3:41">
      <c r="D127" s="111">
        <f t="shared" ca="1" si="27"/>
        <v>44778</v>
      </c>
      <c r="E127" s="115">
        <f t="shared" ref="E127:AO127" ca="1" si="42">E53*$C$36+E90*$C$73</f>
        <v>0</v>
      </c>
      <c r="F127" s="115">
        <f t="shared" ca="1" si="42"/>
        <v>0</v>
      </c>
      <c r="G127" s="115">
        <f t="shared" ca="1" si="42"/>
        <v>0</v>
      </c>
      <c r="H127" s="115">
        <f t="shared" ca="1" si="42"/>
        <v>0</v>
      </c>
      <c r="I127" s="115">
        <f t="shared" ca="1" si="42"/>
        <v>0</v>
      </c>
      <c r="J127" s="115">
        <f t="shared" ca="1" si="42"/>
        <v>0</v>
      </c>
      <c r="K127" s="115">
        <f t="shared" ca="1" si="42"/>
        <v>0</v>
      </c>
      <c r="L127" s="115">
        <f t="shared" ca="1" si="42"/>
        <v>0</v>
      </c>
      <c r="M127" s="115">
        <f t="shared" ca="1" si="42"/>
        <v>0</v>
      </c>
      <c r="N127" s="115">
        <f t="shared" ca="1" si="42"/>
        <v>0</v>
      </c>
      <c r="O127" s="115">
        <f t="shared" ca="1" si="42"/>
        <v>0</v>
      </c>
      <c r="P127" s="115">
        <f t="shared" ca="1" si="42"/>
        <v>0</v>
      </c>
      <c r="Q127" s="115">
        <f t="shared" ca="1" si="42"/>
        <v>0</v>
      </c>
      <c r="R127" s="115">
        <f t="shared" ca="1" si="42"/>
        <v>0</v>
      </c>
      <c r="S127" s="115">
        <f t="shared" ca="1" si="42"/>
        <v>0</v>
      </c>
      <c r="T127" s="115">
        <f t="shared" ca="1" si="42"/>
        <v>0</v>
      </c>
      <c r="U127" s="115">
        <f t="shared" ca="1" si="42"/>
        <v>0</v>
      </c>
      <c r="V127" s="115">
        <f t="shared" ca="1" si="42"/>
        <v>0</v>
      </c>
      <c r="W127" s="115">
        <f t="shared" ca="1" si="42"/>
        <v>0</v>
      </c>
      <c r="X127" s="115">
        <f t="shared" ca="1" si="42"/>
        <v>0</v>
      </c>
      <c r="Y127" s="115">
        <f t="shared" ca="1" si="42"/>
        <v>0</v>
      </c>
      <c r="Z127" s="115">
        <f t="shared" ca="1" si="42"/>
        <v>0</v>
      </c>
      <c r="AA127" s="115">
        <f t="shared" ca="1" si="42"/>
        <v>0</v>
      </c>
      <c r="AB127" s="115">
        <f t="shared" ca="1" si="42"/>
        <v>0</v>
      </c>
      <c r="AC127" s="115">
        <f t="shared" ca="1" si="42"/>
        <v>0</v>
      </c>
      <c r="AD127" s="115">
        <f t="shared" ca="1" si="42"/>
        <v>0</v>
      </c>
      <c r="AE127" s="115">
        <f t="shared" ca="1" si="42"/>
        <v>0</v>
      </c>
      <c r="AF127" s="115">
        <f t="shared" ca="1" si="42"/>
        <v>0</v>
      </c>
      <c r="AG127" s="115">
        <f t="shared" ca="1" si="42"/>
        <v>0</v>
      </c>
      <c r="AH127" s="115">
        <f t="shared" ca="1" si="42"/>
        <v>0</v>
      </c>
      <c r="AI127" s="115">
        <f t="shared" ca="1" si="42"/>
        <v>0</v>
      </c>
      <c r="AJ127" s="115">
        <f t="shared" ca="1" si="42"/>
        <v>0</v>
      </c>
      <c r="AK127" s="115">
        <f t="shared" ca="1" si="42"/>
        <v>0</v>
      </c>
      <c r="AL127" s="115">
        <f t="shared" ca="1" si="42"/>
        <v>0</v>
      </c>
      <c r="AM127" s="115">
        <f t="shared" ca="1" si="42"/>
        <v>0</v>
      </c>
      <c r="AN127" s="115">
        <f t="shared" ca="1" si="42"/>
        <v>0</v>
      </c>
      <c r="AO127" s="115">
        <f t="shared" ca="1" si="42"/>
        <v>0</v>
      </c>
    </row>
    <row r="128" spans="3:41">
      <c r="D128" s="111">
        <f t="shared" ca="1" si="27"/>
        <v>44781</v>
      </c>
      <c r="E128" s="115">
        <f t="shared" ref="E128:AO128" ca="1" si="43">E54*$C$36+E91*$C$73</f>
        <v>0</v>
      </c>
      <c r="F128" s="115">
        <f t="shared" ca="1" si="43"/>
        <v>0</v>
      </c>
      <c r="G128" s="115">
        <f t="shared" ca="1" si="43"/>
        <v>0</v>
      </c>
      <c r="H128" s="115">
        <f t="shared" ca="1" si="43"/>
        <v>0</v>
      </c>
      <c r="I128" s="115">
        <f t="shared" ca="1" si="43"/>
        <v>0</v>
      </c>
      <c r="J128" s="115">
        <f t="shared" ca="1" si="43"/>
        <v>0</v>
      </c>
      <c r="K128" s="115">
        <f t="shared" ca="1" si="43"/>
        <v>0</v>
      </c>
      <c r="L128" s="115">
        <f t="shared" ca="1" si="43"/>
        <v>0</v>
      </c>
      <c r="M128" s="115">
        <f t="shared" ca="1" si="43"/>
        <v>0</v>
      </c>
      <c r="N128" s="115">
        <f t="shared" ca="1" si="43"/>
        <v>0</v>
      </c>
      <c r="O128" s="115">
        <f t="shared" ca="1" si="43"/>
        <v>0</v>
      </c>
      <c r="P128" s="115">
        <f t="shared" ca="1" si="43"/>
        <v>0</v>
      </c>
      <c r="Q128" s="115">
        <f t="shared" ca="1" si="43"/>
        <v>0</v>
      </c>
      <c r="R128" s="115">
        <f t="shared" ca="1" si="43"/>
        <v>0</v>
      </c>
      <c r="S128" s="115">
        <f t="shared" ca="1" si="43"/>
        <v>0</v>
      </c>
      <c r="T128" s="115">
        <f t="shared" ca="1" si="43"/>
        <v>0</v>
      </c>
      <c r="U128" s="115">
        <f t="shared" ca="1" si="43"/>
        <v>0</v>
      </c>
      <c r="V128" s="115">
        <f t="shared" ca="1" si="43"/>
        <v>0</v>
      </c>
      <c r="W128" s="115">
        <f t="shared" ca="1" si="43"/>
        <v>0</v>
      </c>
      <c r="X128" s="115">
        <f t="shared" ca="1" si="43"/>
        <v>0</v>
      </c>
      <c r="Y128" s="115">
        <f t="shared" ca="1" si="43"/>
        <v>0</v>
      </c>
      <c r="Z128" s="115">
        <f t="shared" ca="1" si="43"/>
        <v>0</v>
      </c>
      <c r="AA128" s="115">
        <f t="shared" ca="1" si="43"/>
        <v>0</v>
      </c>
      <c r="AB128" s="115">
        <f t="shared" ca="1" si="43"/>
        <v>0</v>
      </c>
      <c r="AC128" s="115">
        <f t="shared" ca="1" si="43"/>
        <v>0</v>
      </c>
      <c r="AD128" s="115">
        <f t="shared" ca="1" si="43"/>
        <v>0</v>
      </c>
      <c r="AE128" s="115">
        <f t="shared" ca="1" si="43"/>
        <v>0</v>
      </c>
      <c r="AF128" s="115">
        <f t="shared" ca="1" si="43"/>
        <v>0</v>
      </c>
      <c r="AG128" s="115">
        <f t="shared" ca="1" si="43"/>
        <v>0</v>
      </c>
      <c r="AH128" s="115">
        <f t="shared" ca="1" si="43"/>
        <v>0</v>
      </c>
      <c r="AI128" s="115">
        <f t="shared" ca="1" si="43"/>
        <v>0</v>
      </c>
      <c r="AJ128" s="115">
        <f t="shared" ca="1" si="43"/>
        <v>0</v>
      </c>
      <c r="AK128" s="115">
        <f t="shared" ca="1" si="43"/>
        <v>0</v>
      </c>
      <c r="AL128" s="115">
        <f t="shared" ca="1" si="43"/>
        <v>0</v>
      </c>
      <c r="AM128" s="115">
        <f t="shared" ca="1" si="43"/>
        <v>0</v>
      </c>
      <c r="AN128" s="115">
        <f t="shared" ca="1" si="43"/>
        <v>0</v>
      </c>
      <c r="AO128" s="115">
        <f t="shared" ca="1" si="43"/>
        <v>0</v>
      </c>
    </row>
    <row r="129" spans="4:41">
      <c r="D129" s="111">
        <f t="shared" ca="1" si="27"/>
        <v>44782</v>
      </c>
      <c r="E129" s="115">
        <f t="shared" ref="E129:AO129" ca="1" si="44">E55*$C$36+E92*$C$73</f>
        <v>0</v>
      </c>
      <c r="F129" s="115">
        <f t="shared" ca="1" si="44"/>
        <v>0</v>
      </c>
      <c r="G129" s="115">
        <f t="shared" ca="1" si="44"/>
        <v>0</v>
      </c>
      <c r="H129" s="115">
        <f t="shared" ca="1" si="44"/>
        <v>0</v>
      </c>
      <c r="I129" s="115">
        <f t="shared" ca="1" si="44"/>
        <v>0</v>
      </c>
      <c r="J129" s="115">
        <f t="shared" ca="1" si="44"/>
        <v>0</v>
      </c>
      <c r="K129" s="115">
        <f t="shared" ca="1" si="44"/>
        <v>0</v>
      </c>
      <c r="L129" s="115">
        <f t="shared" ca="1" si="44"/>
        <v>0</v>
      </c>
      <c r="M129" s="115">
        <f t="shared" ca="1" si="44"/>
        <v>0</v>
      </c>
      <c r="N129" s="115">
        <f t="shared" ca="1" si="44"/>
        <v>0</v>
      </c>
      <c r="O129" s="115">
        <f t="shared" ca="1" si="44"/>
        <v>0</v>
      </c>
      <c r="P129" s="115">
        <f t="shared" ca="1" si="44"/>
        <v>0</v>
      </c>
      <c r="Q129" s="115">
        <f t="shared" ca="1" si="44"/>
        <v>0</v>
      </c>
      <c r="R129" s="115">
        <f t="shared" ca="1" si="44"/>
        <v>0</v>
      </c>
      <c r="S129" s="115">
        <f t="shared" ca="1" si="44"/>
        <v>0</v>
      </c>
      <c r="T129" s="115">
        <f t="shared" ca="1" si="44"/>
        <v>0</v>
      </c>
      <c r="U129" s="115">
        <f t="shared" ca="1" si="44"/>
        <v>0</v>
      </c>
      <c r="V129" s="115">
        <f t="shared" ca="1" si="44"/>
        <v>0</v>
      </c>
      <c r="W129" s="115">
        <f t="shared" ca="1" si="44"/>
        <v>0</v>
      </c>
      <c r="X129" s="115">
        <f t="shared" ca="1" si="44"/>
        <v>0</v>
      </c>
      <c r="Y129" s="115">
        <f t="shared" ca="1" si="44"/>
        <v>0</v>
      </c>
      <c r="Z129" s="115">
        <f t="shared" ca="1" si="44"/>
        <v>0</v>
      </c>
      <c r="AA129" s="115">
        <f t="shared" ca="1" si="44"/>
        <v>0</v>
      </c>
      <c r="AB129" s="115">
        <f t="shared" ca="1" si="44"/>
        <v>0</v>
      </c>
      <c r="AC129" s="115">
        <f t="shared" ca="1" si="44"/>
        <v>0</v>
      </c>
      <c r="AD129" s="115">
        <f t="shared" ca="1" si="44"/>
        <v>0</v>
      </c>
      <c r="AE129" s="115">
        <f t="shared" ca="1" si="44"/>
        <v>0</v>
      </c>
      <c r="AF129" s="115">
        <f t="shared" ca="1" si="44"/>
        <v>0</v>
      </c>
      <c r="AG129" s="115">
        <f t="shared" ca="1" si="44"/>
        <v>0</v>
      </c>
      <c r="AH129" s="115">
        <f t="shared" ca="1" si="44"/>
        <v>0</v>
      </c>
      <c r="AI129" s="115">
        <f t="shared" ca="1" si="44"/>
        <v>0</v>
      </c>
      <c r="AJ129" s="115">
        <f t="shared" ca="1" si="44"/>
        <v>0</v>
      </c>
      <c r="AK129" s="115">
        <f t="shared" ca="1" si="44"/>
        <v>0</v>
      </c>
      <c r="AL129" s="115">
        <f t="shared" ca="1" si="44"/>
        <v>0</v>
      </c>
      <c r="AM129" s="115">
        <f t="shared" ca="1" si="44"/>
        <v>0</v>
      </c>
      <c r="AN129" s="115">
        <f t="shared" ca="1" si="44"/>
        <v>0</v>
      </c>
      <c r="AO129" s="115">
        <f t="shared" ca="1" si="44"/>
        <v>0</v>
      </c>
    </row>
    <row r="130" spans="4:41">
      <c r="D130" s="111">
        <f t="shared" ca="1" si="27"/>
        <v>44783</v>
      </c>
      <c r="E130" s="115">
        <f t="shared" ref="E130:AO130" ca="1" si="45">E56*$C$36+E93*$C$73</f>
        <v>0</v>
      </c>
      <c r="F130" s="115">
        <f t="shared" ca="1" si="45"/>
        <v>0</v>
      </c>
      <c r="G130" s="115">
        <f t="shared" ca="1" si="45"/>
        <v>0</v>
      </c>
      <c r="H130" s="115">
        <f t="shared" ca="1" si="45"/>
        <v>0</v>
      </c>
      <c r="I130" s="115">
        <f t="shared" ca="1" si="45"/>
        <v>0</v>
      </c>
      <c r="J130" s="115">
        <f t="shared" ca="1" si="45"/>
        <v>0</v>
      </c>
      <c r="K130" s="115">
        <f t="shared" ca="1" si="45"/>
        <v>0</v>
      </c>
      <c r="L130" s="115">
        <f t="shared" ca="1" si="45"/>
        <v>0</v>
      </c>
      <c r="M130" s="115">
        <f t="shared" ca="1" si="45"/>
        <v>0</v>
      </c>
      <c r="N130" s="115">
        <f t="shared" ca="1" si="45"/>
        <v>0</v>
      </c>
      <c r="O130" s="115">
        <f t="shared" ca="1" si="45"/>
        <v>0</v>
      </c>
      <c r="P130" s="115">
        <f t="shared" ca="1" si="45"/>
        <v>0</v>
      </c>
      <c r="Q130" s="115">
        <f t="shared" ca="1" si="45"/>
        <v>0</v>
      </c>
      <c r="R130" s="115">
        <f t="shared" ca="1" si="45"/>
        <v>0</v>
      </c>
      <c r="S130" s="115">
        <f t="shared" ca="1" si="45"/>
        <v>0</v>
      </c>
      <c r="T130" s="115">
        <f t="shared" ca="1" si="45"/>
        <v>0</v>
      </c>
      <c r="U130" s="115">
        <f t="shared" ca="1" si="45"/>
        <v>0</v>
      </c>
      <c r="V130" s="115">
        <f t="shared" ca="1" si="45"/>
        <v>0</v>
      </c>
      <c r="W130" s="115">
        <f t="shared" ca="1" si="45"/>
        <v>0</v>
      </c>
      <c r="X130" s="115">
        <f t="shared" ca="1" si="45"/>
        <v>0</v>
      </c>
      <c r="Y130" s="115">
        <f t="shared" ca="1" si="45"/>
        <v>0</v>
      </c>
      <c r="Z130" s="115">
        <f t="shared" ca="1" si="45"/>
        <v>0</v>
      </c>
      <c r="AA130" s="115">
        <f t="shared" ca="1" si="45"/>
        <v>0</v>
      </c>
      <c r="AB130" s="115">
        <f t="shared" ca="1" si="45"/>
        <v>0</v>
      </c>
      <c r="AC130" s="115">
        <f t="shared" ca="1" si="45"/>
        <v>0</v>
      </c>
      <c r="AD130" s="115">
        <f t="shared" ca="1" si="45"/>
        <v>0</v>
      </c>
      <c r="AE130" s="115">
        <f t="shared" ca="1" si="45"/>
        <v>0</v>
      </c>
      <c r="AF130" s="115">
        <f t="shared" ca="1" si="45"/>
        <v>0</v>
      </c>
      <c r="AG130" s="115">
        <f t="shared" ca="1" si="45"/>
        <v>0</v>
      </c>
      <c r="AH130" s="115">
        <f t="shared" ca="1" si="45"/>
        <v>0</v>
      </c>
      <c r="AI130" s="115">
        <f t="shared" ca="1" si="45"/>
        <v>0</v>
      </c>
      <c r="AJ130" s="115">
        <f t="shared" ca="1" si="45"/>
        <v>0</v>
      </c>
      <c r="AK130" s="115">
        <f t="shared" ca="1" si="45"/>
        <v>0</v>
      </c>
      <c r="AL130" s="115">
        <f t="shared" ca="1" si="45"/>
        <v>0</v>
      </c>
      <c r="AM130" s="115">
        <f t="shared" ca="1" si="45"/>
        <v>0</v>
      </c>
      <c r="AN130" s="115">
        <f t="shared" ca="1" si="45"/>
        <v>0</v>
      </c>
      <c r="AO130" s="115">
        <f t="shared" ca="1" si="45"/>
        <v>0</v>
      </c>
    </row>
    <row r="131" spans="4:41">
      <c r="D131" s="111">
        <f t="shared" ca="1" si="27"/>
        <v>44784</v>
      </c>
      <c r="E131" s="115">
        <f t="shared" ref="E131:AO131" ca="1" si="46">E57*$C$36+E94*$C$73</f>
        <v>0</v>
      </c>
      <c r="F131" s="115">
        <f t="shared" ca="1" si="46"/>
        <v>0</v>
      </c>
      <c r="G131" s="115">
        <f t="shared" ca="1" si="46"/>
        <v>0</v>
      </c>
      <c r="H131" s="115">
        <f t="shared" ca="1" si="46"/>
        <v>0</v>
      </c>
      <c r="I131" s="115">
        <f t="shared" ca="1" si="46"/>
        <v>0</v>
      </c>
      <c r="J131" s="115">
        <f t="shared" ca="1" si="46"/>
        <v>0</v>
      </c>
      <c r="K131" s="115">
        <f t="shared" ca="1" si="46"/>
        <v>0</v>
      </c>
      <c r="L131" s="115">
        <f t="shared" ca="1" si="46"/>
        <v>0</v>
      </c>
      <c r="M131" s="115">
        <f t="shared" ca="1" si="46"/>
        <v>0</v>
      </c>
      <c r="N131" s="115">
        <f t="shared" ca="1" si="46"/>
        <v>0</v>
      </c>
      <c r="O131" s="115">
        <f t="shared" ca="1" si="46"/>
        <v>0</v>
      </c>
      <c r="P131" s="115">
        <f t="shared" ca="1" si="46"/>
        <v>0</v>
      </c>
      <c r="Q131" s="115">
        <f t="shared" ca="1" si="46"/>
        <v>0</v>
      </c>
      <c r="R131" s="115">
        <f t="shared" ca="1" si="46"/>
        <v>0</v>
      </c>
      <c r="S131" s="115">
        <f t="shared" ca="1" si="46"/>
        <v>0</v>
      </c>
      <c r="T131" s="115">
        <f t="shared" ca="1" si="46"/>
        <v>0</v>
      </c>
      <c r="U131" s="115">
        <f t="shared" ca="1" si="46"/>
        <v>0</v>
      </c>
      <c r="V131" s="115">
        <f t="shared" ca="1" si="46"/>
        <v>0</v>
      </c>
      <c r="W131" s="115">
        <f t="shared" ca="1" si="46"/>
        <v>0</v>
      </c>
      <c r="X131" s="115">
        <f t="shared" ca="1" si="46"/>
        <v>0</v>
      </c>
      <c r="Y131" s="115">
        <f t="shared" ca="1" si="46"/>
        <v>0</v>
      </c>
      <c r="Z131" s="115">
        <f t="shared" ca="1" si="46"/>
        <v>0</v>
      </c>
      <c r="AA131" s="115">
        <f t="shared" ca="1" si="46"/>
        <v>0</v>
      </c>
      <c r="AB131" s="115">
        <f t="shared" ca="1" si="46"/>
        <v>0</v>
      </c>
      <c r="AC131" s="115">
        <f t="shared" ca="1" si="46"/>
        <v>0</v>
      </c>
      <c r="AD131" s="115">
        <f t="shared" ca="1" si="46"/>
        <v>0</v>
      </c>
      <c r="AE131" s="115">
        <f t="shared" ca="1" si="46"/>
        <v>0</v>
      </c>
      <c r="AF131" s="115">
        <f t="shared" ca="1" si="46"/>
        <v>0</v>
      </c>
      <c r="AG131" s="115">
        <f t="shared" ca="1" si="46"/>
        <v>0</v>
      </c>
      <c r="AH131" s="115">
        <f t="shared" ca="1" si="46"/>
        <v>0</v>
      </c>
      <c r="AI131" s="115">
        <f t="shared" ca="1" si="46"/>
        <v>0</v>
      </c>
      <c r="AJ131" s="115">
        <f t="shared" ca="1" si="46"/>
        <v>0</v>
      </c>
      <c r="AK131" s="115">
        <f t="shared" ca="1" si="46"/>
        <v>0</v>
      </c>
      <c r="AL131" s="115">
        <f t="shared" ca="1" si="46"/>
        <v>0</v>
      </c>
      <c r="AM131" s="115">
        <f t="shared" ca="1" si="46"/>
        <v>0</v>
      </c>
      <c r="AN131" s="115">
        <f t="shared" ca="1" si="46"/>
        <v>0</v>
      </c>
      <c r="AO131" s="115">
        <f t="shared" ca="1" si="46"/>
        <v>0</v>
      </c>
    </row>
    <row r="132" spans="4:41">
      <c r="D132" s="111">
        <f t="shared" ca="1" si="27"/>
        <v>44785</v>
      </c>
      <c r="E132" s="115">
        <f t="shared" ref="E132:AO132" ca="1" si="47">E58*$C$36+E95*$C$73</f>
        <v>0</v>
      </c>
      <c r="F132" s="115">
        <f t="shared" ca="1" si="47"/>
        <v>0</v>
      </c>
      <c r="G132" s="115">
        <f t="shared" ca="1" si="47"/>
        <v>0</v>
      </c>
      <c r="H132" s="115">
        <f t="shared" ca="1" si="47"/>
        <v>0</v>
      </c>
      <c r="I132" s="115">
        <f t="shared" ca="1" si="47"/>
        <v>0</v>
      </c>
      <c r="J132" s="115">
        <f t="shared" ca="1" si="47"/>
        <v>0</v>
      </c>
      <c r="K132" s="115">
        <f t="shared" ca="1" si="47"/>
        <v>0</v>
      </c>
      <c r="L132" s="115">
        <f t="shared" ca="1" si="47"/>
        <v>0</v>
      </c>
      <c r="M132" s="115">
        <f t="shared" ca="1" si="47"/>
        <v>0</v>
      </c>
      <c r="N132" s="115">
        <f t="shared" ca="1" si="47"/>
        <v>0</v>
      </c>
      <c r="O132" s="115">
        <f t="shared" ca="1" si="47"/>
        <v>0</v>
      </c>
      <c r="P132" s="115">
        <f t="shared" ca="1" si="47"/>
        <v>0</v>
      </c>
      <c r="Q132" s="115">
        <f t="shared" ca="1" si="47"/>
        <v>0</v>
      </c>
      <c r="R132" s="115">
        <f t="shared" ca="1" si="47"/>
        <v>0</v>
      </c>
      <c r="S132" s="115">
        <f t="shared" ca="1" si="47"/>
        <v>0</v>
      </c>
      <c r="T132" s="115">
        <f t="shared" ca="1" si="47"/>
        <v>0</v>
      </c>
      <c r="U132" s="115">
        <f t="shared" ca="1" si="47"/>
        <v>0</v>
      </c>
      <c r="V132" s="115">
        <f t="shared" ca="1" si="47"/>
        <v>0</v>
      </c>
      <c r="W132" s="115">
        <f t="shared" ca="1" si="47"/>
        <v>0</v>
      </c>
      <c r="X132" s="115">
        <f t="shared" ca="1" si="47"/>
        <v>0</v>
      </c>
      <c r="Y132" s="115">
        <f t="shared" ca="1" si="47"/>
        <v>0</v>
      </c>
      <c r="Z132" s="115">
        <f t="shared" ca="1" si="47"/>
        <v>0</v>
      </c>
      <c r="AA132" s="115">
        <f t="shared" ca="1" si="47"/>
        <v>0</v>
      </c>
      <c r="AB132" s="115">
        <f t="shared" ca="1" si="47"/>
        <v>0</v>
      </c>
      <c r="AC132" s="115">
        <f t="shared" ca="1" si="47"/>
        <v>0</v>
      </c>
      <c r="AD132" s="115">
        <f t="shared" ca="1" si="47"/>
        <v>0</v>
      </c>
      <c r="AE132" s="115">
        <f t="shared" ca="1" si="47"/>
        <v>0</v>
      </c>
      <c r="AF132" s="115">
        <f t="shared" ca="1" si="47"/>
        <v>0</v>
      </c>
      <c r="AG132" s="115">
        <f t="shared" ca="1" si="47"/>
        <v>0</v>
      </c>
      <c r="AH132" s="115">
        <f t="shared" ca="1" si="47"/>
        <v>0</v>
      </c>
      <c r="AI132" s="115">
        <f t="shared" ca="1" si="47"/>
        <v>0</v>
      </c>
      <c r="AJ132" s="115">
        <f t="shared" ca="1" si="47"/>
        <v>0</v>
      </c>
      <c r="AK132" s="115">
        <f t="shared" ca="1" si="47"/>
        <v>0</v>
      </c>
      <c r="AL132" s="115">
        <f t="shared" ca="1" si="47"/>
        <v>0</v>
      </c>
      <c r="AM132" s="115">
        <f t="shared" ca="1" si="47"/>
        <v>0</v>
      </c>
      <c r="AN132" s="115">
        <f t="shared" ca="1" si="47"/>
        <v>0</v>
      </c>
      <c r="AO132" s="115">
        <f t="shared" ca="1" si="47"/>
        <v>0</v>
      </c>
    </row>
    <row r="133" spans="4:41">
      <c r="D133" s="111">
        <f t="shared" ca="1" si="27"/>
        <v>44788</v>
      </c>
      <c r="E133" s="115">
        <f t="shared" ref="E133:AO133" ca="1" si="48">E59*$C$36+E96*$C$73</f>
        <v>0</v>
      </c>
      <c r="F133" s="115">
        <f t="shared" ca="1" si="48"/>
        <v>0</v>
      </c>
      <c r="G133" s="115">
        <f t="shared" ca="1" si="48"/>
        <v>0</v>
      </c>
      <c r="H133" s="115">
        <f t="shared" ca="1" si="48"/>
        <v>0</v>
      </c>
      <c r="I133" s="115">
        <f t="shared" ca="1" si="48"/>
        <v>0</v>
      </c>
      <c r="J133" s="115">
        <f t="shared" ca="1" si="48"/>
        <v>0</v>
      </c>
      <c r="K133" s="115">
        <f t="shared" ca="1" si="48"/>
        <v>0</v>
      </c>
      <c r="L133" s="115">
        <f t="shared" ca="1" si="48"/>
        <v>0</v>
      </c>
      <c r="M133" s="115">
        <f t="shared" ca="1" si="48"/>
        <v>0</v>
      </c>
      <c r="N133" s="115">
        <f t="shared" ca="1" si="48"/>
        <v>0</v>
      </c>
      <c r="O133" s="115">
        <f t="shared" ca="1" si="48"/>
        <v>0</v>
      </c>
      <c r="P133" s="115">
        <f t="shared" ca="1" si="48"/>
        <v>0</v>
      </c>
      <c r="Q133" s="115">
        <f t="shared" ca="1" si="48"/>
        <v>0</v>
      </c>
      <c r="R133" s="115">
        <f t="shared" ca="1" si="48"/>
        <v>0</v>
      </c>
      <c r="S133" s="115">
        <f t="shared" ca="1" si="48"/>
        <v>0</v>
      </c>
      <c r="T133" s="115">
        <f t="shared" ca="1" si="48"/>
        <v>0</v>
      </c>
      <c r="U133" s="115">
        <f t="shared" ca="1" si="48"/>
        <v>0</v>
      </c>
      <c r="V133" s="115">
        <f t="shared" ca="1" si="48"/>
        <v>0</v>
      </c>
      <c r="W133" s="115">
        <f t="shared" ca="1" si="48"/>
        <v>0</v>
      </c>
      <c r="X133" s="115">
        <f t="shared" ca="1" si="48"/>
        <v>0</v>
      </c>
      <c r="Y133" s="115">
        <f t="shared" ca="1" si="48"/>
        <v>0</v>
      </c>
      <c r="Z133" s="115">
        <f t="shared" ca="1" si="48"/>
        <v>0</v>
      </c>
      <c r="AA133" s="115">
        <f t="shared" ca="1" si="48"/>
        <v>0</v>
      </c>
      <c r="AB133" s="115">
        <f t="shared" ca="1" si="48"/>
        <v>0</v>
      </c>
      <c r="AC133" s="115">
        <f t="shared" ca="1" si="48"/>
        <v>0</v>
      </c>
      <c r="AD133" s="115">
        <f t="shared" ca="1" si="48"/>
        <v>0</v>
      </c>
      <c r="AE133" s="115">
        <f t="shared" ca="1" si="48"/>
        <v>0</v>
      </c>
      <c r="AF133" s="115">
        <f t="shared" ca="1" si="48"/>
        <v>0</v>
      </c>
      <c r="AG133" s="115">
        <f t="shared" ca="1" si="48"/>
        <v>0</v>
      </c>
      <c r="AH133" s="115">
        <f t="shared" ca="1" si="48"/>
        <v>0</v>
      </c>
      <c r="AI133" s="115">
        <f t="shared" ca="1" si="48"/>
        <v>0</v>
      </c>
      <c r="AJ133" s="115">
        <f t="shared" ca="1" si="48"/>
        <v>0</v>
      </c>
      <c r="AK133" s="115">
        <f t="shared" ca="1" si="48"/>
        <v>0</v>
      </c>
      <c r="AL133" s="115">
        <f t="shared" ca="1" si="48"/>
        <v>0</v>
      </c>
      <c r="AM133" s="115">
        <f t="shared" ca="1" si="48"/>
        <v>0</v>
      </c>
      <c r="AN133" s="115">
        <f t="shared" ca="1" si="48"/>
        <v>0</v>
      </c>
      <c r="AO133" s="115">
        <f t="shared" ca="1" si="48"/>
        <v>0</v>
      </c>
    </row>
    <row r="134" spans="4:41">
      <c r="D134" s="111">
        <f t="shared" ca="1" si="27"/>
        <v>44789</v>
      </c>
      <c r="E134" s="115">
        <f t="shared" ref="E134:AO134" ca="1" si="49">E60*$C$36+E97*$C$73</f>
        <v>0</v>
      </c>
      <c r="F134" s="115">
        <f t="shared" ca="1" si="49"/>
        <v>0</v>
      </c>
      <c r="G134" s="115">
        <f t="shared" ca="1" si="49"/>
        <v>0</v>
      </c>
      <c r="H134" s="115">
        <f t="shared" ca="1" si="49"/>
        <v>0</v>
      </c>
      <c r="I134" s="115">
        <f t="shared" ca="1" si="49"/>
        <v>0</v>
      </c>
      <c r="J134" s="115">
        <f t="shared" ca="1" si="49"/>
        <v>0</v>
      </c>
      <c r="K134" s="115">
        <f t="shared" ca="1" si="49"/>
        <v>0</v>
      </c>
      <c r="L134" s="115">
        <f t="shared" ca="1" si="49"/>
        <v>0</v>
      </c>
      <c r="M134" s="115">
        <f t="shared" ca="1" si="49"/>
        <v>0</v>
      </c>
      <c r="N134" s="115">
        <f t="shared" ca="1" si="49"/>
        <v>0</v>
      </c>
      <c r="O134" s="115">
        <f t="shared" ca="1" si="49"/>
        <v>0</v>
      </c>
      <c r="P134" s="115">
        <f t="shared" ca="1" si="49"/>
        <v>0</v>
      </c>
      <c r="Q134" s="115">
        <f t="shared" ca="1" si="49"/>
        <v>0</v>
      </c>
      <c r="R134" s="115">
        <f t="shared" ca="1" si="49"/>
        <v>0</v>
      </c>
      <c r="S134" s="115">
        <f t="shared" ca="1" si="49"/>
        <v>0</v>
      </c>
      <c r="T134" s="115">
        <f t="shared" ca="1" si="49"/>
        <v>0</v>
      </c>
      <c r="U134" s="115">
        <f t="shared" ca="1" si="49"/>
        <v>0</v>
      </c>
      <c r="V134" s="115">
        <f t="shared" ca="1" si="49"/>
        <v>0</v>
      </c>
      <c r="W134" s="115">
        <f t="shared" ca="1" si="49"/>
        <v>0</v>
      </c>
      <c r="X134" s="115">
        <f t="shared" ca="1" si="49"/>
        <v>0</v>
      </c>
      <c r="Y134" s="115">
        <f t="shared" ca="1" si="49"/>
        <v>0</v>
      </c>
      <c r="Z134" s="115">
        <f t="shared" ca="1" si="49"/>
        <v>0</v>
      </c>
      <c r="AA134" s="115">
        <f t="shared" ca="1" si="49"/>
        <v>0</v>
      </c>
      <c r="AB134" s="115">
        <f t="shared" ca="1" si="49"/>
        <v>0</v>
      </c>
      <c r="AC134" s="115">
        <f t="shared" ca="1" si="49"/>
        <v>0</v>
      </c>
      <c r="AD134" s="115">
        <f t="shared" ca="1" si="49"/>
        <v>0</v>
      </c>
      <c r="AE134" s="115">
        <f t="shared" ca="1" si="49"/>
        <v>0</v>
      </c>
      <c r="AF134" s="115">
        <f t="shared" ca="1" si="49"/>
        <v>0</v>
      </c>
      <c r="AG134" s="115">
        <f t="shared" ca="1" si="49"/>
        <v>0</v>
      </c>
      <c r="AH134" s="115">
        <f t="shared" ca="1" si="49"/>
        <v>0</v>
      </c>
      <c r="AI134" s="115">
        <f t="shared" ca="1" si="49"/>
        <v>0</v>
      </c>
      <c r="AJ134" s="115">
        <f t="shared" ca="1" si="49"/>
        <v>0</v>
      </c>
      <c r="AK134" s="115">
        <f t="shared" ca="1" si="49"/>
        <v>0</v>
      </c>
      <c r="AL134" s="115">
        <f t="shared" ca="1" si="49"/>
        <v>0</v>
      </c>
      <c r="AM134" s="115">
        <f t="shared" ca="1" si="49"/>
        <v>0</v>
      </c>
      <c r="AN134" s="115">
        <f t="shared" ca="1" si="49"/>
        <v>0</v>
      </c>
      <c r="AO134" s="115">
        <f t="shared" ca="1" si="49"/>
        <v>0</v>
      </c>
    </row>
    <row r="135" spans="4:41">
      <c r="D135" s="111">
        <f t="shared" ca="1" si="27"/>
        <v>44790</v>
      </c>
      <c r="E135" s="115">
        <f t="shared" ref="E135:AO135" ca="1" si="50">E61*$C$36+E98*$C$73</f>
        <v>0</v>
      </c>
      <c r="F135" s="115">
        <f t="shared" ca="1" si="50"/>
        <v>0</v>
      </c>
      <c r="G135" s="115">
        <f t="shared" ca="1" si="50"/>
        <v>0</v>
      </c>
      <c r="H135" s="115">
        <f t="shared" ca="1" si="50"/>
        <v>0</v>
      </c>
      <c r="I135" s="115">
        <f t="shared" ca="1" si="50"/>
        <v>0</v>
      </c>
      <c r="J135" s="115">
        <f t="shared" ca="1" si="50"/>
        <v>0</v>
      </c>
      <c r="K135" s="115">
        <f t="shared" ca="1" si="50"/>
        <v>0</v>
      </c>
      <c r="L135" s="115">
        <f t="shared" ca="1" si="50"/>
        <v>0</v>
      </c>
      <c r="M135" s="115">
        <f t="shared" ca="1" si="50"/>
        <v>0</v>
      </c>
      <c r="N135" s="115">
        <f t="shared" ca="1" si="50"/>
        <v>0</v>
      </c>
      <c r="O135" s="115">
        <f t="shared" ca="1" si="50"/>
        <v>0</v>
      </c>
      <c r="P135" s="115">
        <f t="shared" ca="1" si="50"/>
        <v>0</v>
      </c>
      <c r="Q135" s="115">
        <f t="shared" ca="1" si="50"/>
        <v>0</v>
      </c>
      <c r="R135" s="115">
        <f t="shared" ca="1" si="50"/>
        <v>0</v>
      </c>
      <c r="S135" s="115">
        <f t="shared" ca="1" si="50"/>
        <v>0</v>
      </c>
      <c r="T135" s="115">
        <f t="shared" ca="1" si="50"/>
        <v>0</v>
      </c>
      <c r="U135" s="115">
        <f t="shared" ca="1" si="50"/>
        <v>0</v>
      </c>
      <c r="V135" s="115">
        <f t="shared" ca="1" si="50"/>
        <v>0</v>
      </c>
      <c r="W135" s="115">
        <f t="shared" ca="1" si="50"/>
        <v>0</v>
      </c>
      <c r="X135" s="115">
        <f t="shared" ca="1" si="50"/>
        <v>0</v>
      </c>
      <c r="Y135" s="115">
        <f t="shared" ca="1" si="50"/>
        <v>0</v>
      </c>
      <c r="Z135" s="115">
        <f t="shared" ca="1" si="50"/>
        <v>0</v>
      </c>
      <c r="AA135" s="115">
        <f t="shared" ca="1" si="50"/>
        <v>0</v>
      </c>
      <c r="AB135" s="115">
        <f t="shared" ca="1" si="50"/>
        <v>0</v>
      </c>
      <c r="AC135" s="115">
        <f t="shared" ca="1" si="50"/>
        <v>0</v>
      </c>
      <c r="AD135" s="115">
        <f t="shared" ca="1" si="50"/>
        <v>0</v>
      </c>
      <c r="AE135" s="115">
        <f t="shared" ca="1" si="50"/>
        <v>0</v>
      </c>
      <c r="AF135" s="115">
        <f t="shared" ca="1" si="50"/>
        <v>0</v>
      </c>
      <c r="AG135" s="115">
        <f t="shared" ca="1" si="50"/>
        <v>0</v>
      </c>
      <c r="AH135" s="115">
        <f t="shared" ca="1" si="50"/>
        <v>0</v>
      </c>
      <c r="AI135" s="115">
        <f t="shared" ca="1" si="50"/>
        <v>0</v>
      </c>
      <c r="AJ135" s="115">
        <f t="shared" ca="1" si="50"/>
        <v>0</v>
      </c>
      <c r="AK135" s="115">
        <f t="shared" ca="1" si="50"/>
        <v>0</v>
      </c>
      <c r="AL135" s="115">
        <f t="shared" ca="1" si="50"/>
        <v>0</v>
      </c>
      <c r="AM135" s="115">
        <f t="shared" ca="1" si="50"/>
        <v>0</v>
      </c>
      <c r="AN135" s="115">
        <f t="shared" ca="1" si="50"/>
        <v>0</v>
      </c>
      <c r="AO135" s="115">
        <f t="shared" ca="1" si="50"/>
        <v>0</v>
      </c>
    </row>
    <row r="136" spans="4:41">
      <c r="D136" s="111">
        <f t="shared" ca="1" si="27"/>
        <v>44791</v>
      </c>
      <c r="E136" s="115">
        <f t="shared" ref="E136:AO136" ca="1" si="51">E62*$C$36+E99*$C$73</f>
        <v>0</v>
      </c>
      <c r="F136" s="115">
        <f t="shared" ca="1" si="51"/>
        <v>0</v>
      </c>
      <c r="G136" s="115">
        <f t="shared" ca="1" si="51"/>
        <v>0</v>
      </c>
      <c r="H136" s="115">
        <f t="shared" ca="1" si="51"/>
        <v>0</v>
      </c>
      <c r="I136" s="115">
        <f t="shared" ca="1" si="51"/>
        <v>0</v>
      </c>
      <c r="J136" s="115">
        <f t="shared" ca="1" si="51"/>
        <v>0</v>
      </c>
      <c r="K136" s="115">
        <f t="shared" ca="1" si="51"/>
        <v>0</v>
      </c>
      <c r="L136" s="115">
        <f t="shared" ca="1" si="51"/>
        <v>0</v>
      </c>
      <c r="M136" s="115">
        <f t="shared" ca="1" si="51"/>
        <v>0</v>
      </c>
      <c r="N136" s="115">
        <f t="shared" ca="1" si="51"/>
        <v>0</v>
      </c>
      <c r="O136" s="115">
        <f t="shared" ca="1" si="51"/>
        <v>0</v>
      </c>
      <c r="P136" s="115">
        <f t="shared" ca="1" si="51"/>
        <v>0</v>
      </c>
      <c r="Q136" s="115">
        <f t="shared" ca="1" si="51"/>
        <v>0</v>
      </c>
      <c r="R136" s="115">
        <f t="shared" ca="1" si="51"/>
        <v>0</v>
      </c>
      <c r="S136" s="115">
        <f t="shared" ca="1" si="51"/>
        <v>0</v>
      </c>
      <c r="T136" s="115">
        <f t="shared" ca="1" si="51"/>
        <v>0</v>
      </c>
      <c r="U136" s="115">
        <f t="shared" ca="1" si="51"/>
        <v>0</v>
      </c>
      <c r="V136" s="115">
        <f t="shared" ca="1" si="51"/>
        <v>0</v>
      </c>
      <c r="W136" s="115">
        <f t="shared" ca="1" si="51"/>
        <v>0</v>
      </c>
      <c r="X136" s="115">
        <f t="shared" ca="1" si="51"/>
        <v>0</v>
      </c>
      <c r="Y136" s="115">
        <f t="shared" ca="1" si="51"/>
        <v>0</v>
      </c>
      <c r="Z136" s="115">
        <f t="shared" ca="1" si="51"/>
        <v>0</v>
      </c>
      <c r="AA136" s="115">
        <f t="shared" ca="1" si="51"/>
        <v>0</v>
      </c>
      <c r="AB136" s="115">
        <f t="shared" ca="1" si="51"/>
        <v>0</v>
      </c>
      <c r="AC136" s="115">
        <f t="shared" ca="1" si="51"/>
        <v>0</v>
      </c>
      <c r="AD136" s="115">
        <f t="shared" ca="1" si="51"/>
        <v>0</v>
      </c>
      <c r="AE136" s="115">
        <f t="shared" ca="1" si="51"/>
        <v>0</v>
      </c>
      <c r="AF136" s="115">
        <f t="shared" ca="1" si="51"/>
        <v>0</v>
      </c>
      <c r="AG136" s="115">
        <f t="shared" ca="1" si="51"/>
        <v>0</v>
      </c>
      <c r="AH136" s="115">
        <f t="shared" ca="1" si="51"/>
        <v>0</v>
      </c>
      <c r="AI136" s="115">
        <f t="shared" ca="1" si="51"/>
        <v>0</v>
      </c>
      <c r="AJ136" s="115">
        <f t="shared" ca="1" si="51"/>
        <v>0</v>
      </c>
      <c r="AK136" s="115">
        <f t="shared" ca="1" si="51"/>
        <v>0</v>
      </c>
      <c r="AL136" s="115">
        <f t="shared" ca="1" si="51"/>
        <v>0</v>
      </c>
      <c r="AM136" s="115">
        <f t="shared" ca="1" si="51"/>
        <v>0</v>
      </c>
      <c r="AN136" s="115">
        <f t="shared" ca="1" si="51"/>
        <v>0</v>
      </c>
      <c r="AO136" s="115">
        <f t="shared" ca="1" si="51"/>
        <v>0</v>
      </c>
    </row>
    <row r="137" spans="4:41">
      <c r="D137" s="111">
        <f t="shared" ca="1" si="27"/>
        <v>44792</v>
      </c>
      <c r="E137" s="115">
        <f t="shared" ref="E137:AO137" ca="1" si="52">E63*$C$36+E100*$C$73</f>
        <v>0</v>
      </c>
      <c r="F137" s="115">
        <f t="shared" ca="1" si="52"/>
        <v>0</v>
      </c>
      <c r="G137" s="115">
        <f t="shared" ca="1" si="52"/>
        <v>0</v>
      </c>
      <c r="H137" s="115">
        <f t="shared" ca="1" si="52"/>
        <v>0</v>
      </c>
      <c r="I137" s="115">
        <f t="shared" ca="1" si="52"/>
        <v>0</v>
      </c>
      <c r="J137" s="115">
        <f t="shared" ca="1" si="52"/>
        <v>0</v>
      </c>
      <c r="K137" s="115">
        <f t="shared" ca="1" si="52"/>
        <v>0</v>
      </c>
      <c r="L137" s="115">
        <f t="shared" ca="1" si="52"/>
        <v>0</v>
      </c>
      <c r="M137" s="115">
        <f t="shared" ca="1" si="52"/>
        <v>0</v>
      </c>
      <c r="N137" s="115">
        <f t="shared" ca="1" si="52"/>
        <v>0</v>
      </c>
      <c r="O137" s="115">
        <f t="shared" ca="1" si="52"/>
        <v>0</v>
      </c>
      <c r="P137" s="115">
        <f t="shared" ca="1" si="52"/>
        <v>0</v>
      </c>
      <c r="Q137" s="115">
        <f t="shared" ca="1" si="52"/>
        <v>0</v>
      </c>
      <c r="R137" s="115">
        <f t="shared" ca="1" si="52"/>
        <v>0</v>
      </c>
      <c r="S137" s="115">
        <f t="shared" ca="1" si="52"/>
        <v>0</v>
      </c>
      <c r="T137" s="115">
        <f t="shared" ca="1" si="52"/>
        <v>0</v>
      </c>
      <c r="U137" s="115">
        <f t="shared" ca="1" si="52"/>
        <v>0</v>
      </c>
      <c r="V137" s="115">
        <f t="shared" ca="1" si="52"/>
        <v>0</v>
      </c>
      <c r="W137" s="115">
        <f t="shared" ca="1" si="52"/>
        <v>0</v>
      </c>
      <c r="X137" s="115">
        <f t="shared" ca="1" si="52"/>
        <v>0</v>
      </c>
      <c r="Y137" s="115">
        <f t="shared" ca="1" si="52"/>
        <v>0</v>
      </c>
      <c r="Z137" s="115">
        <f t="shared" ca="1" si="52"/>
        <v>0</v>
      </c>
      <c r="AA137" s="115">
        <f t="shared" ca="1" si="52"/>
        <v>0</v>
      </c>
      <c r="AB137" s="115">
        <f t="shared" ca="1" si="52"/>
        <v>0</v>
      </c>
      <c r="AC137" s="115">
        <f t="shared" ca="1" si="52"/>
        <v>0</v>
      </c>
      <c r="AD137" s="115">
        <f t="shared" ca="1" si="52"/>
        <v>0</v>
      </c>
      <c r="AE137" s="115">
        <f t="shared" ca="1" si="52"/>
        <v>0</v>
      </c>
      <c r="AF137" s="115">
        <f t="shared" ca="1" si="52"/>
        <v>0</v>
      </c>
      <c r="AG137" s="115">
        <f t="shared" ca="1" si="52"/>
        <v>0</v>
      </c>
      <c r="AH137" s="115">
        <f t="shared" ca="1" si="52"/>
        <v>0</v>
      </c>
      <c r="AI137" s="115">
        <f t="shared" ca="1" si="52"/>
        <v>0</v>
      </c>
      <c r="AJ137" s="115">
        <f t="shared" ca="1" si="52"/>
        <v>0</v>
      </c>
      <c r="AK137" s="115">
        <f t="shared" ca="1" si="52"/>
        <v>0</v>
      </c>
      <c r="AL137" s="115">
        <f t="shared" ca="1" si="52"/>
        <v>0</v>
      </c>
      <c r="AM137" s="115">
        <f t="shared" ca="1" si="52"/>
        <v>0</v>
      </c>
      <c r="AN137" s="115">
        <f t="shared" ca="1" si="52"/>
        <v>0</v>
      </c>
      <c r="AO137" s="115">
        <f t="shared" ca="1" si="52"/>
        <v>0</v>
      </c>
    </row>
    <row r="138" spans="4:41">
      <c r="D138" s="111">
        <f t="shared" ca="1" si="27"/>
        <v>44795</v>
      </c>
      <c r="E138" s="115">
        <f t="shared" ref="E138:AO138" ca="1" si="53">E64*$C$36+E101*$C$73</f>
        <v>0</v>
      </c>
      <c r="F138" s="115">
        <f t="shared" ca="1" si="53"/>
        <v>0</v>
      </c>
      <c r="G138" s="115">
        <f t="shared" ca="1" si="53"/>
        <v>0</v>
      </c>
      <c r="H138" s="115">
        <f t="shared" ca="1" si="53"/>
        <v>0</v>
      </c>
      <c r="I138" s="115">
        <f t="shared" ca="1" si="53"/>
        <v>0</v>
      </c>
      <c r="J138" s="115">
        <f t="shared" ca="1" si="53"/>
        <v>0</v>
      </c>
      <c r="K138" s="115">
        <f t="shared" ca="1" si="53"/>
        <v>0</v>
      </c>
      <c r="L138" s="115">
        <f t="shared" ca="1" si="53"/>
        <v>0</v>
      </c>
      <c r="M138" s="115">
        <f t="shared" ca="1" si="53"/>
        <v>0</v>
      </c>
      <c r="N138" s="115">
        <f t="shared" ca="1" si="53"/>
        <v>0</v>
      </c>
      <c r="O138" s="115">
        <f t="shared" ca="1" si="53"/>
        <v>0</v>
      </c>
      <c r="P138" s="115">
        <f t="shared" ca="1" si="53"/>
        <v>0</v>
      </c>
      <c r="Q138" s="115">
        <f t="shared" ca="1" si="53"/>
        <v>0</v>
      </c>
      <c r="R138" s="115">
        <f t="shared" ca="1" si="53"/>
        <v>0</v>
      </c>
      <c r="S138" s="115">
        <f t="shared" ca="1" si="53"/>
        <v>0</v>
      </c>
      <c r="T138" s="115">
        <f t="shared" ca="1" si="53"/>
        <v>0</v>
      </c>
      <c r="U138" s="115">
        <f t="shared" ca="1" si="53"/>
        <v>0</v>
      </c>
      <c r="V138" s="115">
        <f t="shared" ca="1" si="53"/>
        <v>0</v>
      </c>
      <c r="W138" s="115">
        <f t="shared" ca="1" si="53"/>
        <v>0</v>
      </c>
      <c r="X138" s="115">
        <f t="shared" ca="1" si="53"/>
        <v>0</v>
      </c>
      <c r="Y138" s="115">
        <f t="shared" ca="1" si="53"/>
        <v>0</v>
      </c>
      <c r="Z138" s="115">
        <f t="shared" ca="1" si="53"/>
        <v>0</v>
      </c>
      <c r="AA138" s="115">
        <f t="shared" ca="1" si="53"/>
        <v>0</v>
      </c>
      <c r="AB138" s="115">
        <f t="shared" ca="1" si="53"/>
        <v>0</v>
      </c>
      <c r="AC138" s="115">
        <f t="shared" ca="1" si="53"/>
        <v>0</v>
      </c>
      <c r="AD138" s="115">
        <f t="shared" ca="1" si="53"/>
        <v>0</v>
      </c>
      <c r="AE138" s="115">
        <f t="shared" ca="1" si="53"/>
        <v>0</v>
      </c>
      <c r="AF138" s="115">
        <f t="shared" ca="1" si="53"/>
        <v>0</v>
      </c>
      <c r="AG138" s="115">
        <f t="shared" ca="1" si="53"/>
        <v>0</v>
      </c>
      <c r="AH138" s="115">
        <f t="shared" ca="1" si="53"/>
        <v>0</v>
      </c>
      <c r="AI138" s="115">
        <f t="shared" ca="1" si="53"/>
        <v>0</v>
      </c>
      <c r="AJ138" s="115">
        <f t="shared" ca="1" si="53"/>
        <v>0</v>
      </c>
      <c r="AK138" s="115">
        <f t="shared" ca="1" si="53"/>
        <v>0</v>
      </c>
      <c r="AL138" s="115">
        <f t="shared" ca="1" si="53"/>
        <v>0</v>
      </c>
      <c r="AM138" s="115">
        <f t="shared" ca="1" si="53"/>
        <v>0</v>
      </c>
      <c r="AN138" s="115">
        <f t="shared" ca="1" si="53"/>
        <v>0</v>
      </c>
      <c r="AO138" s="115">
        <f t="shared" ca="1" si="53"/>
        <v>0</v>
      </c>
    </row>
    <row r="139" spans="4:41">
      <c r="D139" s="111">
        <f t="shared" ca="1" si="27"/>
        <v>44796</v>
      </c>
      <c r="E139" s="115">
        <f t="shared" ref="E139:AO139" ca="1" si="54">E65*$C$36+E102*$C$73</f>
        <v>0</v>
      </c>
      <c r="F139" s="115">
        <f t="shared" ca="1" si="54"/>
        <v>0</v>
      </c>
      <c r="G139" s="115">
        <f t="shared" ca="1" si="54"/>
        <v>0</v>
      </c>
      <c r="H139" s="115">
        <f t="shared" ca="1" si="54"/>
        <v>0</v>
      </c>
      <c r="I139" s="115">
        <f t="shared" ca="1" si="54"/>
        <v>0</v>
      </c>
      <c r="J139" s="115">
        <f t="shared" ca="1" si="54"/>
        <v>0</v>
      </c>
      <c r="K139" s="115">
        <f t="shared" ca="1" si="54"/>
        <v>0</v>
      </c>
      <c r="L139" s="115">
        <f t="shared" ca="1" si="54"/>
        <v>0</v>
      </c>
      <c r="M139" s="115">
        <f t="shared" ca="1" si="54"/>
        <v>0</v>
      </c>
      <c r="N139" s="115">
        <f t="shared" ca="1" si="54"/>
        <v>0</v>
      </c>
      <c r="O139" s="115">
        <f t="shared" ca="1" si="54"/>
        <v>0</v>
      </c>
      <c r="P139" s="115">
        <f t="shared" ca="1" si="54"/>
        <v>0</v>
      </c>
      <c r="Q139" s="115">
        <f t="shared" ca="1" si="54"/>
        <v>0</v>
      </c>
      <c r="R139" s="115">
        <f t="shared" ca="1" si="54"/>
        <v>0</v>
      </c>
      <c r="S139" s="115">
        <f t="shared" ca="1" si="54"/>
        <v>0</v>
      </c>
      <c r="T139" s="115">
        <f t="shared" ca="1" si="54"/>
        <v>0</v>
      </c>
      <c r="U139" s="115">
        <f t="shared" ca="1" si="54"/>
        <v>0</v>
      </c>
      <c r="V139" s="115">
        <f t="shared" ca="1" si="54"/>
        <v>0</v>
      </c>
      <c r="W139" s="115">
        <f t="shared" ca="1" si="54"/>
        <v>0</v>
      </c>
      <c r="X139" s="115">
        <f t="shared" ca="1" si="54"/>
        <v>0</v>
      </c>
      <c r="Y139" s="115">
        <f t="shared" ca="1" si="54"/>
        <v>0</v>
      </c>
      <c r="Z139" s="115">
        <f t="shared" ca="1" si="54"/>
        <v>0</v>
      </c>
      <c r="AA139" s="115">
        <f t="shared" ca="1" si="54"/>
        <v>0</v>
      </c>
      <c r="AB139" s="115">
        <f t="shared" ca="1" si="54"/>
        <v>0</v>
      </c>
      <c r="AC139" s="115">
        <f t="shared" ca="1" si="54"/>
        <v>0</v>
      </c>
      <c r="AD139" s="115">
        <f t="shared" ca="1" si="54"/>
        <v>0</v>
      </c>
      <c r="AE139" s="115">
        <f t="shared" ca="1" si="54"/>
        <v>0</v>
      </c>
      <c r="AF139" s="115">
        <f t="shared" ca="1" si="54"/>
        <v>0</v>
      </c>
      <c r="AG139" s="115">
        <f t="shared" ca="1" si="54"/>
        <v>0</v>
      </c>
      <c r="AH139" s="115">
        <f t="shared" ca="1" si="54"/>
        <v>0</v>
      </c>
      <c r="AI139" s="115">
        <f t="shared" ca="1" si="54"/>
        <v>0</v>
      </c>
      <c r="AJ139" s="115">
        <f t="shared" ca="1" si="54"/>
        <v>0</v>
      </c>
      <c r="AK139" s="115">
        <f t="shared" ca="1" si="54"/>
        <v>0</v>
      </c>
      <c r="AL139" s="115">
        <f t="shared" ca="1" si="54"/>
        <v>0</v>
      </c>
      <c r="AM139" s="115">
        <f t="shared" ca="1" si="54"/>
        <v>0</v>
      </c>
      <c r="AN139" s="115">
        <f t="shared" ca="1" si="54"/>
        <v>0</v>
      </c>
      <c r="AO139" s="115">
        <f t="shared" ca="1" si="54"/>
        <v>0</v>
      </c>
    </row>
    <row r="140" spans="4:41">
      <c r="D140" s="111">
        <f t="shared" ca="1" si="27"/>
        <v>44797</v>
      </c>
      <c r="E140" s="115">
        <f t="shared" ref="E140:AO140" ca="1" si="55">E66*$C$36+E103*$C$73</f>
        <v>0</v>
      </c>
      <c r="F140" s="115">
        <f t="shared" ca="1" si="55"/>
        <v>0</v>
      </c>
      <c r="G140" s="115">
        <f t="shared" ca="1" si="55"/>
        <v>0</v>
      </c>
      <c r="H140" s="115">
        <f t="shared" ca="1" si="55"/>
        <v>0</v>
      </c>
      <c r="I140" s="115">
        <f t="shared" ca="1" si="55"/>
        <v>0</v>
      </c>
      <c r="J140" s="115">
        <f t="shared" ca="1" si="55"/>
        <v>0</v>
      </c>
      <c r="K140" s="115">
        <f t="shared" ca="1" si="55"/>
        <v>0</v>
      </c>
      <c r="L140" s="115">
        <f t="shared" ca="1" si="55"/>
        <v>0</v>
      </c>
      <c r="M140" s="115">
        <f t="shared" ca="1" si="55"/>
        <v>0</v>
      </c>
      <c r="N140" s="115">
        <f t="shared" ca="1" si="55"/>
        <v>0</v>
      </c>
      <c r="O140" s="115">
        <f t="shared" ca="1" si="55"/>
        <v>0</v>
      </c>
      <c r="P140" s="115">
        <f t="shared" ca="1" si="55"/>
        <v>0</v>
      </c>
      <c r="Q140" s="115">
        <f t="shared" ca="1" si="55"/>
        <v>0</v>
      </c>
      <c r="R140" s="115">
        <f t="shared" ca="1" si="55"/>
        <v>0</v>
      </c>
      <c r="S140" s="115">
        <f t="shared" ca="1" si="55"/>
        <v>0</v>
      </c>
      <c r="T140" s="115">
        <f t="shared" ca="1" si="55"/>
        <v>0</v>
      </c>
      <c r="U140" s="115">
        <f t="shared" ca="1" si="55"/>
        <v>0</v>
      </c>
      <c r="V140" s="115">
        <f t="shared" ca="1" si="55"/>
        <v>0</v>
      </c>
      <c r="W140" s="115">
        <f t="shared" ca="1" si="55"/>
        <v>0</v>
      </c>
      <c r="X140" s="115">
        <f t="shared" ca="1" si="55"/>
        <v>0</v>
      </c>
      <c r="Y140" s="115">
        <f t="shared" ca="1" si="55"/>
        <v>0</v>
      </c>
      <c r="Z140" s="115">
        <f t="shared" ca="1" si="55"/>
        <v>0</v>
      </c>
      <c r="AA140" s="115">
        <f t="shared" ca="1" si="55"/>
        <v>0</v>
      </c>
      <c r="AB140" s="115">
        <f t="shared" ca="1" si="55"/>
        <v>0</v>
      </c>
      <c r="AC140" s="115">
        <f t="shared" ca="1" si="55"/>
        <v>0</v>
      </c>
      <c r="AD140" s="115">
        <f t="shared" ca="1" si="55"/>
        <v>0</v>
      </c>
      <c r="AE140" s="115">
        <f t="shared" ca="1" si="55"/>
        <v>0</v>
      </c>
      <c r="AF140" s="115">
        <f t="shared" ca="1" si="55"/>
        <v>0</v>
      </c>
      <c r="AG140" s="115">
        <f t="shared" ca="1" si="55"/>
        <v>0</v>
      </c>
      <c r="AH140" s="115">
        <f t="shared" ca="1" si="55"/>
        <v>0</v>
      </c>
      <c r="AI140" s="115">
        <f t="shared" ca="1" si="55"/>
        <v>0</v>
      </c>
      <c r="AJ140" s="115">
        <f t="shared" ca="1" si="55"/>
        <v>0</v>
      </c>
      <c r="AK140" s="115">
        <f t="shared" ca="1" si="55"/>
        <v>0</v>
      </c>
      <c r="AL140" s="115">
        <f t="shared" ca="1" si="55"/>
        <v>0</v>
      </c>
      <c r="AM140" s="115">
        <f t="shared" ca="1" si="55"/>
        <v>0</v>
      </c>
      <c r="AN140" s="115">
        <f t="shared" ca="1" si="55"/>
        <v>0</v>
      </c>
      <c r="AO140" s="115">
        <f t="shared" ca="1" si="55"/>
        <v>0</v>
      </c>
    </row>
    <row r="141" spans="4:41">
      <c r="D141" s="111">
        <f t="shared" ca="1" si="27"/>
        <v>44798</v>
      </c>
      <c r="E141" s="115">
        <f t="shared" ref="E141:AO141" ca="1" si="56">E67*$C$36+E104*$C$73</f>
        <v>0</v>
      </c>
      <c r="F141" s="115">
        <f t="shared" ca="1" si="56"/>
        <v>0</v>
      </c>
      <c r="G141" s="115">
        <f t="shared" ca="1" si="56"/>
        <v>0</v>
      </c>
      <c r="H141" s="115">
        <f t="shared" ca="1" si="56"/>
        <v>0</v>
      </c>
      <c r="I141" s="115">
        <f t="shared" ca="1" si="56"/>
        <v>0</v>
      </c>
      <c r="J141" s="115">
        <f t="shared" ca="1" si="56"/>
        <v>0</v>
      </c>
      <c r="K141" s="115">
        <f t="shared" ca="1" si="56"/>
        <v>0</v>
      </c>
      <c r="L141" s="115">
        <f t="shared" ca="1" si="56"/>
        <v>0</v>
      </c>
      <c r="M141" s="115">
        <f t="shared" ca="1" si="56"/>
        <v>0</v>
      </c>
      <c r="N141" s="115">
        <f t="shared" ca="1" si="56"/>
        <v>0</v>
      </c>
      <c r="O141" s="115">
        <f t="shared" ca="1" si="56"/>
        <v>0</v>
      </c>
      <c r="P141" s="115">
        <f t="shared" ca="1" si="56"/>
        <v>0</v>
      </c>
      <c r="Q141" s="115">
        <f t="shared" ca="1" si="56"/>
        <v>0</v>
      </c>
      <c r="R141" s="115">
        <f t="shared" ca="1" si="56"/>
        <v>0</v>
      </c>
      <c r="S141" s="115">
        <f t="shared" ca="1" si="56"/>
        <v>0</v>
      </c>
      <c r="T141" s="115">
        <f t="shared" ca="1" si="56"/>
        <v>0</v>
      </c>
      <c r="U141" s="115">
        <f t="shared" ca="1" si="56"/>
        <v>0</v>
      </c>
      <c r="V141" s="115">
        <f t="shared" ca="1" si="56"/>
        <v>0</v>
      </c>
      <c r="W141" s="115">
        <f t="shared" ca="1" si="56"/>
        <v>0</v>
      </c>
      <c r="X141" s="115">
        <f t="shared" ca="1" si="56"/>
        <v>0</v>
      </c>
      <c r="Y141" s="115">
        <f t="shared" ca="1" si="56"/>
        <v>0</v>
      </c>
      <c r="Z141" s="115">
        <f t="shared" ca="1" si="56"/>
        <v>0</v>
      </c>
      <c r="AA141" s="115">
        <f t="shared" ca="1" si="56"/>
        <v>0</v>
      </c>
      <c r="AB141" s="115">
        <f t="shared" ca="1" si="56"/>
        <v>0</v>
      </c>
      <c r="AC141" s="115">
        <f t="shared" ca="1" si="56"/>
        <v>0</v>
      </c>
      <c r="AD141" s="115">
        <f t="shared" ca="1" si="56"/>
        <v>0</v>
      </c>
      <c r="AE141" s="115">
        <f t="shared" ca="1" si="56"/>
        <v>0</v>
      </c>
      <c r="AF141" s="115">
        <f t="shared" ca="1" si="56"/>
        <v>0</v>
      </c>
      <c r="AG141" s="115">
        <f t="shared" ca="1" si="56"/>
        <v>0</v>
      </c>
      <c r="AH141" s="115">
        <f t="shared" ca="1" si="56"/>
        <v>0</v>
      </c>
      <c r="AI141" s="115">
        <f t="shared" ca="1" si="56"/>
        <v>0</v>
      </c>
      <c r="AJ141" s="115">
        <f t="shared" ca="1" si="56"/>
        <v>0</v>
      </c>
      <c r="AK141" s="115">
        <f t="shared" ca="1" si="56"/>
        <v>0</v>
      </c>
      <c r="AL141" s="115">
        <f t="shared" ca="1" si="56"/>
        <v>0</v>
      </c>
      <c r="AM141" s="115">
        <f t="shared" ca="1" si="56"/>
        <v>0</v>
      </c>
      <c r="AN141" s="115">
        <f t="shared" ca="1" si="56"/>
        <v>0</v>
      </c>
      <c r="AO141" s="115">
        <f t="shared" ca="1" si="56"/>
        <v>0</v>
      </c>
    </row>
    <row r="142" spans="4:41">
      <c r="D142" s="111">
        <f t="shared" ca="1" si="27"/>
        <v>44799</v>
      </c>
      <c r="E142" s="115">
        <f t="shared" ref="E142:AO142" ca="1" si="57">E68*$C$36+E105*$C$73</f>
        <v>0</v>
      </c>
      <c r="F142" s="115">
        <f t="shared" ca="1" si="57"/>
        <v>0</v>
      </c>
      <c r="G142" s="115">
        <f t="shared" ca="1" si="57"/>
        <v>0</v>
      </c>
      <c r="H142" s="115">
        <f t="shared" ca="1" si="57"/>
        <v>0</v>
      </c>
      <c r="I142" s="115">
        <f t="shared" ca="1" si="57"/>
        <v>0</v>
      </c>
      <c r="J142" s="115">
        <f t="shared" ca="1" si="57"/>
        <v>0</v>
      </c>
      <c r="K142" s="115">
        <f t="shared" ca="1" si="57"/>
        <v>0</v>
      </c>
      <c r="L142" s="115">
        <f t="shared" ca="1" si="57"/>
        <v>0</v>
      </c>
      <c r="M142" s="115">
        <f t="shared" ca="1" si="57"/>
        <v>0</v>
      </c>
      <c r="N142" s="115">
        <f t="shared" ca="1" si="57"/>
        <v>0</v>
      </c>
      <c r="O142" s="115">
        <f t="shared" ca="1" si="57"/>
        <v>0</v>
      </c>
      <c r="P142" s="115">
        <f t="shared" ca="1" si="57"/>
        <v>0</v>
      </c>
      <c r="Q142" s="115">
        <f t="shared" ca="1" si="57"/>
        <v>0</v>
      </c>
      <c r="R142" s="115">
        <f t="shared" ca="1" si="57"/>
        <v>0</v>
      </c>
      <c r="S142" s="115">
        <f t="shared" ca="1" si="57"/>
        <v>0</v>
      </c>
      <c r="T142" s="115">
        <f t="shared" ca="1" si="57"/>
        <v>0</v>
      </c>
      <c r="U142" s="115">
        <f t="shared" ca="1" si="57"/>
        <v>0</v>
      </c>
      <c r="V142" s="115">
        <f t="shared" ca="1" si="57"/>
        <v>0</v>
      </c>
      <c r="W142" s="115">
        <f t="shared" ca="1" si="57"/>
        <v>0</v>
      </c>
      <c r="X142" s="115">
        <f t="shared" ca="1" si="57"/>
        <v>0</v>
      </c>
      <c r="Y142" s="115">
        <f t="shared" ca="1" si="57"/>
        <v>0</v>
      </c>
      <c r="Z142" s="115">
        <f t="shared" ca="1" si="57"/>
        <v>0</v>
      </c>
      <c r="AA142" s="115">
        <f t="shared" ca="1" si="57"/>
        <v>0</v>
      </c>
      <c r="AB142" s="115">
        <f t="shared" ca="1" si="57"/>
        <v>0</v>
      </c>
      <c r="AC142" s="115">
        <f t="shared" ca="1" si="57"/>
        <v>0</v>
      </c>
      <c r="AD142" s="115">
        <f t="shared" ca="1" si="57"/>
        <v>0</v>
      </c>
      <c r="AE142" s="115">
        <f t="shared" ca="1" si="57"/>
        <v>0</v>
      </c>
      <c r="AF142" s="115">
        <f t="shared" ca="1" si="57"/>
        <v>0</v>
      </c>
      <c r="AG142" s="115">
        <f t="shared" ca="1" si="57"/>
        <v>0</v>
      </c>
      <c r="AH142" s="115">
        <f t="shared" ca="1" si="57"/>
        <v>0</v>
      </c>
      <c r="AI142" s="115">
        <f t="shared" ca="1" si="57"/>
        <v>0</v>
      </c>
      <c r="AJ142" s="115">
        <f t="shared" ca="1" si="57"/>
        <v>0</v>
      </c>
      <c r="AK142" s="115">
        <f t="shared" ca="1" si="57"/>
        <v>0</v>
      </c>
      <c r="AL142" s="115">
        <f t="shared" ca="1" si="57"/>
        <v>0</v>
      </c>
      <c r="AM142" s="115">
        <f t="shared" ca="1" si="57"/>
        <v>0</v>
      </c>
      <c r="AN142" s="115">
        <f t="shared" ca="1" si="57"/>
        <v>0</v>
      </c>
      <c r="AO142" s="115">
        <f t="shared" ca="1" si="57"/>
        <v>0</v>
      </c>
    </row>
    <row r="148" spans="2:41">
      <c r="E148" s="18">
        <v>0.97</v>
      </c>
    </row>
    <row r="149" spans="2:41">
      <c r="D149" s="104">
        <v>2E-3</v>
      </c>
      <c r="E149" s="104"/>
      <c r="H149" s="18"/>
      <c r="K149" s="30"/>
      <c r="M149" s="18"/>
      <c r="P149" s="30"/>
      <c r="R149" s="18"/>
      <c r="U149" s="30"/>
      <c r="W149" s="18"/>
      <c r="Z149" s="30"/>
      <c r="AB149" s="18"/>
    </row>
    <row r="150" spans="2:41">
      <c r="B150" s="22" t="s">
        <v>548</v>
      </c>
      <c r="C150" s="23" t="str">
        <f>C72</f>
        <v>AttributeError: 'float' object has no attribute 'upper'
    return True if code.upper() in index_list else False
  File "F:\Programs\lib\site-packages\nsetools\nse.py", line 321, in is_valid_index
    if self.is_valid_index(code):
  File "F:\Programs\lib\site-packages\nsetools\nse.py", line 332, in get_index_quote
    indexQuote = nse.get_index_quote(symbol)['lastPrice']
  File "f:\mrig analytics\development\mriganalytics\interface\..\mrigutilities.py", line 608, in getIndexQuote
    quote = mu.getIndexQuote(symbol)
  File "f:\mrig analytics\development\mriganalytics\interface\pyxcel.py", line 132, in mrigxl_getIndexQuote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D150" s="13" t="s">
        <v>79</v>
      </c>
      <c r="E150" s="109" t="e">
        <f>E148*C150</f>
        <v>#VALUE!</v>
      </c>
      <c r="F150" s="110" t="e">
        <f t="shared" ref="F150:AO150" si="58">E150*(1+$D$34)</f>
        <v>#VALUE!</v>
      </c>
      <c r="G150" s="110" t="e">
        <f t="shared" si="58"/>
        <v>#VALUE!</v>
      </c>
      <c r="H150" s="110" t="e">
        <f t="shared" si="58"/>
        <v>#VALUE!</v>
      </c>
      <c r="I150" s="110" t="e">
        <f t="shared" si="58"/>
        <v>#VALUE!</v>
      </c>
      <c r="J150" s="110" t="e">
        <f t="shared" si="58"/>
        <v>#VALUE!</v>
      </c>
      <c r="K150" s="110" t="e">
        <f t="shared" si="58"/>
        <v>#VALUE!</v>
      </c>
      <c r="L150" s="110" t="e">
        <f t="shared" si="58"/>
        <v>#VALUE!</v>
      </c>
      <c r="M150" s="110" t="e">
        <f t="shared" si="58"/>
        <v>#VALUE!</v>
      </c>
      <c r="N150" s="110" t="e">
        <f t="shared" si="58"/>
        <v>#VALUE!</v>
      </c>
      <c r="O150" s="110" t="e">
        <f t="shared" si="58"/>
        <v>#VALUE!</v>
      </c>
      <c r="P150" s="110" t="e">
        <f t="shared" si="58"/>
        <v>#VALUE!</v>
      </c>
      <c r="Q150" s="110" t="e">
        <f t="shared" si="58"/>
        <v>#VALUE!</v>
      </c>
      <c r="R150" s="110" t="e">
        <f t="shared" si="58"/>
        <v>#VALUE!</v>
      </c>
      <c r="S150" s="110" t="e">
        <f t="shared" si="58"/>
        <v>#VALUE!</v>
      </c>
      <c r="T150" s="110" t="e">
        <f t="shared" si="58"/>
        <v>#VALUE!</v>
      </c>
      <c r="U150" s="110" t="e">
        <f t="shared" si="58"/>
        <v>#VALUE!</v>
      </c>
      <c r="V150" s="110" t="e">
        <f t="shared" si="58"/>
        <v>#VALUE!</v>
      </c>
      <c r="W150" s="110" t="e">
        <f t="shared" si="58"/>
        <v>#VALUE!</v>
      </c>
      <c r="X150" s="110" t="e">
        <f t="shared" si="58"/>
        <v>#VALUE!</v>
      </c>
      <c r="Y150" s="110" t="e">
        <f t="shared" si="58"/>
        <v>#VALUE!</v>
      </c>
      <c r="Z150" s="110" t="e">
        <f t="shared" si="58"/>
        <v>#VALUE!</v>
      </c>
      <c r="AA150" s="110" t="e">
        <f t="shared" si="58"/>
        <v>#VALUE!</v>
      </c>
      <c r="AB150" s="110" t="e">
        <f t="shared" si="58"/>
        <v>#VALUE!</v>
      </c>
      <c r="AC150" s="110" t="e">
        <f t="shared" si="58"/>
        <v>#VALUE!</v>
      </c>
      <c r="AD150" s="110" t="e">
        <f t="shared" si="58"/>
        <v>#VALUE!</v>
      </c>
      <c r="AE150" s="110" t="e">
        <f t="shared" si="58"/>
        <v>#VALUE!</v>
      </c>
      <c r="AF150" s="110" t="e">
        <f t="shared" si="58"/>
        <v>#VALUE!</v>
      </c>
      <c r="AG150" s="110" t="e">
        <f t="shared" si="58"/>
        <v>#VALUE!</v>
      </c>
      <c r="AH150" s="110" t="e">
        <f t="shared" si="58"/>
        <v>#VALUE!</v>
      </c>
      <c r="AI150" s="110" t="e">
        <f t="shared" si="58"/>
        <v>#VALUE!</v>
      </c>
      <c r="AJ150" s="110" t="e">
        <f t="shared" si="58"/>
        <v>#VALUE!</v>
      </c>
      <c r="AK150" s="110" t="e">
        <f t="shared" si="58"/>
        <v>#VALUE!</v>
      </c>
      <c r="AL150" s="110" t="e">
        <f t="shared" si="58"/>
        <v>#VALUE!</v>
      </c>
      <c r="AM150" s="110" t="e">
        <f t="shared" si="58"/>
        <v>#VALUE!</v>
      </c>
      <c r="AN150" s="110" t="e">
        <f t="shared" si="58"/>
        <v>#VALUE!</v>
      </c>
      <c r="AO150" s="110" t="e">
        <f t="shared" si="58"/>
        <v>#VALUE!</v>
      </c>
    </row>
    <row r="151" spans="2:41">
      <c r="B151" s="22" t="s">
        <v>543</v>
      </c>
      <c r="C151" s="23">
        <v>-1</v>
      </c>
      <c r="D151" s="114">
        <f ca="1">WORKDAY(TODAY(),-1)</f>
        <v>44755</v>
      </c>
      <c r="E151" s="127" t="e">
        <f>E150/$C$35-1</f>
        <v>#VALUE!</v>
      </c>
      <c r="F151" s="127" t="e">
        <f t="shared" ref="F151:AO151" si="59">F150/$C$35-1</f>
        <v>#VALUE!</v>
      </c>
      <c r="G151" s="127" t="e">
        <f t="shared" si="59"/>
        <v>#VALUE!</v>
      </c>
      <c r="H151" s="127" t="e">
        <f t="shared" si="59"/>
        <v>#VALUE!</v>
      </c>
      <c r="I151" s="127" t="e">
        <f t="shared" si="59"/>
        <v>#VALUE!</v>
      </c>
      <c r="J151" s="127" t="e">
        <f t="shared" si="59"/>
        <v>#VALUE!</v>
      </c>
      <c r="K151" s="127" t="e">
        <f t="shared" si="59"/>
        <v>#VALUE!</v>
      </c>
      <c r="L151" s="127" t="e">
        <f t="shared" si="59"/>
        <v>#VALUE!</v>
      </c>
      <c r="M151" s="127" t="e">
        <f t="shared" si="59"/>
        <v>#VALUE!</v>
      </c>
      <c r="N151" s="127" t="e">
        <f t="shared" si="59"/>
        <v>#VALUE!</v>
      </c>
      <c r="O151" s="127" t="e">
        <f t="shared" si="59"/>
        <v>#VALUE!</v>
      </c>
      <c r="P151" s="127" t="e">
        <f t="shared" si="59"/>
        <v>#VALUE!</v>
      </c>
      <c r="Q151" s="127" t="e">
        <f t="shared" si="59"/>
        <v>#VALUE!</v>
      </c>
      <c r="R151" s="127" t="e">
        <f t="shared" si="59"/>
        <v>#VALUE!</v>
      </c>
      <c r="S151" s="127" t="e">
        <f t="shared" si="59"/>
        <v>#VALUE!</v>
      </c>
      <c r="T151" s="127" t="e">
        <f t="shared" si="59"/>
        <v>#VALUE!</v>
      </c>
      <c r="U151" s="127" t="e">
        <f t="shared" si="59"/>
        <v>#VALUE!</v>
      </c>
      <c r="V151" s="127" t="e">
        <f t="shared" si="59"/>
        <v>#VALUE!</v>
      </c>
      <c r="W151" s="127" t="e">
        <f t="shared" si="59"/>
        <v>#VALUE!</v>
      </c>
      <c r="X151" s="127" t="e">
        <f t="shared" si="59"/>
        <v>#VALUE!</v>
      </c>
      <c r="Y151" s="127" t="e">
        <f t="shared" si="59"/>
        <v>#VALUE!</v>
      </c>
      <c r="Z151" s="127" t="e">
        <f t="shared" si="59"/>
        <v>#VALUE!</v>
      </c>
      <c r="AA151" s="127" t="e">
        <f t="shared" si="59"/>
        <v>#VALUE!</v>
      </c>
      <c r="AB151" s="127" t="e">
        <f t="shared" si="59"/>
        <v>#VALUE!</v>
      </c>
      <c r="AC151" s="127" t="e">
        <f t="shared" si="59"/>
        <v>#VALUE!</v>
      </c>
      <c r="AD151" s="127" t="e">
        <f t="shared" si="59"/>
        <v>#VALUE!</v>
      </c>
      <c r="AE151" s="127" t="e">
        <f t="shared" si="59"/>
        <v>#VALUE!</v>
      </c>
      <c r="AF151" s="127" t="e">
        <f t="shared" si="59"/>
        <v>#VALUE!</v>
      </c>
      <c r="AG151" s="127" t="e">
        <f t="shared" si="59"/>
        <v>#VALUE!</v>
      </c>
      <c r="AH151" s="127" t="e">
        <f t="shared" si="59"/>
        <v>#VALUE!</v>
      </c>
      <c r="AI151" s="127" t="e">
        <f t="shared" si="59"/>
        <v>#VALUE!</v>
      </c>
      <c r="AJ151" s="127" t="e">
        <f t="shared" si="59"/>
        <v>#VALUE!</v>
      </c>
      <c r="AK151" s="127" t="e">
        <f t="shared" si="59"/>
        <v>#VALUE!</v>
      </c>
      <c r="AL151" s="127" t="e">
        <f t="shared" si="59"/>
        <v>#VALUE!</v>
      </c>
      <c r="AM151" s="127" t="e">
        <f t="shared" si="59"/>
        <v>#VALUE!</v>
      </c>
      <c r="AN151" s="127" t="e">
        <f t="shared" si="59"/>
        <v>#VALUE!</v>
      </c>
      <c r="AO151" s="127" t="e">
        <f t="shared" si="59"/>
        <v>#VALUE!</v>
      </c>
    </row>
    <row r="152" spans="2:41">
      <c r="B152" s="22" t="s">
        <v>22</v>
      </c>
      <c r="C152" s="23">
        <v>17500</v>
      </c>
      <c r="D152" s="133">
        <f ca="1">($C$153-WORKDAY(D151,1))/365</f>
        <v>-0.76438356164383559</v>
      </c>
      <c r="E152" s="115">
        <f t="shared" ref="E152:E168" ca="1" si="60">IFERROR((OptionPrice(LEFT($C$42),E$35,$C$37,$D152,$C$39,$C$41,$C$40)-$C$43)*$C$44,0)</f>
        <v>0</v>
      </c>
      <c r="F152" s="115">
        <f t="shared" ref="F152:U167" ca="1" si="61">IFERROR((OptionPrice(LEFT($C$42),F$35,$C$37,$D152,$C$39,$C$41,$C$40)-$C$43)*$C$44,0)</f>
        <v>0</v>
      </c>
      <c r="G152" s="115">
        <f t="shared" ca="1" si="61"/>
        <v>0</v>
      </c>
      <c r="H152" s="115">
        <f t="shared" ca="1" si="61"/>
        <v>0</v>
      </c>
      <c r="I152" s="115">
        <f t="shared" ca="1" si="61"/>
        <v>0</v>
      </c>
      <c r="J152" s="115">
        <f t="shared" ca="1" si="61"/>
        <v>0</v>
      </c>
      <c r="K152" s="115">
        <f t="shared" ca="1" si="61"/>
        <v>0</v>
      </c>
      <c r="L152" s="115">
        <f t="shared" ca="1" si="61"/>
        <v>0</v>
      </c>
      <c r="M152" s="115">
        <f t="shared" ca="1" si="61"/>
        <v>0</v>
      </c>
      <c r="N152" s="115">
        <f t="shared" ca="1" si="61"/>
        <v>0</v>
      </c>
      <c r="O152" s="115">
        <f t="shared" ca="1" si="61"/>
        <v>0</v>
      </c>
      <c r="P152" s="115">
        <f t="shared" ca="1" si="61"/>
        <v>0</v>
      </c>
      <c r="Q152" s="115">
        <f t="shared" ca="1" si="61"/>
        <v>0</v>
      </c>
      <c r="R152" s="115">
        <f t="shared" ca="1" si="61"/>
        <v>0</v>
      </c>
      <c r="S152" s="115">
        <f t="shared" ca="1" si="61"/>
        <v>0</v>
      </c>
      <c r="T152" s="115">
        <f t="shared" ca="1" si="61"/>
        <v>0</v>
      </c>
      <c r="U152" s="115">
        <f t="shared" ca="1" si="61"/>
        <v>0</v>
      </c>
      <c r="V152" s="115">
        <f t="shared" ref="V152:AK167" ca="1" si="62">IFERROR((OptionPrice(LEFT($C$42),V$35,$C$37,$D152,$C$39,$C$41,$C$40)-$C$43)*$C$44,0)</f>
        <v>0</v>
      </c>
      <c r="W152" s="115">
        <f t="shared" ca="1" si="62"/>
        <v>0</v>
      </c>
      <c r="X152" s="115">
        <f t="shared" ca="1" si="62"/>
        <v>0</v>
      </c>
      <c r="Y152" s="115">
        <f t="shared" ca="1" si="62"/>
        <v>0</v>
      </c>
      <c r="Z152" s="115">
        <f t="shared" ca="1" si="62"/>
        <v>0</v>
      </c>
      <c r="AA152" s="115">
        <f t="shared" ca="1" si="62"/>
        <v>0</v>
      </c>
      <c r="AB152" s="115">
        <f t="shared" ca="1" si="62"/>
        <v>0</v>
      </c>
      <c r="AC152" s="115">
        <f t="shared" ca="1" si="62"/>
        <v>0</v>
      </c>
      <c r="AD152" s="115">
        <f t="shared" ca="1" si="62"/>
        <v>0</v>
      </c>
      <c r="AE152" s="115">
        <f t="shared" ca="1" si="62"/>
        <v>0</v>
      </c>
      <c r="AF152" s="115">
        <f t="shared" ca="1" si="62"/>
        <v>0</v>
      </c>
      <c r="AG152" s="115">
        <f t="shared" ca="1" si="62"/>
        <v>0</v>
      </c>
      <c r="AH152" s="115">
        <f t="shared" ca="1" si="62"/>
        <v>0</v>
      </c>
      <c r="AI152" s="115">
        <f t="shared" ca="1" si="62"/>
        <v>0</v>
      </c>
      <c r="AJ152" s="115">
        <f t="shared" ca="1" si="62"/>
        <v>0</v>
      </c>
      <c r="AK152" s="115">
        <f t="shared" ca="1" si="62"/>
        <v>0</v>
      </c>
      <c r="AL152" s="115">
        <f t="shared" ref="AL152:AO183" ca="1" si="63">IFERROR((OptionPrice(LEFT($C$42),AL$35,$C$37,$D152,$C$39,$C$41,$C$40)-$C$43)*$C$44,0)</f>
        <v>0</v>
      </c>
      <c r="AM152" s="115">
        <f t="shared" ca="1" si="63"/>
        <v>0</v>
      </c>
      <c r="AN152" s="115">
        <f t="shared" ca="1" si="63"/>
        <v>0</v>
      </c>
      <c r="AO152" s="115">
        <f t="shared" ca="1" si="63"/>
        <v>0</v>
      </c>
    </row>
    <row r="153" spans="2:41">
      <c r="B153" s="22" t="s">
        <v>78</v>
      </c>
      <c r="C153" s="106">
        <v>44477</v>
      </c>
      <c r="D153" s="133">
        <f ca="1">D152-4/24/365</f>
        <v>-0.76484018264840181</v>
      </c>
      <c r="E153" s="115">
        <f t="shared" ca="1" si="60"/>
        <v>0</v>
      </c>
      <c r="F153" s="115">
        <f t="shared" ca="1" si="61"/>
        <v>0</v>
      </c>
      <c r="G153" s="115">
        <f t="shared" ca="1" si="61"/>
        <v>0</v>
      </c>
      <c r="H153" s="115">
        <f t="shared" ca="1" si="61"/>
        <v>0</v>
      </c>
      <c r="I153" s="115">
        <f t="shared" ca="1" si="61"/>
        <v>0</v>
      </c>
      <c r="J153" s="115">
        <f t="shared" ca="1" si="61"/>
        <v>0</v>
      </c>
      <c r="K153" s="115">
        <f t="shared" ca="1" si="61"/>
        <v>0</v>
      </c>
      <c r="L153" s="115">
        <f t="shared" ca="1" si="61"/>
        <v>0</v>
      </c>
      <c r="M153" s="115">
        <f t="shared" ca="1" si="61"/>
        <v>0</v>
      </c>
      <c r="N153" s="115">
        <f t="shared" ca="1" si="61"/>
        <v>0</v>
      </c>
      <c r="O153" s="115">
        <f t="shared" ca="1" si="61"/>
        <v>0</v>
      </c>
      <c r="P153" s="115">
        <f t="shared" ca="1" si="61"/>
        <v>0</v>
      </c>
      <c r="Q153" s="115">
        <f t="shared" ca="1" si="61"/>
        <v>0</v>
      </c>
      <c r="R153" s="115">
        <f t="shared" ca="1" si="61"/>
        <v>0</v>
      </c>
      <c r="S153" s="115">
        <f t="shared" ca="1" si="61"/>
        <v>0</v>
      </c>
      <c r="T153" s="115">
        <f t="shared" ca="1" si="61"/>
        <v>0</v>
      </c>
      <c r="U153" s="115">
        <f t="shared" ca="1" si="61"/>
        <v>0</v>
      </c>
      <c r="V153" s="115">
        <f t="shared" ca="1" si="62"/>
        <v>0</v>
      </c>
      <c r="W153" s="115">
        <f t="shared" ca="1" si="62"/>
        <v>0</v>
      </c>
      <c r="X153" s="115">
        <f t="shared" ca="1" si="62"/>
        <v>0</v>
      </c>
      <c r="Y153" s="115">
        <f t="shared" ca="1" si="62"/>
        <v>0</v>
      </c>
      <c r="Z153" s="115">
        <f t="shared" ca="1" si="62"/>
        <v>0</v>
      </c>
      <c r="AA153" s="115">
        <f t="shared" ca="1" si="62"/>
        <v>0</v>
      </c>
      <c r="AB153" s="115">
        <f t="shared" ca="1" si="62"/>
        <v>0</v>
      </c>
      <c r="AC153" s="115">
        <f t="shared" ca="1" si="62"/>
        <v>0</v>
      </c>
      <c r="AD153" s="115">
        <f t="shared" ca="1" si="62"/>
        <v>0</v>
      </c>
      <c r="AE153" s="115">
        <f t="shared" ca="1" si="62"/>
        <v>0</v>
      </c>
      <c r="AF153" s="115">
        <f t="shared" ca="1" si="62"/>
        <v>0</v>
      </c>
      <c r="AG153" s="115">
        <f t="shared" ca="1" si="62"/>
        <v>0</v>
      </c>
      <c r="AH153" s="115">
        <f t="shared" ca="1" si="62"/>
        <v>0</v>
      </c>
      <c r="AI153" s="115">
        <f t="shared" ca="1" si="62"/>
        <v>0</v>
      </c>
      <c r="AJ153" s="115">
        <f t="shared" ca="1" si="62"/>
        <v>0</v>
      </c>
      <c r="AK153" s="115">
        <f t="shared" ca="1" si="62"/>
        <v>0</v>
      </c>
      <c r="AL153" s="115">
        <f t="shared" ca="1" si="63"/>
        <v>0</v>
      </c>
      <c r="AM153" s="115">
        <f t="shared" ca="1" si="63"/>
        <v>0</v>
      </c>
      <c r="AN153" s="115">
        <f t="shared" ca="1" si="63"/>
        <v>0</v>
      </c>
      <c r="AO153" s="115">
        <f t="shared" ca="1" si="63"/>
        <v>0</v>
      </c>
    </row>
    <row r="154" spans="2:41">
      <c r="B154" s="22" t="s">
        <v>504</v>
      </c>
      <c r="C154" s="107">
        <v>0.05</v>
      </c>
      <c r="D154" s="133">
        <f t="shared" ref="D154:D183" ca="1" si="64">D153-4/24/365</f>
        <v>-0.76529680365296804</v>
      </c>
      <c r="E154" s="115">
        <f t="shared" ca="1" si="60"/>
        <v>0</v>
      </c>
      <c r="F154" s="115">
        <f t="shared" ca="1" si="61"/>
        <v>0</v>
      </c>
      <c r="G154" s="115">
        <f t="shared" ca="1" si="61"/>
        <v>0</v>
      </c>
      <c r="H154" s="115">
        <f t="shared" ca="1" si="61"/>
        <v>0</v>
      </c>
      <c r="I154" s="115">
        <f t="shared" ca="1" si="61"/>
        <v>0</v>
      </c>
      <c r="J154" s="115">
        <f t="shared" ca="1" si="61"/>
        <v>0</v>
      </c>
      <c r="K154" s="115">
        <f t="shared" ca="1" si="61"/>
        <v>0</v>
      </c>
      <c r="L154" s="115">
        <f t="shared" ca="1" si="61"/>
        <v>0</v>
      </c>
      <c r="M154" s="115">
        <f t="shared" ca="1" si="61"/>
        <v>0</v>
      </c>
      <c r="N154" s="115">
        <f t="shared" ca="1" si="61"/>
        <v>0</v>
      </c>
      <c r="O154" s="115">
        <f t="shared" ca="1" si="61"/>
        <v>0</v>
      </c>
      <c r="P154" s="115">
        <f t="shared" ca="1" si="61"/>
        <v>0</v>
      </c>
      <c r="Q154" s="115">
        <f t="shared" ca="1" si="61"/>
        <v>0</v>
      </c>
      <c r="R154" s="115">
        <f t="shared" ca="1" si="61"/>
        <v>0</v>
      </c>
      <c r="S154" s="115">
        <f t="shared" ca="1" si="61"/>
        <v>0</v>
      </c>
      <c r="T154" s="115">
        <f t="shared" ca="1" si="61"/>
        <v>0</v>
      </c>
      <c r="U154" s="115">
        <f t="shared" ca="1" si="61"/>
        <v>0</v>
      </c>
      <c r="V154" s="115">
        <f t="shared" ca="1" si="62"/>
        <v>0</v>
      </c>
      <c r="W154" s="115">
        <f t="shared" ca="1" si="62"/>
        <v>0</v>
      </c>
      <c r="X154" s="115">
        <f t="shared" ca="1" si="62"/>
        <v>0</v>
      </c>
      <c r="Y154" s="115">
        <f t="shared" ca="1" si="62"/>
        <v>0</v>
      </c>
      <c r="Z154" s="115">
        <f t="shared" ca="1" si="62"/>
        <v>0</v>
      </c>
      <c r="AA154" s="115">
        <f t="shared" ca="1" si="62"/>
        <v>0</v>
      </c>
      <c r="AB154" s="115">
        <f t="shared" ca="1" si="62"/>
        <v>0</v>
      </c>
      <c r="AC154" s="115">
        <f t="shared" ca="1" si="62"/>
        <v>0</v>
      </c>
      <c r="AD154" s="115">
        <f t="shared" ca="1" si="62"/>
        <v>0</v>
      </c>
      <c r="AE154" s="115">
        <f t="shared" ca="1" si="62"/>
        <v>0</v>
      </c>
      <c r="AF154" s="115">
        <f t="shared" ca="1" si="62"/>
        <v>0</v>
      </c>
      <c r="AG154" s="115">
        <f t="shared" ca="1" si="62"/>
        <v>0</v>
      </c>
      <c r="AH154" s="115">
        <f t="shared" ca="1" si="62"/>
        <v>0</v>
      </c>
      <c r="AI154" s="115">
        <f t="shared" ca="1" si="62"/>
        <v>0</v>
      </c>
      <c r="AJ154" s="115">
        <f t="shared" ca="1" si="62"/>
        <v>0</v>
      </c>
      <c r="AK154" s="115">
        <f t="shared" ca="1" si="62"/>
        <v>0</v>
      </c>
      <c r="AL154" s="115">
        <f t="shared" ca="1" si="63"/>
        <v>0</v>
      </c>
      <c r="AM154" s="115">
        <f t="shared" ca="1" si="63"/>
        <v>0</v>
      </c>
      <c r="AN154" s="115">
        <f t="shared" ca="1" si="63"/>
        <v>0</v>
      </c>
      <c r="AO154" s="115">
        <f t="shared" ca="1" si="63"/>
        <v>0</v>
      </c>
    </row>
    <row r="155" spans="2:41">
      <c r="B155" s="22" t="s">
        <v>539</v>
      </c>
      <c r="C155" s="108">
        <v>1.0699999999999999E-2</v>
      </c>
      <c r="D155" s="133">
        <f t="shared" ca="1" si="64"/>
        <v>-0.76575342465753427</v>
      </c>
      <c r="E155" s="115">
        <f t="shared" ca="1" si="60"/>
        <v>0</v>
      </c>
      <c r="F155" s="115">
        <f t="shared" ca="1" si="61"/>
        <v>0</v>
      </c>
      <c r="G155" s="115">
        <f t="shared" ca="1" si="61"/>
        <v>0</v>
      </c>
      <c r="H155" s="115">
        <f t="shared" ca="1" si="61"/>
        <v>0</v>
      </c>
      <c r="I155" s="115">
        <f t="shared" ca="1" si="61"/>
        <v>0</v>
      </c>
      <c r="J155" s="115">
        <f t="shared" ca="1" si="61"/>
        <v>0</v>
      </c>
      <c r="K155" s="115">
        <f t="shared" ca="1" si="61"/>
        <v>0</v>
      </c>
      <c r="L155" s="115">
        <f t="shared" ca="1" si="61"/>
        <v>0</v>
      </c>
      <c r="M155" s="115">
        <f t="shared" ca="1" si="61"/>
        <v>0</v>
      </c>
      <c r="N155" s="115">
        <f t="shared" ca="1" si="61"/>
        <v>0</v>
      </c>
      <c r="O155" s="115">
        <f t="shared" ca="1" si="61"/>
        <v>0</v>
      </c>
      <c r="P155" s="115">
        <f t="shared" ca="1" si="61"/>
        <v>0</v>
      </c>
      <c r="Q155" s="115">
        <f t="shared" ca="1" si="61"/>
        <v>0</v>
      </c>
      <c r="R155" s="115">
        <f t="shared" ca="1" si="61"/>
        <v>0</v>
      </c>
      <c r="S155" s="115">
        <f t="shared" ca="1" si="61"/>
        <v>0</v>
      </c>
      <c r="T155" s="115">
        <f t="shared" ca="1" si="61"/>
        <v>0</v>
      </c>
      <c r="U155" s="115">
        <f t="shared" ca="1" si="61"/>
        <v>0</v>
      </c>
      <c r="V155" s="115">
        <f t="shared" ca="1" si="62"/>
        <v>0</v>
      </c>
      <c r="W155" s="115">
        <f t="shared" ca="1" si="62"/>
        <v>0</v>
      </c>
      <c r="X155" s="115">
        <f t="shared" ca="1" si="62"/>
        <v>0</v>
      </c>
      <c r="Y155" s="115">
        <f t="shared" ca="1" si="62"/>
        <v>0</v>
      </c>
      <c r="Z155" s="115">
        <f t="shared" ca="1" si="62"/>
        <v>0</v>
      </c>
      <c r="AA155" s="115">
        <f t="shared" ca="1" si="62"/>
        <v>0</v>
      </c>
      <c r="AB155" s="115">
        <f t="shared" ca="1" si="62"/>
        <v>0</v>
      </c>
      <c r="AC155" s="115">
        <f t="shared" ca="1" si="62"/>
        <v>0</v>
      </c>
      <c r="AD155" s="115">
        <f t="shared" ca="1" si="62"/>
        <v>0</v>
      </c>
      <c r="AE155" s="115">
        <f t="shared" ca="1" si="62"/>
        <v>0</v>
      </c>
      <c r="AF155" s="115">
        <f t="shared" ca="1" si="62"/>
        <v>0</v>
      </c>
      <c r="AG155" s="115">
        <f t="shared" ca="1" si="62"/>
        <v>0</v>
      </c>
      <c r="AH155" s="115">
        <f t="shared" ca="1" si="62"/>
        <v>0</v>
      </c>
      <c r="AI155" s="115">
        <f t="shared" ca="1" si="62"/>
        <v>0</v>
      </c>
      <c r="AJ155" s="115">
        <f t="shared" ca="1" si="62"/>
        <v>0</v>
      </c>
      <c r="AK155" s="115">
        <f t="shared" ca="1" si="62"/>
        <v>0</v>
      </c>
      <c r="AL155" s="115">
        <f t="shared" ca="1" si="63"/>
        <v>0</v>
      </c>
      <c r="AM155" s="115">
        <f t="shared" ca="1" si="63"/>
        <v>0</v>
      </c>
      <c r="AN155" s="115">
        <f t="shared" ca="1" si="63"/>
        <v>0</v>
      </c>
      <c r="AO155" s="115">
        <f t="shared" ca="1" si="63"/>
        <v>0</v>
      </c>
    </row>
    <row r="156" spans="2:41">
      <c r="B156" s="22" t="s">
        <v>505</v>
      </c>
      <c r="C156" s="108">
        <v>0.2145</v>
      </c>
      <c r="D156" s="133">
        <f t="shared" ca="1" si="64"/>
        <v>-0.76621004566210049</v>
      </c>
      <c r="E156" s="115">
        <f t="shared" ca="1" si="60"/>
        <v>0</v>
      </c>
      <c r="F156" s="115">
        <f t="shared" ca="1" si="61"/>
        <v>0</v>
      </c>
      <c r="G156" s="115">
        <f t="shared" ca="1" si="61"/>
        <v>0</v>
      </c>
      <c r="H156" s="115">
        <f t="shared" ca="1" si="61"/>
        <v>0</v>
      </c>
      <c r="I156" s="115">
        <f t="shared" ca="1" si="61"/>
        <v>0</v>
      </c>
      <c r="J156" s="115">
        <f t="shared" ca="1" si="61"/>
        <v>0</v>
      </c>
      <c r="K156" s="115">
        <f t="shared" ca="1" si="61"/>
        <v>0</v>
      </c>
      <c r="L156" s="115">
        <f t="shared" ca="1" si="61"/>
        <v>0</v>
      </c>
      <c r="M156" s="115">
        <f t="shared" ca="1" si="61"/>
        <v>0</v>
      </c>
      <c r="N156" s="115">
        <f t="shared" ca="1" si="61"/>
        <v>0</v>
      </c>
      <c r="O156" s="115">
        <f t="shared" ca="1" si="61"/>
        <v>0</v>
      </c>
      <c r="P156" s="115">
        <f t="shared" ca="1" si="61"/>
        <v>0</v>
      </c>
      <c r="Q156" s="115">
        <f t="shared" ca="1" si="61"/>
        <v>0</v>
      </c>
      <c r="R156" s="115">
        <f t="shared" ca="1" si="61"/>
        <v>0</v>
      </c>
      <c r="S156" s="115">
        <f t="shared" ca="1" si="61"/>
        <v>0</v>
      </c>
      <c r="T156" s="115">
        <f t="shared" ca="1" si="61"/>
        <v>0</v>
      </c>
      <c r="U156" s="115">
        <f t="shared" ca="1" si="61"/>
        <v>0</v>
      </c>
      <c r="V156" s="115">
        <f t="shared" ca="1" si="62"/>
        <v>0</v>
      </c>
      <c r="W156" s="115">
        <f t="shared" ca="1" si="62"/>
        <v>0</v>
      </c>
      <c r="X156" s="115">
        <f t="shared" ca="1" si="62"/>
        <v>0</v>
      </c>
      <c r="Y156" s="115">
        <f t="shared" ca="1" si="62"/>
        <v>0</v>
      </c>
      <c r="Z156" s="115">
        <f t="shared" ca="1" si="62"/>
        <v>0</v>
      </c>
      <c r="AA156" s="115">
        <f t="shared" ca="1" si="62"/>
        <v>0</v>
      </c>
      <c r="AB156" s="115">
        <f t="shared" ca="1" si="62"/>
        <v>0</v>
      </c>
      <c r="AC156" s="115">
        <f t="shared" ca="1" si="62"/>
        <v>0</v>
      </c>
      <c r="AD156" s="115">
        <f t="shared" ca="1" si="62"/>
        <v>0</v>
      </c>
      <c r="AE156" s="115">
        <f t="shared" ca="1" si="62"/>
        <v>0</v>
      </c>
      <c r="AF156" s="115">
        <f t="shared" ca="1" si="62"/>
        <v>0</v>
      </c>
      <c r="AG156" s="115">
        <f t="shared" ca="1" si="62"/>
        <v>0</v>
      </c>
      <c r="AH156" s="115">
        <f t="shared" ca="1" si="62"/>
        <v>0</v>
      </c>
      <c r="AI156" s="115">
        <f t="shared" ca="1" si="62"/>
        <v>0</v>
      </c>
      <c r="AJ156" s="115">
        <f t="shared" ca="1" si="62"/>
        <v>0</v>
      </c>
      <c r="AK156" s="115">
        <f t="shared" ca="1" si="62"/>
        <v>0</v>
      </c>
      <c r="AL156" s="115">
        <f t="shared" ca="1" si="63"/>
        <v>0</v>
      </c>
      <c r="AM156" s="115">
        <f t="shared" ca="1" si="63"/>
        <v>0</v>
      </c>
      <c r="AN156" s="115">
        <f t="shared" ca="1" si="63"/>
        <v>0</v>
      </c>
      <c r="AO156" s="115">
        <f t="shared" ca="1" si="63"/>
        <v>0</v>
      </c>
    </row>
    <row r="157" spans="2:41">
      <c r="B157" s="22" t="s">
        <v>540</v>
      </c>
      <c r="C157" s="23" t="s">
        <v>482</v>
      </c>
      <c r="D157" s="133">
        <f t="shared" ca="1" si="64"/>
        <v>-0.76666666666666672</v>
      </c>
      <c r="E157" s="115">
        <f t="shared" ca="1" si="60"/>
        <v>0</v>
      </c>
      <c r="F157" s="115">
        <f t="shared" ca="1" si="61"/>
        <v>0</v>
      </c>
      <c r="G157" s="115">
        <f t="shared" ca="1" si="61"/>
        <v>0</v>
      </c>
      <c r="H157" s="115">
        <f t="shared" ca="1" si="61"/>
        <v>0</v>
      </c>
      <c r="I157" s="115">
        <f t="shared" ca="1" si="61"/>
        <v>0</v>
      </c>
      <c r="J157" s="115">
        <f t="shared" ca="1" si="61"/>
        <v>0</v>
      </c>
      <c r="K157" s="115">
        <f t="shared" ca="1" si="61"/>
        <v>0</v>
      </c>
      <c r="L157" s="115">
        <f t="shared" ca="1" si="61"/>
        <v>0</v>
      </c>
      <c r="M157" s="115">
        <f t="shared" ca="1" si="61"/>
        <v>0</v>
      </c>
      <c r="N157" s="115">
        <f t="shared" ca="1" si="61"/>
        <v>0</v>
      </c>
      <c r="O157" s="115">
        <f t="shared" ca="1" si="61"/>
        <v>0</v>
      </c>
      <c r="P157" s="115">
        <f t="shared" ca="1" si="61"/>
        <v>0</v>
      </c>
      <c r="Q157" s="115">
        <f ca="1">IFERROR((OptionPrice(LEFT($C$42),Q$35,$C$37,$D157,$C$39,$C$41,$C$40)-$C$43)*$C$44,0)</f>
        <v>0</v>
      </c>
      <c r="R157" s="115">
        <f t="shared" ca="1" si="61"/>
        <v>0</v>
      </c>
      <c r="S157" s="115">
        <f t="shared" ca="1" si="61"/>
        <v>0</v>
      </c>
      <c r="T157" s="115">
        <f t="shared" ca="1" si="61"/>
        <v>0</v>
      </c>
      <c r="U157" s="115">
        <f t="shared" ca="1" si="61"/>
        <v>0</v>
      </c>
      <c r="V157" s="115">
        <f t="shared" ca="1" si="62"/>
        <v>0</v>
      </c>
      <c r="W157" s="115">
        <f t="shared" ca="1" si="62"/>
        <v>0</v>
      </c>
      <c r="X157" s="115">
        <f t="shared" ca="1" si="62"/>
        <v>0</v>
      </c>
      <c r="Y157" s="115">
        <f t="shared" ca="1" si="62"/>
        <v>0</v>
      </c>
      <c r="Z157" s="115">
        <f t="shared" ca="1" si="62"/>
        <v>0</v>
      </c>
      <c r="AA157" s="115">
        <f t="shared" ca="1" si="62"/>
        <v>0</v>
      </c>
      <c r="AB157" s="115">
        <f t="shared" ca="1" si="62"/>
        <v>0</v>
      </c>
      <c r="AC157" s="115">
        <f t="shared" ca="1" si="62"/>
        <v>0</v>
      </c>
      <c r="AD157" s="115">
        <f t="shared" ca="1" si="62"/>
        <v>0</v>
      </c>
      <c r="AE157" s="115">
        <f t="shared" ca="1" si="62"/>
        <v>0</v>
      </c>
      <c r="AF157" s="115">
        <f t="shared" ca="1" si="62"/>
        <v>0</v>
      </c>
      <c r="AG157" s="115">
        <f t="shared" ca="1" si="62"/>
        <v>0</v>
      </c>
      <c r="AH157" s="115">
        <f t="shared" ca="1" si="62"/>
        <v>0</v>
      </c>
      <c r="AI157" s="115">
        <f t="shared" ca="1" si="62"/>
        <v>0</v>
      </c>
      <c r="AJ157" s="115">
        <f t="shared" ca="1" si="62"/>
        <v>0</v>
      </c>
      <c r="AK157" s="115">
        <f t="shared" ca="1" si="62"/>
        <v>0</v>
      </c>
      <c r="AL157" s="115">
        <f t="shared" ca="1" si="63"/>
        <v>0</v>
      </c>
      <c r="AM157" s="115">
        <f t="shared" ca="1" si="63"/>
        <v>0</v>
      </c>
      <c r="AN157" s="115">
        <f t="shared" ca="1" si="63"/>
        <v>0</v>
      </c>
      <c r="AO157" s="115">
        <f t="shared" ca="1" si="63"/>
        <v>0</v>
      </c>
    </row>
    <row r="158" spans="2:41">
      <c r="B158" s="22" t="s">
        <v>23</v>
      </c>
      <c r="C158" s="23">
        <v>19.989999999999998</v>
      </c>
      <c r="D158" s="133">
        <f t="shared" ca="1" si="64"/>
        <v>-0.76712328767123295</v>
      </c>
      <c r="E158" s="115">
        <f t="shared" ca="1" si="60"/>
        <v>0</v>
      </c>
      <c r="F158" s="115">
        <f t="shared" ca="1" si="61"/>
        <v>0</v>
      </c>
      <c r="G158" s="115">
        <f t="shared" ca="1" si="61"/>
        <v>0</v>
      </c>
      <c r="H158" s="115">
        <f t="shared" ca="1" si="61"/>
        <v>0</v>
      </c>
      <c r="I158" s="115">
        <f t="shared" ca="1" si="61"/>
        <v>0</v>
      </c>
      <c r="J158" s="115">
        <f t="shared" ca="1" si="61"/>
        <v>0</v>
      </c>
      <c r="K158" s="115">
        <f t="shared" ca="1" si="61"/>
        <v>0</v>
      </c>
      <c r="L158" s="115">
        <f t="shared" ca="1" si="61"/>
        <v>0</v>
      </c>
      <c r="M158" s="115">
        <f t="shared" ca="1" si="61"/>
        <v>0</v>
      </c>
      <c r="N158" s="115">
        <f t="shared" ca="1" si="61"/>
        <v>0</v>
      </c>
      <c r="O158" s="115">
        <f t="shared" ca="1" si="61"/>
        <v>0</v>
      </c>
      <c r="P158" s="115">
        <f t="shared" ca="1" si="61"/>
        <v>0</v>
      </c>
      <c r="Q158" s="115">
        <f t="shared" ca="1" si="61"/>
        <v>0</v>
      </c>
      <c r="R158" s="115">
        <f t="shared" ca="1" si="61"/>
        <v>0</v>
      </c>
      <c r="S158" s="115">
        <f t="shared" ca="1" si="61"/>
        <v>0</v>
      </c>
      <c r="T158" s="115">
        <f t="shared" ca="1" si="61"/>
        <v>0</v>
      </c>
      <c r="U158" s="115">
        <f t="shared" ca="1" si="61"/>
        <v>0</v>
      </c>
      <c r="V158" s="115">
        <f t="shared" ca="1" si="62"/>
        <v>0</v>
      </c>
      <c r="W158" s="115">
        <f t="shared" ca="1" si="62"/>
        <v>0</v>
      </c>
      <c r="X158" s="115">
        <f t="shared" ca="1" si="62"/>
        <v>0</v>
      </c>
      <c r="Y158" s="115">
        <f t="shared" ca="1" si="62"/>
        <v>0</v>
      </c>
      <c r="Z158" s="115">
        <f t="shared" ca="1" si="62"/>
        <v>0</v>
      </c>
      <c r="AA158" s="115">
        <f t="shared" ca="1" si="62"/>
        <v>0</v>
      </c>
      <c r="AB158" s="115">
        <f t="shared" ca="1" si="62"/>
        <v>0</v>
      </c>
      <c r="AC158" s="115">
        <f t="shared" ca="1" si="62"/>
        <v>0</v>
      </c>
      <c r="AD158" s="115">
        <f t="shared" ca="1" si="62"/>
        <v>0</v>
      </c>
      <c r="AE158" s="115">
        <f t="shared" ca="1" si="62"/>
        <v>0</v>
      </c>
      <c r="AF158" s="115">
        <f t="shared" ca="1" si="62"/>
        <v>0</v>
      </c>
      <c r="AG158" s="115">
        <f t="shared" ca="1" si="62"/>
        <v>0</v>
      </c>
      <c r="AH158" s="115">
        <f t="shared" ca="1" si="62"/>
        <v>0</v>
      </c>
      <c r="AI158" s="115">
        <f t="shared" ca="1" si="62"/>
        <v>0</v>
      </c>
      <c r="AJ158" s="115">
        <f t="shared" ca="1" si="62"/>
        <v>0</v>
      </c>
      <c r="AK158" s="115">
        <f t="shared" ca="1" si="62"/>
        <v>0</v>
      </c>
      <c r="AL158" s="115">
        <f t="shared" ca="1" si="63"/>
        <v>0</v>
      </c>
      <c r="AM158" s="115">
        <f t="shared" ca="1" si="63"/>
        <v>0</v>
      </c>
      <c r="AN158" s="115">
        <f t="shared" ca="1" si="63"/>
        <v>0</v>
      </c>
      <c r="AO158" s="115">
        <f t="shared" ca="1" si="63"/>
        <v>0</v>
      </c>
    </row>
    <row r="159" spans="2:41">
      <c r="B159" s="22" t="s">
        <v>3</v>
      </c>
      <c r="C159" s="23">
        <v>600</v>
      </c>
      <c r="D159" s="133">
        <f t="shared" ca="1" si="64"/>
        <v>-0.76757990867579917</v>
      </c>
      <c r="E159" s="115">
        <f t="shared" ca="1" si="60"/>
        <v>0</v>
      </c>
      <c r="F159" s="115">
        <f t="shared" ca="1" si="61"/>
        <v>0</v>
      </c>
      <c r="G159" s="115">
        <f t="shared" ca="1" si="61"/>
        <v>0</v>
      </c>
      <c r="H159" s="115">
        <f t="shared" ca="1" si="61"/>
        <v>0</v>
      </c>
      <c r="I159" s="115">
        <f t="shared" ca="1" si="61"/>
        <v>0</v>
      </c>
      <c r="J159" s="115">
        <f t="shared" ca="1" si="61"/>
        <v>0</v>
      </c>
      <c r="K159" s="115">
        <f t="shared" ca="1" si="61"/>
        <v>0</v>
      </c>
      <c r="L159" s="115">
        <f t="shared" ca="1" si="61"/>
        <v>0</v>
      </c>
      <c r="M159" s="115">
        <f t="shared" ca="1" si="61"/>
        <v>0</v>
      </c>
      <c r="N159" s="115">
        <f t="shared" ca="1" si="61"/>
        <v>0</v>
      </c>
      <c r="O159" s="115">
        <f t="shared" ca="1" si="61"/>
        <v>0</v>
      </c>
      <c r="P159" s="115">
        <f t="shared" ca="1" si="61"/>
        <v>0</v>
      </c>
      <c r="Q159" s="115">
        <f t="shared" ca="1" si="61"/>
        <v>0</v>
      </c>
      <c r="R159" s="115">
        <f t="shared" ca="1" si="61"/>
        <v>0</v>
      </c>
      <c r="S159" s="115">
        <f t="shared" ca="1" si="61"/>
        <v>0</v>
      </c>
      <c r="T159" s="115">
        <f t="shared" ca="1" si="61"/>
        <v>0</v>
      </c>
      <c r="U159" s="115">
        <f t="shared" ca="1" si="61"/>
        <v>0</v>
      </c>
      <c r="V159" s="115">
        <f t="shared" ca="1" si="62"/>
        <v>0</v>
      </c>
      <c r="W159" s="115">
        <f t="shared" ca="1" si="62"/>
        <v>0</v>
      </c>
      <c r="X159" s="115">
        <f t="shared" ca="1" si="62"/>
        <v>0</v>
      </c>
      <c r="Y159" s="115">
        <f t="shared" ca="1" si="62"/>
        <v>0</v>
      </c>
      <c r="Z159" s="115">
        <f t="shared" ca="1" si="62"/>
        <v>0</v>
      </c>
      <c r="AA159" s="115">
        <f t="shared" ca="1" si="62"/>
        <v>0</v>
      </c>
      <c r="AB159" s="115">
        <f t="shared" ca="1" si="62"/>
        <v>0</v>
      </c>
      <c r="AC159" s="115">
        <f t="shared" ca="1" si="62"/>
        <v>0</v>
      </c>
      <c r="AD159" s="115">
        <f t="shared" ca="1" si="62"/>
        <v>0</v>
      </c>
      <c r="AE159" s="115">
        <f t="shared" ca="1" si="62"/>
        <v>0</v>
      </c>
      <c r="AF159" s="115">
        <f t="shared" ca="1" si="62"/>
        <v>0</v>
      </c>
      <c r="AG159" s="115">
        <f t="shared" ca="1" si="62"/>
        <v>0</v>
      </c>
      <c r="AH159" s="115">
        <f t="shared" ca="1" si="62"/>
        <v>0</v>
      </c>
      <c r="AI159" s="115">
        <f t="shared" ca="1" si="62"/>
        <v>0</v>
      </c>
      <c r="AJ159" s="115">
        <f t="shared" ca="1" si="62"/>
        <v>0</v>
      </c>
      <c r="AK159" s="115">
        <f t="shared" ca="1" si="62"/>
        <v>0</v>
      </c>
      <c r="AL159" s="115">
        <f t="shared" ca="1" si="63"/>
        <v>0</v>
      </c>
      <c r="AM159" s="115">
        <f t="shared" ca="1" si="63"/>
        <v>0</v>
      </c>
      <c r="AN159" s="115">
        <f t="shared" ca="1" si="63"/>
        <v>0</v>
      </c>
      <c r="AO159" s="115">
        <f t="shared" ca="1" si="63"/>
        <v>0</v>
      </c>
    </row>
    <row r="160" spans="2:41">
      <c r="B160" s="22" t="s">
        <v>537</v>
      </c>
      <c r="C160" s="126" t="e">
        <f ca="1">ImpliedVolatility(LEFT(C157),C150,C152,C154,C162,C155,C161,35%)</f>
        <v>#VALUE!</v>
      </c>
      <c r="D160" s="133">
        <f t="shared" ca="1" si="64"/>
        <v>-0.7680365296803654</v>
      </c>
      <c r="E160" s="115">
        <f t="shared" ca="1" si="60"/>
        <v>0</v>
      </c>
      <c r="F160" s="115">
        <f t="shared" ca="1" si="61"/>
        <v>0</v>
      </c>
      <c r="G160" s="115">
        <f t="shared" ca="1" si="61"/>
        <v>0</v>
      </c>
      <c r="H160" s="115">
        <f t="shared" ca="1" si="61"/>
        <v>0</v>
      </c>
      <c r="I160" s="115">
        <f t="shared" ca="1" si="61"/>
        <v>0</v>
      </c>
      <c r="J160" s="115">
        <f t="shared" ca="1" si="61"/>
        <v>0</v>
      </c>
      <c r="K160" s="115">
        <f t="shared" ca="1" si="61"/>
        <v>0</v>
      </c>
      <c r="L160" s="115">
        <f t="shared" ca="1" si="61"/>
        <v>0</v>
      </c>
      <c r="M160" s="115">
        <f t="shared" ca="1" si="61"/>
        <v>0</v>
      </c>
      <c r="N160" s="115">
        <f t="shared" ca="1" si="61"/>
        <v>0</v>
      </c>
      <c r="O160" s="115">
        <f t="shared" ca="1" si="61"/>
        <v>0</v>
      </c>
      <c r="P160" s="115">
        <f t="shared" ca="1" si="61"/>
        <v>0</v>
      </c>
      <c r="Q160" s="115">
        <f t="shared" ca="1" si="61"/>
        <v>0</v>
      </c>
      <c r="R160" s="115">
        <f t="shared" ca="1" si="61"/>
        <v>0</v>
      </c>
      <c r="S160" s="115">
        <f t="shared" ca="1" si="61"/>
        <v>0</v>
      </c>
      <c r="T160" s="115">
        <f t="shared" ca="1" si="61"/>
        <v>0</v>
      </c>
      <c r="U160" s="115">
        <f t="shared" ca="1" si="61"/>
        <v>0</v>
      </c>
      <c r="V160" s="115">
        <f t="shared" ca="1" si="62"/>
        <v>0</v>
      </c>
      <c r="W160" s="115">
        <f t="shared" ca="1" si="62"/>
        <v>0</v>
      </c>
      <c r="X160" s="115">
        <f t="shared" ca="1" si="62"/>
        <v>0</v>
      </c>
      <c r="Y160" s="115">
        <f t="shared" ca="1" si="62"/>
        <v>0</v>
      </c>
      <c r="Z160" s="115">
        <f t="shared" ca="1" si="62"/>
        <v>0</v>
      </c>
      <c r="AA160" s="115">
        <f t="shared" ca="1" si="62"/>
        <v>0</v>
      </c>
      <c r="AB160" s="115">
        <f t="shared" ca="1" si="62"/>
        <v>0</v>
      </c>
      <c r="AC160" s="115">
        <f t="shared" ca="1" si="62"/>
        <v>0</v>
      </c>
      <c r="AD160" s="115">
        <f t="shared" ca="1" si="62"/>
        <v>0</v>
      </c>
      <c r="AE160" s="115">
        <f t="shared" ca="1" si="62"/>
        <v>0</v>
      </c>
      <c r="AF160" s="115">
        <f t="shared" ca="1" si="62"/>
        <v>0</v>
      </c>
      <c r="AG160" s="115">
        <f t="shared" ca="1" si="62"/>
        <v>0</v>
      </c>
      <c r="AH160" s="115">
        <f t="shared" ca="1" si="62"/>
        <v>0</v>
      </c>
      <c r="AI160" s="115">
        <f t="shared" ca="1" si="62"/>
        <v>0</v>
      </c>
      <c r="AJ160" s="115">
        <f t="shared" ca="1" si="62"/>
        <v>0</v>
      </c>
      <c r="AK160" s="115">
        <f t="shared" ca="1" si="62"/>
        <v>0</v>
      </c>
      <c r="AL160" s="115">
        <f t="shared" ca="1" si="63"/>
        <v>0</v>
      </c>
      <c r="AM160" s="115">
        <f t="shared" ca="1" si="63"/>
        <v>0</v>
      </c>
      <c r="AN160" s="115">
        <f t="shared" ca="1" si="63"/>
        <v>0</v>
      </c>
      <c r="AO160" s="115">
        <f t="shared" ca="1" si="63"/>
        <v>0</v>
      </c>
    </row>
    <row r="161" spans="2:41">
      <c r="B161" s="22" t="s">
        <v>487</v>
      </c>
      <c r="C161" s="23">
        <v>25.9</v>
      </c>
      <c r="D161" s="133">
        <f t="shared" ca="1" si="64"/>
        <v>-0.76849315068493163</v>
      </c>
      <c r="E161" s="115">
        <f t="shared" ca="1" si="60"/>
        <v>0</v>
      </c>
      <c r="F161" s="115">
        <f t="shared" ca="1" si="61"/>
        <v>0</v>
      </c>
      <c r="G161" s="115">
        <f t="shared" ca="1" si="61"/>
        <v>0</v>
      </c>
      <c r="H161" s="115">
        <f t="shared" ca="1" si="61"/>
        <v>0</v>
      </c>
      <c r="I161" s="115">
        <f t="shared" ca="1" si="61"/>
        <v>0</v>
      </c>
      <c r="J161" s="115">
        <f t="shared" ca="1" si="61"/>
        <v>0</v>
      </c>
      <c r="K161" s="115">
        <f t="shared" ca="1" si="61"/>
        <v>0</v>
      </c>
      <c r="L161" s="115">
        <f t="shared" ca="1" si="61"/>
        <v>0</v>
      </c>
      <c r="M161" s="115">
        <f t="shared" ca="1" si="61"/>
        <v>0</v>
      </c>
      <c r="N161" s="115">
        <f t="shared" ca="1" si="61"/>
        <v>0</v>
      </c>
      <c r="O161" s="115">
        <f t="shared" ca="1" si="61"/>
        <v>0</v>
      </c>
      <c r="P161" s="115">
        <f t="shared" ca="1" si="61"/>
        <v>0</v>
      </c>
      <c r="Q161" s="115">
        <f t="shared" ca="1" si="61"/>
        <v>0</v>
      </c>
      <c r="R161" s="115">
        <f t="shared" ca="1" si="61"/>
        <v>0</v>
      </c>
      <c r="S161" s="115">
        <f t="shared" ca="1" si="61"/>
        <v>0</v>
      </c>
      <c r="T161" s="115">
        <f t="shared" ca="1" si="61"/>
        <v>0</v>
      </c>
      <c r="U161" s="115">
        <f t="shared" ca="1" si="61"/>
        <v>0</v>
      </c>
      <c r="V161" s="115">
        <f t="shared" ca="1" si="62"/>
        <v>0</v>
      </c>
      <c r="W161" s="115">
        <f t="shared" ca="1" si="62"/>
        <v>0</v>
      </c>
      <c r="X161" s="115">
        <f t="shared" ca="1" si="62"/>
        <v>0</v>
      </c>
      <c r="Y161" s="115">
        <f t="shared" ca="1" si="62"/>
        <v>0</v>
      </c>
      <c r="Z161" s="115">
        <f t="shared" ca="1" si="62"/>
        <v>0</v>
      </c>
      <c r="AA161" s="115">
        <f t="shared" ca="1" si="62"/>
        <v>0</v>
      </c>
      <c r="AB161" s="115">
        <f t="shared" ca="1" si="62"/>
        <v>0</v>
      </c>
      <c r="AC161" s="115">
        <f t="shared" ca="1" si="62"/>
        <v>0</v>
      </c>
      <c r="AD161" s="115">
        <f t="shared" ca="1" si="62"/>
        <v>0</v>
      </c>
      <c r="AE161" s="115">
        <f t="shared" ca="1" si="62"/>
        <v>0</v>
      </c>
      <c r="AF161" s="115">
        <f t="shared" ca="1" si="62"/>
        <v>0</v>
      </c>
      <c r="AG161" s="115">
        <f t="shared" ca="1" si="62"/>
        <v>0</v>
      </c>
      <c r="AH161" s="115">
        <f t="shared" ca="1" si="62"/>
        <v>0</v>
      </c>
      <c r="AI161" s="115">
        <f t="shared" ca="1" si="62"/>
        <v>0</v>
      </c>
      <c r="AJ161" s="115">
        <f t="shared" ca="1" si="62"/>
        <v>0</v>
      </c>
      <c r="AK161" s="115">
        <f t="shared" ca="1" si="62"/>
        <v>0</v>
      </c>
      <c r="AL161" s="115">
        <f t="shared" ca="1" si="63"/>
        <v>0</v>
      </c>
      <c r="AM161" s="115">
        <f t="shared" ca="1" si="63"/>
        <v>0</v>
      </c>
      <c r="AN161" s="115">
        <f t="shared" ca="1" si="63"/>
        <v>0</v>
      </c>
      <c r="AO161" s="115">
        <f t="shared" ca="1" si="63"/>
        <v>0</v>
      </c>
    </row>
    <row r="162" spans="2:41">
      <c r="B162" s="22" t="s">
        <v>556</v>
      </c>
      <c r="C162" s="23">
        <f ca="1">(C153-TODAY())/365</f>
        <v>-0.76438356164383559</v>
      </c>
      <c r="D162" s="133">
        <f t="shared" ca="1" si="64"/>
        <v>-0.76894977168949785</v>
      </c>
      <c r="E162" s="115">
        <f t="shared" ca="1" si="60"/>
        <v>0</v>
      </c>
      <c r="F162" s="115">
        <f t="shared" ca="1" si="61"/>
        <v>0</v>
      </c>
      <c r="G162" s="115">
        <f t="shared" ca="1" si="61"/>
        <v>0</v>
      </c>
      <c r="H162" s="115">
        <f t="shared" ca="1" si="61"/>
        <v>0</v>
      </c>
      <c r="I162" s="115">
        <f t="shared" ca="1" si="61"/>
        <v>0</v>
      </c>
      <c r="J162" s="115">
        <f t="shared" ca="1" si="61"/>
        <v>0</v>
      </c>
      <c r="K162" s="115">
        <f t="shared" ca="1" si="61"/>
        <v>0</v>
      </c>
      <c r="L162" s="115">
        <f t="shared" ca="1" si="61"/>
        <v>0</v>
      </c>
      <c r="M162" s="115">
        <f t="shared" ca="1" si="61"/>
        <v>0</v>
      </c>
      <c r="N162" s="115">
        <f t="shared" ca="1" si="61"/>
        <v>0</v>
      </c>
      <c r="O162" s="115">
        <f t="shared" ca="1" si="61"/>
        <v>0</v>
      </c>
      <c r="P162" s="115">
        <f t="shared" ca="1" si="61"/>
        <v>0</v>
      </c>
      <c r="Q162" s="115">
        <f t="shared" ca="1" si="61"/>
        <v>0</v>
      </c>
      <c r="R162" s="115">
        <f t="shared" ca="1" si="61"/>
        <v>0</v>
      </c>
      <c r="S162" s="115">
        <f t="shared" ca="1" si="61"/>
        <v>0</v>
      </c>
      <c r="T162" s="115">
        <f t="shared" ca="1" si="61"/>
        <v>0</v>
      </c>
      <c r="U162" s="115">
        <f t="shared" ca="1" si="61"/>
        <v>0</v>
      </c>
      <c r="V162" s="115">
        <f t="shared" ca="1" si="62"/>
        <v>0</v>
      </c>
      <c r="W162" s="115">
        <f t="shared" ca="1" si="62"/>
        <v>0</v>
      </c>
      <c r="X162" s="115">
        <f t="shared" ca="1" si="62"/>
        <v>0</v>
      </c>
      <c r="Y162" s="115">
        <f t="shared" ca="1" si="62"/>
        <v>0</v>
      </c>
      <c r="Z162" s="115">
        <f t="shared" ca="1" si="62"/>
        <v>0</v>
      </c>
      <c r="AA162" s="115">
        <f t="shared" ca="1" si="62"/>
        <v>0</v>
      </c>
      <c r="AB162" s="115">
        <f t="shared" ca="1" si="62"/>
        <v>0</v>
      </c>
      <c r="AC162" s="115">
        <f t="shared" ca="1" si="62"/>
        <v>0</v>
      </c>
      <c r="AD162" s="115">
        <f t="shared" ca="1" si="62"/>
        <v>0</v>
      </c>
      <c r="AE162" s="115">
        <f t="shared" ca="1" si="62"/>
        <v>0</v>
      </c>
      <c r="AF162" s="115">
        <f t="shared" ca="1" si="62"/>
        <v>0</v>
      </c>
      <c r="AG162" s="115">
        <f t="shared" ca="1" si="62"/>
        <v>0</v>
      </c>
      <c r="AH162" s="115">
        <f t="shared" ca="1" si="62"/>
        <v>0</v>
      </c>
      <c r="AI162" s="115">
        <f t="shared" ca="1" si="62"/>
        <v>0</v>
      </c>
      <c r="AJ162" s="115">
        <f t="shared" ca="1" si="62"/>
        <v>0</v>
      </c>
      <c r="AK162" s="115">
        <f t="shared" ca="1" si="62"/>
        <v>0</v>
      </c>
      <c r="AL162" s="115">
        <f t="shared" ca="1" si="63"/>
        <v>0</v>
      </c>
      <c r="AM162" s="115">
        <f t="shared" ca="1" si="63"/>
        <v>0</v>
      </c>
      <c r="AN162" s="115">
        <f t="shared" ca="1" si="63"/>
        <v>0</v>
      </c>
      <c r="AO162" s="115">
        <f t="shared" ca="1" si="63"/>
        <v>0</v>
      </c>
    </row>
    <row r="163" spans="2:41">
      <c r="D163" s="133">
        <f t="shared" ca="1" si="64"/>
        <v>-0.76940639269406408</v>
      </c>
      <c r="E163" s="115">
        <f t="shared" ca="1" si="60"/>
        <v>0</v>
      </c>
      <c r="F163" s="115">
        <f t="shared" ca="1" si="61"/>
        <v>0</v>
      </c>
      <c r="G163" s="115">
        <f t="shared" ca="1" si="61"/>
        <v>0</v>
      </c>
      <c r="H163" s="115">
        <f t="shared" ca="1" si="61"/>
        <v>0</v>
      </c>
      <c r="I163" s="115">
        <f t="shared" ca="1" si="61"/>
        <v>0</v>
      </c>
      <c r="J163" s="115">
        <f t="shared" ca="1" si="61"/>
        <v>0</v>
      </c>
      <c r="K163" s="115">
        <f t="shared" ca="1" si="61"/>
        <v>0</v>
      </c>
      <c r="L163" s="115">
        <f t="shared" ca="1" si="61"/>
        <v>0</v>
      </c>
      <c r="M163" s="115">
        <f t="shared" ca="1" si="61"/>
        <v>0</v>
      </c>
      <c r="N163" s="115">
        <f t="shared" ca="1" si="61"/>
        <v>0</v>
      </c>
      <c r="O163" s="115">
        <f t="shared" ca="1" si="61"/>
        <v>0</v>
      </c>
      <c r="P163" s="115">
        <f t="shared" ca="1" si="61"/>
        <v>0</v>
      </c>
      <c r="Q163" s="115">
        <f t="shared" ca="1" si="61"/>
        <v>0</v>
      </c>
      <c r="R163" s="115">
        <f t="shared" ca="1" si="61"/>
        <v>0</v>
      </c>
      <c r="S163" s="115">
        <f t="shared" ca="1" si="61"/>
        <v>0</v>
      </c>
      <c r="T163" s="115">
        <f t="shared" ca="1" si="61"/>
        <v>0</v>
      </c>
      <c r="U163" s="115">
        <f t="shared" ca="1" si="61"/>
        <v>0</v>
      </c>
      <c r="V163" s="115">
        <f t="shared" ca="1" si="62"/>
        <v>0</v>
      </c>
      <c r="W163" s="115">
        <f t="shared" ca="1" si="62"/>
        <v>0</v>
      </c>
      <c r="X163" s="115">
        <f t="shared" ca="1" si="62"/>
        <v>0</v>
      </c>
      <c r="Y163" s="115">
        <f t="shared" ca="1" si="62"/>
        <v>0</v>
      </c>
      <c r="Z163" s="115">
        <f t="shared" ca="1" si="62"/>
        <v>0</v>
      </c>
      <c r="AA163" s="115">
        <f t="shared" ca="1" si="62"/>
        <v>0</v>
      </c>
      <c r="AB163" s="115">
        <f t="shared" ca="1" si="62"/>
        <v>0</v>
      </c>
      <c r="AC163" s="115">
        <f t="shared" ca="1" si="62"/>
        <v>0</v>
      </c>
      <c r="AD163" s="115">
        <f t="shared" ca="1" si="62"/>
        <v>0</v>
      </c>
      <c r="AE163" s="115">
        <f t="shared" ca="1" si="62"/>
        <v>0</v>
      </c>
      <c r="AF163" s="115">
        <f t="shared" ca="1" si="62"/>
        <v>0</v>
      </c>
      <c r="AG163" s="115">
        <f t="shared" ca="1" si="62"/>
        <v>0</v>
      </c>
      <c r="AH163" s="115">
        <f t="shared" ca="1" si="62"/>
        <v>0</v>
      </c>
      <c r="AI163" s="115">
        <f t="shared" ca="1" si="62"/>
        <v>0</v>
      </c>
      <c r="AJ163" s="115">
        <f t="shared" ca="1" si="62"/>
        <v>0</v>
      </c>
      <c r="AK163" s="115">
        <f t="shared" ca="1" si="62"/>
        <v>0</v>
      </c>
      <c r="AL163" s="115">
        <f t="shared" ca="1" si="63"/>
        <v>0</v>
      </c>
      <c r="AM163" s="115">
        <f t="shared" ca="1" si="63"/>
        <v>0</v>
      </c>
      <c r="AN163" s="115">
        <f t="shared" ca="1" si="63"/>
        <v>0</v>
      </c>
      <c r="AO163" s="115">
        <f t="shared" ca="1" si="63"/>
        <v>0</v>
      </c>
    </row>
    <row r="164" spans="2:41">
      <c r="D164" s="133">
        <f t="shared" ca="1" si="64"/>
        <v>-0.76986301369863031</v>
      </c>
      <c r="E164" s="115">
        <f t="shared" ca="1" si="60"/>
        <v>0</v>
      </c>
      <c r="F164" s="115">
        <f t="shared" ca="1" si="61"/>
        <v>0</v>
      </c>
      <c r="G164" s="115">
        <f t="shared" ca="1" si="61"/>
        <v>0</v>
      </c>
      <c r="H164" s="115">
        <f t="shared" ca="1" si="61"/>
        <v>0</v>
      </c>
      <c r="I164" s="115">
        <f t="shared" ca="1" si="61"/>
        <v>0</v>
      </c>
      <c r="J164" s="115">
        <f t="shared" ca="1" si="61"/>
        <v>0</v>
      </c>
      <c r="K164" s="115">
        <f t="shared" ca="1" si="61"/>
        <v>0</v>
      </c>
      <c r="L164" s="115">
        <f t="shared" ca="1" si="61"/>
        <v>0</v>
      </c>
      <c r="M164" s="115">
        <f t="shared" ca="1" si="61"/>
        <v>0</v>
      </c>
      <c r="N164" s="115">
        <f t="shared" ca="1" si="61"/>
        <v>0</v>
      </c>
      <c r="O164" s="115">
        <f t="shared" ca="1" si="61"/>
        <v>0</v>
      </c>
      <c r="P164" s="115">
        <f t="shared" ca="1" si="61"/>
        <v>0</v>
      </c>
      <c r="Q164" s="115">
        <f t="shared" ca="1" si="61"/>
        <v>0</v>
      </c>
      <c r="R164" s="115">
        <f t="shared" ca="1" si="61"/>
        <v>0</v>
      </c>
      <c r="S164" s="115">
        <f t="shared" ca="1" si="61"/>
        <v>0</v>
      </c>
      <c r="T164" s="115">
        <f t="shared" ca="1" si="61"/>
        <v>0</v>
      </c>
      <c r="U164" s="115">
        <f t="shared" ca="1" si="61"/>
        <v>0</v>
      </c>
      <c r="V164" s="115">
        <f t="shared" ca="1" si="62"/>
        <v>0</v>
      </c>
      <c r="W164" s="115">
        <f t="shared" ca="1" si="62"/>
        <v>0</v>
      </c>
      <c r="X164" s="115">
        <f t="shared" ca="1" si="62"/>
        <v>0</v>
      </c>
      <c r="Y164" s="115">
        <f t="shared" ca="1" si="62"/>
        <v>0</v>
      </c>
      <c r="Z164" s="115">
        <f t="shared" ca="1" si="62"/>
        <v>0</v>
      </c>
      <c r="AA164" s="115">
        <f t="shared" ca="1" si="62"/>
        <v>0</v>
      </c>
      <c r="AB164" s="115">
        <f t="shared" ca="1" si="62"/>
        <v>0</v>
      </c>
      <c r="AC164" s="115">
        <f t="shared" ca="1" si="62"/>
        <v>0</v>
      </c>
      <c r="AD164" s="115">
        <f t="shared" ca="1" si="62"/>
        <v>0</v>
      </c>
      <c r="AE164" s="115">
        <f t="shared" ca="1" si="62"/>
        <v>0</v>
      </c>
      <c r="AF164" s="115">
        <f t="shared" ca="1" si="62"/>
        <v>0</v>
      </c>
      <c r="AG164" s="115">
        <f t="shared" ca="1" si="62"/>
        <v>0</v>
      </c>
      <c r="AH164" s="115">
        <f t="shared" ca="1" si="62"/>
        <v>0</v>
      </c>
      <c r="AI164" s="115">
        <f t="shared" ca="1" si="62"/>
        <v>0</v>
      </c>
      <c r="AJ164" s="115">
        <f t="shared" ca="1" si="62"/>
        <v>0</v>
      </c>
      <c r="AK164" s="115">
        <f t="shared" ca="1" si="62"/>
        <v>0</v>
      </c>
      <c r="AL164" s="115">
        <f t="shared" ca="1" si="63"/>
        <v>0</v>
      </c>
      <c r="AM164" s="115">
        <f t="shared" ca="1" si="63"/>
        <v>0</v>
      </c>
      <c r="AN164" s="115">
        <f t="shared" ca="1" si="63"/>
        <v>0</v>
      </c>
      <c r="AO164" s="115">
        <f t="shared" ca="1" si="63"/>
        <v>0</v>
      </c>
    </row>
    <row r="165" spans="2:41">
      <c r="D165" s="133">
        <f t="shared" ca="1" si="64"/>
        <v>-0.77031963470319653</v>
      </c>
      <c r="E165" s="115">
        <f t="shared" ca="1" si="60"/>
        <v>0</v>
      </c>
      <c r="F165" s="115">
        <f t="shared" ca="1" si="61"/>
        <v>0</v>
      </c>
      <c r="G165" s="115">
        <f t="shared" ca="1" si="61"/>
        <v>0</v>
      </c>
      <c r="H165" s="115">
        <f t="shared" ca="1" si="61"/>
        <v>0</v>
      </c>
      <c r="I165" s="115">
        <f t="shared" ca="1" si="61"/>
        <v>0</v>
      </c>
      <c r="J165" s="115">
        <f t="shared" ca="1" si="61"/>
        <v>0</v>
      </c>
      <c r="K165" s="115">
        <f t="shared" ca="1" si="61"/>
        <v>0</v>
      </c>
      <c r="L165" s="115">
        <f t="shared" ca="1" si="61"/>
        <v>0</v>
      </c>
      <c r="M165" s="115">
        <f t="shared" ca="1" si="61"/>
        <v>0</v>
      </c>
      <c r="N165" s="115">
        <f t="shared" ca="1" si="61"/>
        <v>0</v>
      </c>
      <c r="O165" s="115">
        <f t="shared" ca="1" si="61"/>
        <v>0</v>
      </c>
      <c r="P165" s="115">
        <f t="shared" ca="1" si="61"/>
        <v>0</v>
      </c>
      <c r="Q165" s="115">
        <f t="shared" ca="1" si="61"/>
        <v>0</v>
      </c>
      <c r="R165" s="115">
        <f t="shared" ca="1" si="61"/>
        <v>0</v>
      </c>
      <c r="S165" s="115">
        <f t="shared" ca="1" si="61"/>
        <v>0</v>
      </c>
      <c r="T165" s="115">
        <f t="shared" ca="1" si="61"/>
        <v>0</v>
      </c>
      <c r="U165" s="115">
        <f t="shared" ca="1" si="61"/>
        <v>0</v>
      </c>
      <c r="V165" s="115">
        <f t="shared" ca="1" si="62"/>
        <v>0</v>
      </c>
      <c r="W165" s="115">
        <f t="shared" ca="1" si="62"/>
        <v>0</v>
      </c>
      <c r="X165" s="115">
        <f t="shared" ca="1" si="62"/>
        <v>0</v>
      </c>
      <c r="Y165" s="115">
        <f t="shared" ca="1" si="62"/>
        <v>0</v>
      </c>
      <c r="Z165" s="115">
        <f t="shared" ca="1" si="62"/>
        <v>0</v>
      </c>
      <c r="AA165" s="115">
        <f t="shared" ca="1" si="62"/>
        <v>0</v>
      </c>
      <c r="AB165" s="115">
        <f t="shared" ca="1" si="62"/>
        <v>0</v>
      </c>
      <c r="AC165" s="115">
        <f t="shared" ca="1" si="62"/>
        <v>0</v>
      </c>
      <c r="AD165" s="115">
        <f t="shared" ca="1" si="62"/>
        <v>0</v>
      </c>
      <c r="AE165" s="115">
        <f t="shared" ca="1" si="62"/>
        <v>0</v>
      </c>
      <c r="AF165" s="115">
        <f t="shared" ca="1" si="62"/>
        <v>0</v>
      </c>
      <c r="AG165" s="115">
        <f t="shared" ca="1" si="62"/>
        <v>0</v>
      </c>
      <c r="AH165" s="115">
        <f t="shared" ca="1" si="62"/>
        <v>0</v>
      </c>
      <c r="AI165" s="115">
        <f t="shared" ca="1" si="62"/>
        <v>0</v>
      </c>
      <c r="AJ165" s="115">
        <f t="shared" ca="1" si="62"/>
        <v>0</v>
      </c>
      <c r="AK165" s="115">
        <f t="shared" ca="1" si="62"/>
        <v>0</v>
      </c>
      <c r="AL165" s="115">
        <f t="shared" ca="1" si="63"/>
        <v>0</v>
      </c>
      <c r="AM165" s="115">
        <f t="shared" ca="1" si="63"/>
        <v>0</v>
      </c>
      <c r="AN165" s="115">
        <f t="shared" ca="1" si="63"/>
        <v>0</v>
      </c>
      <c r="AO165" s="115">
        <f t="shared" ca="1" si="63"/>
        <v>0</v>
      </c>
    </row>
    <row r="166" spans="2:41">
      <c r="D166" s="133">
        <f t="shared" ca="1" si="64"/>
        <v>-0.77077625570776276</v>
      </c>
      <c r="E166" s="115">
        <f t="shared" ca="1" si="60"/>
        <v>0</v>
      </c>
      <c r="F166" s="115">
        <f t="shared" ca="1" si="61"/>
        <v>0</v>
      </c>
      <c r="G166" s="115">
        <f t="shared" ca="1" si="61"/>
        <v>0</v>
      </c>
      <c r="H166" s="115">
        <f t="shared" ca="1" si="61"/>
        <v>0</v>
      </c>
      <c r="I166" s="115">
        <f t="shared" ca="1" si="61"/>
        <v>0</v>
      </c>
      <c r="J166" s="115">
        <f t="shared" ca="1" si="61"/>
        <v>0</v>
      </c>
      <c r="K166" s="115">
        <f t="shared" ca="1" si="61"/>
        <v>0</v>
      </c>
      <c r="L166" s="115">
        <f t="shared" ca="1" si="61"/>
        <v>0</v>
      </c>
      <c r="M166" s="115">
        <f t="shared" ca="1" si="61"/>
        <v>0</v>
      </c>
      <c r="N166" s="115">
        <f t="shared" ca="1" si="61"/>
        <v>0</v>
      </c>
      <c r="O166" s="115">
        <f t="shared" ca="1" si="61"/>
        <v>0</v>
      </c>
      <c r="P166" s="115">
        <f t="shared" ca="1" si="61"/>
        <v>0</v>
      </c>
      <c r="Q166" s="115">
        <f t="shared" ca="1" si="61"/>
        <v>0</v>
      </c>
      <c r="R166" s="115">
        <f t="shared" ca="1" si="61"/>
        <v>0</v>
      </c>
      <c r="S166" s="115">
        <f t="shared" ca="1" si="61"/>
        <v>0</v>
      </c>
      <c r="T166" s="115">
        <f t="shared" ca="1" si="61"/>
        <v>0</v>
      </c>
      <c r="U166" s="115">
        <f t="shared" ca="1" si="61"/>
        <v>0</v>
      </c>
      <c r="V166" s="115">
        <f t="shared" ca="1" si="62"/>
        <v>0</v>
      </c>
      <c r="W166" s="115">
        <f t="shared" ca="1" si="62"/>
        <v>0</v>
      </c>
      <c r="X166" s="115">
        <f t="shared" ca="1" si="62"/>
        <v>0</v>
      </c>
      <c r="Y166" s="115">
        <f t="shared" ca="1" si="62"/>
        <v>0</v>
      </c>
      <c r="Z166" s="115">
        <f t="shared" ca="1" si="62"/>
        <v>0</v>
      </c>
      <c r="AA166" s="115">
        <f t="shared" ca="1" si="62"/>
        <v>0</v>
      </c>
      <c r="AB166" s="115">
        <f t="shared" ca="1" si="62"/>
        <v>0</v>
      </c>
      <c r="AC166" s="115">
        <f t="shared" ca="1" si="62"/>
        <v>0</v>
      </c>
      <c r="AD166" s="115">
        <f t="shared" ca="1" si="62"/>
        <v>0</v>
      </c>
      <c r="AE166" s="115">
        <f t="shared" ca="1" si="62"/>
        <v>0</v>
      </c>
      <c r="AF166" s="115">
        <f t="shared" ca="1" si="62"/>
        <v>0</v>
      </c>
      <c r="AG166" s="115">
        <f t="shared" ca="1" si="62"/>
        <v>0</v>
      </c>
      <c r="AH166" s="115">
        <f t="shared" ca="1" si="62"/>
        <v>0</v>
      </c>
      <c r="AI166" s="115">
        <f t="shared" ca="1" si="62"/>
        <v>0</v>
      </c>
      <c r="AJ166" s="115">
        <f t="shared" ca="1" si="62"/>
        <v>0</v>
      </c>
      <c r="AK166" s="115">
        <f t="shared" ca="1" si="62"/>
        <v>0</v>
      </c>
      <c r="AL166" s="115">
        <f t="shared" ca="1" si="63"/>
        <v>0</v>
      </c>
      <c r="AM166" s="115">
        <f t="shared" ca="1" si="63"/>
        <v>0</v>
      </c>
      <c r="AN166" s="115">
        <f t="shared" ca="1" si="63"/>
        <v>0</v>
      </c>
      <c r="AO166" s="115">
        <f t="shared" ca="1" si="63"/>
        <v>0</v>
      </c>
    </row>
    <row r="167" spans="2:41">
      <c r="D167" s="133">
        <f t="shared" ca="1" si="64"/>
        <v>-0.77123287671232899</v>
      </c>
      <c r="E167" s="115">
        <f t="shared" ca="1" si="60"/>
        <v>0</v>
      </c>
      <c r="F167" s="115">
        <f t="shared" ca="1" si="61"/>
        <v>0</v>
      </c>
      <c r="G167" s="115">
        <f t="shared" ca="1" si="61"/>
        <v>0</v>
      </c>
      <c r="H167" s="115">
        <f t="shared" ca="1" si="61"/>
        <v>0</v>
      </c>
      <c r="I167" s="115">
        <f t="shared" ca="1" si="61"/>
        <v>0</v>
      </c>
      <c r="J167" s="115">
        <f t="shared" ca="1" si="61"/>
        <v>0</v>
      </c>
      <c r="K167" s="115">
        <f t="shared" ca="1" si="61"/>
        <v>0</v>
      </c>
      <c r="L167" s="115">
        <f t="shared" ca="1" si="61"/>
        <v>0</v>
      </c>
      <c r="M167" s="115">
        <f t="shared" ca="1" si="61"/>
        <v>0</v>
      </c>
      <c r="N167" s="115">
        <f t="shared" ca="1" si="61"/>
        <v>0</v>
      </c>
      <c r="O167" s="115">
        <f t="shared" ca="1" si="61"/>
        <v>0</v>
      </c>
      <c r="P167" s="115">
        <f t="shared" ca="1" si="61"/>
        <v>0</v>
      </c>
      <c r="Q167" s="115">
        <f t="shared" ca="1" si="61"/>
        <v>0</v>
      </c>
      <c r="R167" s="115">
        <f t="shared" ca="1" si="61"/>
        <v>0</v>
      </c>
      <c r="S167" s="115">
        <f t="shared" ca="1" si="61"/>
        <v>0</v>
      </c>
      <c r="T167" s="115">
        <f t="shared" ca="1" si="61"/>
        <v>0</v>
      </c>
      <c r="U167" s="115">
        <f t="shared" ref="U167:AJ182" ca="1" si="65">IFERROR((OptionPrice(LEFT($C$42),U$35,$C$37,$D167,$C$39,$C$41,$C$40)-$C$43)*$C$44,0)</f>
        <v>0</v>
      </c>
      <c r="V167" s="115">
        <f t="shared" ca="1" si="62"/>
        <v>0</v>
      </c>
      <c r="W167" s="115">
        <f t="shared" ca="1" si="62"/>
        <v>0</v>
      </c>
      <c r="X167" s="115">
        <f t="shared" ca="1" si="62"/>
        <v>0</v>
      </c>
      <c r="Y167" s="115">
        <f t="shared" ca="1" si="62"/>
        <v>0</v>
      </c>
      <c r="Z167" s="115">
        <f t="shared" ca="1" si="62"/>
        <v>0</v>
      </c>
      <c r="AA167" s="115">
        <f t="shared" ca="1" si="62"/>
        <v>0</v>
      </c>
      <c r="AB167" s="115">
        <f t="shared" ca="1" si="62"/>
        <v>0</v>
      </c>
      <c r="AC167" s="115">
        <f t="shared" ca="1" si="62"/>
        <v>0</v>
      </c>
      <c r="AD167" s="115">
        <f t="shared" ca="1" si="62"/>
        <v>0</v>
      </c>
      <c r="AE167" s="115">
        <f t="shared" ca="1" si="62"/>
        <v>0</v>
      </c>
      <c r="AF167" s="115">
        <f t="shared" ca="1" si="62"/>
        <v>0</v>
      </c>
      <c r="AG167" s="115">
        <f t="shared" ca="1" si="62"/>
        <v>0</v>
      </c>
      <c r="AH167" s="115">
        <f t="shared" ca="1" si="62"/>
        <v>0</v>
      </c>
      <c r="AI167" s="115">
        <f t="shared" ca="1" si="62"/>
        <v>0</v>
      </c>
      <c r="AJ167" s="115">
        <f t="shared" ca="1" si="62"/>
        <v>0</v>
      </c>
      <c r="AK167" s="115">
        <f t="shared" ref="AK167:AK182" ca="1" si="66">IFERROR((OptionPrice(LEFT($C$42),AK$35,$C$37,$D167,$C$39,$C$41,$C$40)-$C$43)*$C$44,0)</f>
        <v>0</v>
      </c>
      <c r="AL167" s="115">
        <f t="shared" ca="1" si="63"/>
        <v>0</v>
      </c>
      <c r="AM167" s="115">
        <f t="shared" ca="1" si="63"/>
        <v>0</v>
      </c>
      <c r="AN167" s="115">
        <f t="shared" ca="1" si="63"/>
        <v>0</v>
      </c>
      <c r="AO167" s="115">
        <f t="shared" ca="1" si="63"/>
        <v>0</v>
      </c>
    </row>
    <row r="168" spans="2:41">
      <c r="D168" s="133">
        <f t="shared" ca="1" si="64"/>
        <v>-0.77168949771689521</v>
      </c>
      <c r="E168" s="115">
        <f t="shared" ca="1" si="60"/>
        <v>0</v>
      </c>
      <c r="F168" s="115">
        <f t="shared" ref="F168:T168" ca="1" si="67">IFERROR((OptionPrice(LEFT($C$42),F$35,$C$37,$D168,$C$39,$C$41,$C$40)-$C$43)*$C$44,0)</f>
        <v>0</v>
      </c>
      <c r="G168" s="115">
        <f t="shared" ca="1" si="67"/>
        <v>0</v>
      </c>
      <c r="H168" s="115">
        <f t="shared" ca="1" si="67"/>
        <v>0</v>
      </c>
      <c r="I168" s="115">
        <f t="shared" ca="1" si="67"/>
        <v>0</v>
      </c>
      <c r="J168" s="115">
        <f t="shared" ca="1" si="67"/>
        <v>0</v>
      </c>
      <c r="K168" s="115">
        <f t="shared" ca="1" si="67"/>
        <v>0</v>
      </c>
      <c r="L168" s="115">
        <f t="shared" ca="1" si="67"/>
        <v>0</v>
      </c>
      <c r="M168" s="115">
        <f t="shared" ca="1" si="67"/>
        <v>0</v>
      </c>
      <c r="N168" s="115">
        <f t="shared" ca="1" si="67"/>
        <v>0</v>
      </c>
      <c r="O168" s="115">
        <f t="shared" ca="1" si="67"/>
        <v>0</v>
      </c>
      <c r="P168" s="115">
        <f t="shared" ca="1" si="67"/>
        <v>0</v>
      </c>
      <c r="Q168" s="115">
        <f t="shared" ca="1" si="67"/>
        <v>0</v>
      </c>
      <c r="R168" s="115">
        <f t="shared" ca="1" si="67"/>
        <v>0</v>
      </c>
      <c r="S168" s="115">
        <f t="shared" ca="1" si="67"/>
        <v>0</v>
      </c>
      <c r="T168" s="115">
        <f t="shared" ca="1" si="67"/>
        <v>0</v>
      </c>
      <c r="U168" s="115">
        <f t="shared" ca="1" si="65"/>
        <v>0</v>
      </c>
      <c r="V168" s="115">
        <f t="shared" ca="1" si="65"/>
        <v>0</v>
      </c>
      <c r="W168" s="115">
        <f t="shared" ca="1" si="65"/>
        <v>0</v>
      </c>
      <c r="X168" s="115">
        <f t="shared" ca="1" si="65"/>
        <v>0</v>
      </c>
      <c r="Y168" s="115">
        <f t="shared" ca="1" si="65"/>
        <v>0</v>
      </c>
      <c r="Z168" s="115">
        <f t="shared" ca="1" si="65"/>
        <v>0</v>
      </c>
      <c r="AA168" s="115">
        <f t="shared" ca="1" si="65"/>
        <v>0</v>
      </c>
      <c r="AB168" s="115">
        <f t="shared" ca="1" si="65"/>
        <v>0</v>
      </c>
      <c r="AC168" s="115">
        <f t="shared" ca="1" si="65"/>
        <v>0</v>
      </c>
      <c r="AD168" s="115">
        <f t="shared" ca="1" si="65"/>
        <v>0</v>
      </c>
      <c r="AE168" s="115">
        <f t="shared" ca="1" si="65"/>
        <v>0</v>
      </c>
      <c r="AF168" s="115">
        <f t="shared" ca="1" si="65"/>
        <v>0</v>
      </c>
      <c r="AG168" s="115">
        <f t="shared" ca="1" si="65"/>
        <v>0</v>
      </c>
      <c r="AH168" s="115">
        <f t="shared" ca="1" si="65"/>
        <v>0</v>
      </c>
      <c r="AI168" s="115">
        <f t="shared" ca="1" si="65"/>
        <v>0</v>
      </c>
      <c r="AJ168" s="115">
        <f t="shared" ca="1" si="65"/>
        <v>0</v>
      </c>
      <c r="AK168" s="115">
        <f t="shared" ca="1" si="66"/>
        <v>0</v>
      </c>
      <c r="AL168" s="115">
        <f t="shared" ca="1" si="63"/>
        <v>0</v>
      </c>
      <c r="AM168" s="115">
        <f t="shared" ca="1" si="63"/>
        <v>0</v>
      </c>
      <c r="AN168" s="115">
        <f t="shared" ca="1" si="63"/>
        <v>0</v>
      </c>
      <c r="AO168" s="115">
        <f t="shared" ca="1" si="63"/>
        <v>0</v>
      </c>
    </row>
    <row r="169" spans="2:41">
      <c r="D169" s="133">
        <f t="shared" ca="1" si="64"/>
        <v>-0.77214611872146144</v>
      </c>
      <c r="E169" s="115">
        <f t="shared" ref="E169:T183" ca="1" si="68">IFERROR((OptionPrice(LEFT($C$42),E$35,$C$37,$D169,$C$39,$C$41,$C$40)-$C$43)*$C$44,0)</f>
        <v>0</v>
      </c>
      <c r="F169" s="115">
        <f t="shared" ca="1" si="68"/>
        <v>0</v>
      </c>
      <c r="G169" s="115">
        <f t="shared" ca="1" si="68"/>
        <v>0</v>
      </c>
      <c r="H169" s="115">
        <f t="shared" ca="1" si="68"/>
        <v>0</v>
      </c>
      <c r="I169" s="115">
        <f t="shared" ca="1" si="68"/>
        <v>0</v>
      </c>
      <c r="J169" s="115">
        <f t="shared" ca="1" si="68"/>
        <v>0</v>
      </c>
      <c r="K169" s="115">
        <f t="shared" ca="1" si="68"/>
        <v>0</v>
      </c>
      <c r="L169" s="115">
        <f t="shared" ca="1" si="68"/>
        <v>0</v>
      </c>
      <c r="M169" s="115">
        <f t="shared" ca="1" si="68"/>
        <v>0</v>
      </c>
      <c r="N169" s="115">
        <f t="shared" ca="1" si="68"/>
        <v>0</v>
      </c>
      <c r="O169" s="115">
        <f t="shared" ca="1" si="68"/>
        <v>0</v>
      </c>
      <c r="P169" s="115">
        <f t="shared" ca="1" si="68"/>
        <v>0</v>
      </c>
      <c r="Q169" s="115">
        <f t="shared" ca="1" si="68"/>
        <v>0</v>
      </c>
      <c r="R169" s="115">
        <f t="shared" ca="1" si="68"/>
        <v>0</v>
      </c>
      <c r="S169" s="115">
        <f t="shared" ca="1" si="68"/>
        <v>0</v>
      </c>
      <c r="T169" s="115">
        <f t="shared" ca="1" si="68"/>
        <v>0</v>
      </c>
      <c r="U169" s="115">
        <f t="shared" ca="1" si="65"/>
        <v>0</v>
      </c>
      <c r="V169" s="115">
        <f t="shared" ca="1" si="65"/>
        <v>0</v>
      </c>
      <c r="W169" s="115">
        <f t="shared" ca="1" si="65"/>
        <v>0</v>
      </c>
      <c r="X169" s="115">
        <f t="shared" ca="1" si="65"/>
        <v>0</v>
      </c>
      <c r="Y169" s="115">
        <f t="shared" ca="1" si="65"/>
        <v>0</v>
      </c>
      <c r="Z169" s="115">
        <f t="shared" ca="1" si="65"/>
        <v>0</v>
      </c>
      <c r="AA169" s="115">
        <f t="shared" ca="1" si="65"/>
        <v>0</v>
      </c>
      <c r="AB169" s="115">
        <f t="shared" ca="1" si="65"/>
        <v>0</v>
      </c>
      <c r="AC169" s="115">
        <f t="shared" ca="1" si="65"/>
        <v>0</v>
      </c>
      <c r="AD169" s="115">
        <f t="shared" ca="1" si="65"/>
        <v>0</v>
      </c>
      <c r="AE169" s="115">
        <f t="shared" ca="1" si="65"/>
        <v>0</v>
      </c>
      <c r="AF169" s="115">
        <f t="shared" ca="1" si="65"/>
        <v>0</v>
      </c>
      <c r="AG169" s="115">
        <f t="shared" ca="1" si="65"/>
        <v>0</v>
      </c>
      <c r="AH169" s="115">
        <f t="shared" ca="1" si="65"/>
        <v>0</v>
      </c>
      <c r="AI169" s="115">
        <f t="shared" ca="1" si="65"/>
        <v>0</v>
      </c>
      <c r="AJ169" s="115">
        <f t="shared" ca="1" si="65"/>
        <v>0</v>
      </c>
      <c r="AK169" s="115">
        <f t="shared" ca="1" si="66"/>
        <v>0</v>
      </c>
      <c r="AL169" s="115">
        <f t="shared" ca="1" si="63"/>
        <v>0</v>
      </c>
      <c r="AM169" s="115">
        <f t="shared" ca="1" si="63"/>
        <v>0</v>
      </c>
      <c r="AN169" s="115">
        <f t="shared" ca="1" si="63"/>
        <v>0</v>
      </c>
      <c r="AO169" s="115">
        <f t="shared" ca="1" si="63"/>
        <v>0</v>
      </c>
    </row>
    <row r="170" spans="2:41">
      <c r="D170" s="133">
        <f t="shared" ca="1" si="64"/>
        <v>-0.77260273972602767</v>
      </c>
      <c r="E170" s="115">
        <f t="shared" ca="1" si="68"/>
        <v>0</v>
      </c>
      <c r="F170" s="115">
        <f t="shared" ca="1" si="68"/>
        <v>0</v>
      </c>
      <c r="G170" s="115">
        <f t="shared" ca="1" si="68"/>
        <v>0</v>
      </c>
      <c r="H170" s="115">
        <f t="shared" ca="1" si="68"/>
        <v>0</v>
      </c>
      <c r="I170" s="115">
        <f t="shared" ca="1" si="68"/>
        <v>0</v>
      </c>
      <c r="J170" s="115">
        <f t="shared" ca="1" si="68"/>
        <v>0</v>
      </c>
      <c r="K170" s="115">
        <f t="shared" ca="1" si="68"/>
        <v>0</v>
      </c>
      <c r="L170" s="115">
        <f t="shared" ca="1" si="68"/>
        <v>0</v>
      </c>
      <c r="M170" s="115">
        <f t="shared" ca="1" si="68"/>
        <v>0</v>
      </c>
      <c r="N170" s="115">
        <f t="shared" ca="1" si="68"/>
        <v>0</v>
      </c>
      <c r="O170" s="115">
        <f t="shared" ca="1" si="68"/>
        <v>0</v>
      </c>
      <c r="P170" s="115">
        <f t="shared" ca="1" si="68"/>
        <v>0</v>
      </c>
      <c r="Q170" s="115">
        <f t="shared" ca="1" si="68"/>
        <v>0</v>
      </c>
      <c r="R170" s="115">
        <f t="shared" ca="1" si="68"/>
        <v>0</v>
      </c>
      <c r="S170" s="115">
        <f t="shared" ca="1" si="68"/>
        <v>0</v>
      </c>
      <c r="T170" s="115">
        <f t="shared" ca="1" si="68"/>
        <v>0</v>
      </c>
      <c r="U170" s="115">
        <f t="shared" ca="1" si="65"/>
        <v>0</v>
      </c>
      <c r="V170" s="115">
        <f t="shared" ca="1" si="65"/>
        <v>0</v>
      </c>
      <c r="W170" s="115">
        <f t="shared" ca="1" si="65"/>
        <v>0</v>
      </c>
      <c r="X170" s="115">
        <f t="shared" ca="1" si="65"/>
        <v>0</v>
      </c>
      <c r="Y170" s="115">
        <f t="shared" ca="1" si="65"/>
        <v>0</v>
      </c>
      <c r="Z170" s="115">
        <f t="shared" ca="1" si="65"/>
        <v>0</v>
      </c>
      <c r="AA170" s="115">
        <f t="shared" ca="1" si="65"/>
        <v>0</v>
      </c>
      <c r="AB170" s="115">
        <f t="shared" ca="1" si="65"/>
        <v>0</v>
      </c>
      <c r="AC170" s="115">
        <f t="shared" ca="1" si="65"/>
        <v>0</v>
      </c>
      <c r="AD170" s="115">
        <f t="shared" ca="1" si="65"/>
        <v>0</v>
      </c>
      <c r="AE170" s="115">
        <f t="shared" ca="1" si="65"/>
        <v>0</v>
      </c>
      <c r="AF170" s="115">
        <f t="shared" ca="1" si="65"/>
        <v>0</v>
      </c>
      <c r="AG170" s="115">
        <f t="shared" ca="1" si="65"/>
        <v>0</v>
      </c>
      <c r="AH170" s="115">
        <f t="shared" ca="1" si="65"/>
        <v>0</v>
      </c>
      <c r="AI170" s="115">
        <f t="shared" ca="1" si="65"/>
        <v>0</v>
      </c>
      <c r="AJ170" s="115">
        <f t="shared" ca="1" si="65"/>
        <v>0</v>
      </c>
      <c r="AK170" s="115">
        <f t="shared" ca="1" si="66"/>
        <v>0</v>
      </c>
      <c r="AL170" s="115">
        <f t="shared" ca="1" si="63"/>
        <v>0</v>
      </c>
      <c r="AM170" s="115">
        <f t="shared" ca="1" si="63"/>
        <v>0</v>
      </c>
      <c r="AN170" s="115">
        <f t="shared" ca="1" si="63"/>
        <v>0</v>
      </c>
      <c r="AO170" s="115">
        <f t="shared" ca="1" si="63"/>
        <v>0</v>
      </c>
    </row>
    <row r="171" spans="2:41">
      <c r="D171" s="133">
        <f t="shared" ca="1" si="64"/>
        <v>-0.77305936073059389</v>
      </c>
      <c r="E171" s="115">
        <f t="shared" ca="1" si="68"/>
        <v>0</v>
      </c>
      <c r="F171" s="115">
        <f t="shared" ca="1" si="68"/>
        <v>0</v>
      </c>
      <c r="G171" s="115">
        <f t="shared" ca="1" si="68"/>
        <v>0</v>
      </c>
      <c r="H171" s="115">
        <f t="shared" ca="1" si="68"/>
        <v>0</v>
      </c>
      <c r="I171" s="115">
        <f t="shared" ca="1" si="68"/>
        <v>0</v>
      </c>
      <c r="J171" s="115">
        <f t="shared" ca="1" si="68"/>
        <v>0</v>
      </c>
      <c r="K171" s="115">
        <f t="shared" ca="1" si="68"/>
        <v>0</v>
      </c>
      <c r="L171" s="115">
        <f t="shared" ca="1" si="68"/>
        <v>0</v>
      </c>
      <c r="M171" s="115">
        <f t="shared" ca="1" si="68"/>
        <v>0</v>
      </c>
      <c r="N171" s="115">
        <f t="shared" ca="1" si="68"/>
        <v>0</v>
      </c>
      <c r="O171" s="115">
        <f t="shared" ca="1" si="68"/>
        <v>0</v>
      </c>
      <c r="P171" s="115">
        <f t="shared" ca="1" si="68"/>
        <v>0</v>
      </c>
      <c r="Q171" s="115">
        <f t="shared" ca="1" si="68"/>
        <v>0</v>
      </c>
      <c r="R171" s="115">
        <f t="shared" ca="1" si="68"/>
        <v>0</v>
      </c>
      <c r="S171" s="115">
        <f t="shared" ca="1" si="68"/>
        <v>0</v>
      </c>
      <c r="T171" s="115">
        <f t="shared" ca="1" si="68"/>
        <v>0</v>
      </c>
      <c r="U171" s="115">
        <f t="shared" ca="1" si="65"/>
        <v>0</v>
      </c>
      <c r="V171" s="115">
        <f t="shared" ca="1" si="65"/>
        <v>0</v>
      </c>
      <c r="W171" s="115">
        <f t="shared" ca="1" si="65"/>
        <v>0</v>
      </c>
      <c r="X171" s="115">
        <f t="shared" ca="1" si="65"/>
        <v>0</v>
      </c>
      <c r="Y171" s="115">
        <f t="shared" ca="1" si="65"/>
        <v>0</v>
      </c>
      <c r="Z171" s="115">
        <f t="shared" ca="1" si="65"/>
        <v>0</v>
      </c>
      <c r="AA171" s="115">
        <f t="shared" ca="1" si="65"/>
        <v>0</v>
      </c>
      <c r="AB171" s="115">
        <f t="shared" ca="1" si="65"/>
        <v>0</v>
      </c>
      <c r="AC171" s="115">
        <f t="shared" ca="1" si="65"/>
        <v>0</v>
      </c>
      <c r="AD171" s="115">
        <f t="shared" ca="1" si="65"/>
        <v>0</v>
      </c>
      <c r="AE171" s="115">
        <f t="shared" ca="1" si="65"/>
        <v>0</v>
      </c>
      <c r="AF171" s="115">
        <f t="shared" ca="1" si="65"/>
        <v>0</v>
      </c>
      <c r="AG171" s="115">
        <f t="shared" ca="1" si="65"/>
        <v>0</v>
      </c>
      <c r="AH171" s="115">
        <f t="shared" ca="1" si="65"/>
        <v>0</v>
      </c>
      <c r="AI171" s="115">
        <f t="shared" ca="1" si="65"/>
        <v>0</v>
      </c>
      <c r="AJ171" s="115">
        <f t="shared" ca="1" si="65"/>
        <v>0</v>
      </c>
      <c r="AK171" s="115">
        <f t="shared" ca="1" si="66"/>
        <v>0</v>
      </c>
      <c r="AL171" s="115">
        <f t="shared" ca="1" si="63"/>
        <v>0</v>
      </c>
      <c r="AM171" s="115">
        <f t="shared" ca="1" si="63"/>
        <v>0</v>
      </c>
      <c r="AN171" s="115">
        <f t="shared" ca="1" si="63"/>
        <v>0</v>
      </c>
      <c r="AO171" s="115">
        <f t="shared" ca="1" si="63"/>
        <v>0</v>
      </c>
    </row>
    <row r="172" spans="2:41">
      <c r="D172" s="133">
        <f t="shared" ca="1" si="64"/>
        <v>-0.77351598173516012</v>
      </c>
      <c r="E172" s="115">
        <f t="shared" ca="1" si="68"/>
        <v>0</v>
      </c>
      <c r="F172" s="115">
        <f t="shared" ca="1" si="68"/>
        <v>0</v>
      </c>
      <c r="G172" s="115">
        <f t="shared" ca="1" si="68"/>
        <v>0</v>
      </c>
      <c r="H172" s="115">
        <f t="shared" ca="1" si="68"/>
        <v>0</v>
      </c>
      <c r="I172" s="115">
        <f t="shared" ca="1" si="68"/>
        <v>0</v>
      </c>
      <c r="J172" s="115">
        <f t="shared" ca="1" si="68"/>
        <v>0</v>
      </c>
      <c r="K172" s="115">
        <f t="shared" ca="1" si="68"/>
        <v>0</v>
      </c>
      <c r="L172" s="115">
        <f t="shared" ca="1" si="68"/>
        <v>0</v>
      </c>
      <c r="M172" s="115">
        <f t="shared" ca="1" si="68"/>
        <v>0</v>
      </c>
      <c r="N172" s="115">
        <f t="shared" ca="1" si="68"/>
        <v>0</v>
      </c>
      <c r="O172" s="115">
        <f t="shared" ca="1" si="68"/>
        <v>0</v>
      </c>
      <c r="P172" s="115">
        <f t="shared" ca="1" si="68"/>
        <v>0</v>
      </c>
      <c r="Q172" s="115">
        <f t="shared" ca="1" si="68"/>
        <v>0</v>
      </c>
      <c r="R172" s="115">
        <f t="shared" ca="1" si="68"/>
        <v>0</v>
      </c>
      <c r="S172" s="115">
        <f t="shared" ca="1" si="68"/>
        <v>0</v>
      </c>
      <c r="T172" s="115">
        <f t="shared" ca="1" si="68"/>
        <v>0</v>
      </c>
      <c r="U172" s="115">
        <f t="shared" ca="1" si="65"/>
        <v>0</v>
      </c>
      <c r="V172" s="115">
        <f t="shared" ca="1" si="65"/>
        <v>0</v>
      </c>
      <c r="W172" s="115">
        <f t="shared" ca="1" si="65"/>
        <v>0</v>
      </c>
      <c r="X172" s="115">
        <f t="shared" ca="1" si="65"/>
        <v>0</v>
      </c>
      <c r="Y172" s="115">
        <f t="shared" ca="1" si="65"/>
        <v>0</v>
      </c>
      <c r="Z172" s="115">
        <f t="shared" ca="1" si="65"/>
        <v>0</v>
      </c>
      <c r="AA172" s="115">
        <f t="shared" ca="1" si="65"/>
        <v>0</v>
      </c>
      <c r="AB172" s="115">
        <f t="shared" ca="1" si="65"/>
        <v>0</v>
      </c>
      <c r="AC172" s="115">
        <f t="shared" ca="1" si="65"/>
        <v>0</v>
      </c>
      <c r="AD172" s="115">
        <f t="shared" ca="1" si="65"/>
        <v>0</v>
      </c>
      <c r="AE172" s="115">
        <f t="shared" ca="1" si="65"/>
        <v>0</v>
      </c>
      <c r="AF172" s="115">
        <f t="shared" ca="1" si="65"/>
        <v>0</v>
      </c>
      <c r="AG172" s="115">
        <f t="shared" ca="1" si="65"/>
        <v>0</v>
      </c>
      <c r="AH172" s="115">
        <f t="shared" ca="1" si="65"/>
        <v>0</v>
      </c>
      <c r="AI172" s="115">
        <f t="shared" ca="1" si="65"/>
        <v>0</v>
      </c>
      <c r="AJ172" s="115">
        <f t="shared" ca="1" si="65"/>
        <v>0</v>
      </c>
      <c r="AK172" s="115">
        <f t="shared" ca="1" si="66"/>
        <v>0</v>
      </c>
      <c r="AL172" s="115">
        <f t="shared" ca="1" si="63"/>
        <v>0</v>
      </c>
      <c r="AM172" s="115">
        <f t="shared" ca="1" si="63"/>
        <v>0</v>
      </c>
      <c r="AN172" s="115">
        <f t="shared" ca="1" si="63"/>
        <v>0</v>
      </c>
      <c r="AO172" s="115">
        <f t="shared" ca="1" si="63"/>
        <v>0</v>
      </c>
    </row>
    <row r="173" spans="2:41">
      <c r="D173" s="133">
        <f t="shared" ca="1" si="64"/>
        <v>-0.77397260273972635</v>
      </c>
      <c r="E173" s="115">
        <f t="shared" ca="1" si="68"/>
        <v>0</v>
      </c>
      <c r="F173" s="115">
        <f t="shared" ca="1" si="68"/>
        <v>0</v>
      </c>
      <c r="G173" s="115">
        <f t="shared" ca="1" si="68"/>
        <v>0</v>
      </c>
      <c r="H173" s="115">
        <f t="shared" ca="1" si="68"/>
        <v>0</v>
      </c>
      <c r="I173" s="115">
        <f t="shared" ca="1" si="68"/>
        <v>0</v>
      </c>
      <c r="J173" s="115">
        <f t="shared" ca="1" si="68"/>
        <v>0</v>
      </c>
      <c r="K173" s="115">
        <f t="shared" ca="1" si="68"/>
        <v>0</v>
      </c>
      <c r="L173" s="115">
        <f t="shared" ca="1" si="68"/>
        <v>0</v>
      </c>
      <c r="M173" s="115">
        <f t="shared" ca="1" si="68"/>
        <v>0</v>
      </c>
      <c r="N173" s="115">
        <f t="shared" ca="1" si="68"/>
        <v>0</v>
      </c>
      <c r="O173" s="115">
        <f t="shared" ca="1" si="68"/>
        <v>0</v>
      </c>
      <c r="P173" s="115">
        <f t="shared" ca="1" si="68"/>
        <v>0</v>
      </c>
      <c r="Q173" s="115">
        <f t="shared" ca="1" si="68"/>
        <v>0</v>
      </c>
      <c r="R173" s="115">
        <f t="shared" ca="1" si="68"/>
        <v>0</v>
      </c>
      <c r="S173" s="115">
        <f t="shared" ca="1" si="68"/>
        <v>0</v>
      </c>
      <c r="T173" s="115">
        <f t="shared" ca="1" si="68"/>
        <v>0</v>
      </c>
      <c r="U173" s="115">
        <f t="shared" ca="1" si="65"/>
        <v>0</v>
      </c>
      <c r="V173" s="115">
        <f t="shared" ca="1" si="65"/>
        <v>0</v>
      </c>
      <c r="W173" s="115">
        <f t="shared" ca="1" si="65"/>
        <v>0</v>
      </c>
      <c r="X173" s="115">
        <f t="shared" ca="1" si="65"/>
        <v>0</v>
      </c>
      <c r="Y173" s="115">
        <f t="shared" ca="1" si="65"/>
        <v>0</v>
      </c>
      <c r="Z173" s="115">
        <f t="shared" ca="1" si="65"/>
        <v>0</v>
      </c>
      <c r="AA173" s="115">
        <f t="shared" ca="1" si="65"/>
        <v>0</v>
      </c>
      <c r="AB173" s="115">
        <f t="shared" ca="1" si="65"/>
        <v>0</v>
      </c>
      <c r="AC173" s="115">
        <f t="shared" ca="1" si="65"/>
        <v>0</v>
      </c>
      <c r="AD173" s="115">
        <f t="shared" ca="1" si="65"/>
        <v>0</v>
      </c>
      <c r="AE173" s="115">
        <f t="shared" ca="1" si="65"/>
        <v>0</v>
      </c>
      <c r="AF173" s="115">
        <f t="shared" ca="1" si="65"/>
        <v>0</v>
      </c>
      <c r="AG173" s="115">
        <f t="shared" ca="1" si="65"/>
        <v>0</v>
      </c>
      <c r="AH173" s="115">
        <f t="shared" ca="1" si="65"/>
        <v>0</v>
      </c>
      <c r="AI173" s="115">
        <f t="shared" ca="1" si="65"/>
        <v>0</v>
      </c>
      <c r="AJ173" s="115">
        <f t="shared" ca="1" si="65"/>
        <v>0</v>
      </c>
      <c r="AK173" s="115">
        <f t="shared" ca="1" si="66"/>
        <v>0</v>
      </c>
      <c r="AL173" s="115">
        <f t="shared" ca="1" si="63"/>
        <v>0</v>
      </c>
      <c r="AM173" s="115">
        <f t="shared" ca="1" si="63"/>
        <v>0</v>
      </c>
      <c r="AN173" s="115">
        <f t="shared" ca="1" si="63"/>
        <v>0</v>
      </c>
      <c r="AO173" s="115">
        <f t="shared" ca="1" si="63"/>
        <v>0</v>
      </c>
    </row>
    <row r="174" spans="2:41">
      <c r="D174" s="133">
        <f t="shared" ca="1" si="64"/>
        <v>-0.77442922374429257</v>
      </c>
      <c r="E174" s="115">
        <f t="shared" ca="1" si="68"/>
        <v>0</v>
      </c>
      <c r="F174" s="115">
        <f t="shared" ca="1" si="68"/>
        <v>0</v>
      </c>
      <c r="G174" s="115">
        <f t="shared" ca="1" si="68"/>
        <v>0</v>
      </c>
      <c r="H174" s="115">
        <f t="shared" ca="1" si="68"/>
        <v>0</v>
      </c>
      <c r="I174" s="115">
        <f t="shared" ca="1" si="68"/>
        <v>0</v>
      </c>
      <c r="J174" s="115">
        <f t="shared" ca="1" si="68"/>
        <v>0</v>
      </c>
      <c r="K174" s="115">
        <f t="shared" ca="1" si="68"/>
        <v>0</v>
      </c>
      <c r="L174" s="115">
        <f t="shared" ca="1" si="68"/>
        <v>0</v>
      </c>
      <c r="M174" s="115">
        <f t="shared" ca="1" si="68"/>
        <v>0</v>
      </c>
      <c r="N174" s="115">
        <f t="shared" ca="1" si="68"/>
        <v>0</v>
      </c>
      <c r="O174" s="115">
        <f t="shared" ca="1" si="68"/>
        <v>0</v>
      </c>
      <c r="P174" s="115">
        <f t="shared" ca="1" si="68"/>
        <v>0</v>
      </c>
      <c r="Q174" s="115">
        <f t="shared" ca="1" si="68"/>
        <v>0</v>
      </c>
      <c r="R174" s="115">
        <f t="shared" ca="1" si="68"/>
        <v>0</v>
      </c>
      <c r="S174" s="115">
        <f t="shared" ca="1" si="68"/>
        <v>0</v>
      </c>
      <c r="T174" s="115">
        <f t="shared" ca="1" si="68"/>
        <v>0</v>
      </c>
      <c r="U174" s="115">
        <f t="shared" ca="1" si="65"/>
        <v>0</v>
      </c>
      <c r="V174" s="115">
        <f t="shared" ca="1" si="65"/>
        <v>0</v>
      </c>
      <c r="W174" s="115">
        <f t="shared" ca="1" si="65"/>
        <v>0</v>
      </c>
      <c r="X174" s="115">
        <f t="shared" ca="1" si="65"/>
        <v>0</v>
      </c>
      <c r="Y174" s="115">
        <f t="shared" ca="1" si="65"/>
        <v>0</v>
      </c>
      <c r="Z174" s="115">
        <f t="shared" ca="1" si="65"/>
        <v>0</v>
      </c>
      <c r="AA174" s="115">
        <f t="shared" ca="1" si="65"/>
        <v>0</v>
      </c>
      <c r="AB174" s="115">
        <f t="shared" ca="1" si="65"/>
        <v>0</v>
      </c>
      <c r="AC174" s="115">
        <f t="shared" ca="1" si="65"/>
        <v>0</v>
      </c>
      <c r="AD174" s="115">
        <f t="shared" ca="1" si="65"/>
        <v>0</v>
      </c>
      <c r="AE174" s="115">
        <f t="shared" ca="1" si="65"/>
        <v>0</v>
      </c>
      <c r="AF174" s="115">
        <f t="shared" ca="1" si="65"/>
        <v>0</v>
      </c>
      <c r="AG174" s="115">
        <f t="shared" ca="1" si="65"/>
        <v>0</v>
      </c>
      <c r="AH174" s="115">
        <f t="shared" ca="1" si="65"/>
        <v>0</v>
      </c>
      <c r="AI174" s="115">
        <f t="shared" ca="1" si="65"/>
        <v>0</v>
      </c>
      <c r="AJ174" s="115">
        <f t="shared" ca="1" si="65"/>
        <v>0</v>
      </c>
      <c r="AK174" s="115">
        <f t="shared" ca="1" si="66"/>
        <v>0</v>
      </c>
      <c r="AL174" s="115">
        <f t="shared" ca="1" si="63"/>
        <v>0</v>
      </c>
      <c r="AM174" s="115">
        <f t="shared" ca="1" si="63"/>
        <v>0</v>
      </c>
      <c r="AN174" s="115">
        <f t="shared" ca="1" si="63"/>
        <v>0</v>
      </c>
      <c r="AO174" s="115">
        <f t="shared" ca="1" si="63"/>
        <v>0</v>
      </c>
    </row>
    <row r="175" spans="2:41">
      <c r="D175" s="133">
        <f t="shared" ca="1" si="64"/>
        <v>-0.7748858447488588</v>
      </c>
      <c r="E175" s="115">
        <f t="shared" ca="1" si="68"/>
        <v>0</v>
      </c>
      <c r="F175" s="115">
        <f t="shared" ca="1" si="68"/>
        <v>0</v>
      </c>
      <c r="G175" s="115">
        <f t="shared" ca="1" si="68"/>
        <v>0</v>
      </c>
      <c r="H175" s="115">
        <f t="shared" ca="1" si="68"/>
        <v>0</v>
      </c>
      <c r="I175" s="115">
        <f t="shared" ca="1" si="68"/>
        <v>0</v>
      </c>
      <c r="J175" s="115">
        <f t="shared" ca="1" si="68"/>
        <v>0</v>
      </c>
      <c r="K175" s="115">
        <f t="shared" ca="1" si="68"/>
        <v>0</v>
      </c>
      <c r="L175" s="115">
        <f t="shared" ca="1" si="68"/>
        <v>0</v>
      </c>
      <c r="M175" s="115">
        <f t="shared" ca="1" si="68"/>
        <v>0</v>
      </c>
      <c r="N175" s="115">
        <f t="shared" ca="1" si="68"/>
        <v>0</v>
      </c>
      <c r="O175" s="115">
        <f t="shared" ca="1" si="68"/>
        <v>0</v>
      </c>
      <c r="P175" s="115">
        <f t="shared" ca="1" si="68"/>
        <v>0</v>
      </c>
      <c r="Q175" s="115">
        <f t="shared" ca="1" si="68"/>
        <v>0</v>
      </c>
      <c r="R175" s="115">
        <f t="shared" ca="1" si="68"/>
        <v>0</v>
      </c>
      <c r="S175" s="115">
        <f t="shared" ca="1" si="68"/>
        <v>0</v>
      </c>
      <c r="T175" s="115">
        <f t="shared" ca="1" si="68"/>
        <v>0</v>
      </c>
      <c r="U175" s="115">
        <f t="shared" ca="1" si="65"/>
        <v>0</v>
      </c>
      <c r="V175" s="115">
        <f t="shared" ca="1" si="65"/>
        <v>0</v>
      </c>
      <c r="W175" s="115">
        <f t="shared" ca="1" si="65"/>
        <v>0</v>
      </c>
      <c r="X175" s="115">
        <f t="shared" ca="1" si="65"/>
        <v>0</v>
      </c>
      <c r="Y175" s="115">
        <f t="shared" ca="1" si="65"/>
        <v>0</v>
      </c>
      <c r="Z175" s="115">
        <f t="shared" ca="1" si="65"/>
        <v>0</v>
      </c>
      <c r="AA175" s="115">
        <f t="shared" ca="1" si="65"/>
        <v>0</v>
      </c>
      <c r="AB175" s="115">
        <f t="shared" ca="1" si="65"/>
        <v>0</v>
      </c>
      <c r="AC175" s="115">
        <f t="shared" ca="1" si="65"/>
        <v>0</v>
      </c>
      <c r="AD175" s="115">
        <f t="shared" ca="1" si="65"/>
        <v>0</v>
      </c>
      <c r="AE175" s="115">
        <f t="shared" ca="1" si="65"/>
        <v>0</v>
      </c>
      <c r="AF175" s="115">
        <f t="shared" ca="1" si="65"/>
        <v>0</v>
      </c>
      <c r="AG175" s="115">
        <f t="shared" ca="1" si="65"/>
        <v>0</v>
      </c>
      <c r="AH175" s="115">
        <f t="shared" ca="1" si="65"/>
        <v>0</v>
      </c>
      <c r="AI175" s="115">
        <f t="shared" ca="1" si="65"/>
        <v>0</v>
      </c>
      <c r="AJ175" s="115">
        <f t="shared" ca="1" si="65"/>
        <v>0</v>
      </c>
      <c r="AK175" s="115">
        <f t="shared" ca="1" si="66"/>
        <v>0</v>
      </c>
      <c r="AL175" s="115">
        <f t="shared" ca="1" si="63"/>
        <v>0</v>
      </c>
      <c r="AM175" s="115">
        <f t="shared" ca="1" si="63"/>
        <v>0</v>
      </c>
      <c r="AN175" s="115">
        <f t="shared" ca="1" si="63"/>
        <v>0</v>
      </c>
      <c r="AO175" s="115">
        <f t="shared" ca="1" si="63"/>
        <v>0</v>
      </c>
    </row>
    <row r="176" spans="2:41">
      <c r="D176" s="133">
        <f t="shared" ca="1" si="64"/>
        <v>-0.77534246575342503</v>
      </c>
      <c r="E176" s="115">
        <f t="shared" ca="1" si="68"/>
        <v>0</v>
      </c>
      <c r="F176" s="115">
        <f t="shared" ca="1" si="68"/>
        <v>0</v>
      </c>
      <c r="G176" s="115">
        <f t="shared" ca="1" si="68"/>
        <v>0</v>
      </c>
      <c r="H176" s="115">
        <f t="shared" ca="1" si="68"/>
        <v>0</v>
      </c>
      <c r="I176" s="115">
        <f t="shared" ca="1" si="68"/>
        <v>0</v>
      </c>
      <c r="J176" s="115">
        <f t="shared" ca="1" si="68"/>
        <v>0</v>
      </c>
      <c r="K176" s="115">
        <f t="shared" ca="1" si="68"/>
        <v>0</v>
      </c>
      <c r="L176" s="115">
        <f t="shared" ca="1" si="68"/>
        <v>0</v>
      </c>
      <c r="M176" s="115">
        <f t="shared" ca="1" si="68"/>
        <v>0</v>
      </c>
      <c r="N176" s="115">
        <f t="shared" ca="1" si="68"/>
        <v>0</v>
      </c>
      <c r="O176" s="115">
        <f t="shared" ca="1" si="68"/>
        <v>0</v>
      </c>
      <c r="P176" s="115">
        <f t="shared" ca="1" si="68"/>
        <v>0</v>
      </c>
      <c r="Q176" s="115">
        <f t="shared" ca="1" si="68"/>
        <v>0</v>
      </c>
      <c r="R176" s="115">
        <f t="shared" ca="1" si="68"/>
        <v>0</v>
      </c>
      <c r="S176" s="115">
        <f t="shared" ca="1" si="68"/>
        <v>0</v>
      </c>
      <c r="T176" s="115">
        <f t="shared" ca="1" si="68"/>
        <v>0</v>
      </c>
      <c r="U176" s="115">
        <f t="shared" ca="1" si="65"/>
        <v>0</v>
      </c>
      <c r="V176" s="115">
        <f t="shared" ca="1" si="65"/>
        <v>0</v>
      </c>
      <c r="W176" s="115">
        <f t="shared" ca="1" si="65"/>
        <v>0</v>
      </c>
      <c r="X176" s="115">
        <f t="shared" ca="1" si="65"/>
        <v>0</v>
      </c>
      <c r="Y176" s="115">
        <f t="shared" ca="1" si="65"/>
        <v>0</v>
      </c>
      <c r="Z176" s="115">
        <f t="shared" ca="1" si="65"/>
        <v>0</v>
      </c>
      <c r="AA176" s="115">
        <f t="shared" ca="1" si="65"/>
        <v>0</v>
      </c>
      <c r="AB176" s="115">
        <f t="shared" ca="1" si="65"/>
        <v>0</v>
      </c>
      <c r="AC176" s="115">
        <f t="shared" ca="1" si="65"/>
        <v>0</v>
      </c>
      <c r="AD176" s="115">
        <f t="shared" ca="1" si="65"/>
        <v>0</v>
      </c>
      <c r="AE176" s="115">
        <f t="shared" ca="1" si="65"/>
        <v>0</v>
      </c>
      <c r="AF176" s="115">
        <f t="shared" ca="1" si="65"/>
        <v>0</v>
      </c>
      <c r="AG176" s="115">
        <f t="shared" ca="1" si="65"/>
        <v>0</v>
      </c>
      <c r="AH176" s="115">
        <f t="shared" ca="1" si="65"/>
        <v>0</v>
      </c>
      <c r="AI176" s="115">
        <f t="shared" ca="1" si="65"/>
        <v>0</v>
      </c>
      <c r="AJ176" s="115">
        <f t="shared" ca="1" si="65"/>
        <v>0</v>
      </c>
      <c r="AK176" s="115">
        <f t="shared" ca="1" si="66"/>
        <v>0</v>
      </c>
      <c r="AL176" s="115">
        <f t="shared" ca="1" si="63"/>
        <v>0</v>
      </c>
      <c r="AM176" s="115">
        <f t="shared" ca="1" si="63"/>
        <v>0</v>
      </c>
      <c r="AN176" s="115">
        <f t="shared" ca="1" si="63"/>
        <v>0</v>
      </c>
      <c r="AO176" s="115">
        <f t="shared" ca="1" si="63"/>
        <v>0</v>
      </c>
    </row>
    <row r="177" spans="4:41">
      <c r="D177" s="133">
        <f t="shared" ca="1" si="64"/>
        <v>-0.77579908675799125</v>
      </c>
      <c r="E177" s="115">
        <f t="shared" ca="1" si="68"/>
        <v>0</v>
      </c>
      <c r="F177" s="115">
        <f t="shared" ca="1" si="68"/>
        <v>0</v>
      </c>
      <c r="G177" s="115">
        <f t="shared" ca="1" si="68"/>
        <v>0</v>
      </c>
      <c r="H177" s="115">
        <f t="shared" ca="1" si="68"/>
        <v>0</v>
      </c>
      <c r="I177" s="115">
        <f t="shared" ca="1" si="68"/>
        <v>0</v>
      </c>
      <c r="J177" s="115">
        <f t="shared" ca="1" si="68"/>
        <v>0</v>
      </c>
      <c r="K177" s="115">
        <f t="shared" ca="1" si="68"/>
        <v>0</v>
      </c>
      <c r="L177" s="115">
        <f t="shared" ca="1" si="68"/>
        <v>0</v>
      </c>
      <c r="M177" s="115">
        <f t="shared" ca="1" si="68"/>
        <v>0</v>
      </c>
      <c r="N177" s="115">
        <f t="shared" ca="1" si="68"/>
        <v>0</v>
      </c>
      <c r="O177" s="115">
        <f t="shared" ca="1" si="68"/>
        <v>0</v>
      </c>
      <c r="P177" s="115">
        <f t="shared" ca="1" si="68"/>
        <v>0</v>
      </c>
      <c r="Q177" s="115">
        <f t="shared" ca="1" si="68"/>
        <v>0</v>
      </c>
      <c r="R177" s="115">
        <f t="shared" ca="1" si="68"/>
        <v>0</v>
      </c>
      <c r="S177" s="115">
        <f t="shared" ca="1" si="68"/>
        <v>0</v>
      </c>
      <c r="T177" s="115">
        <f t="shared" ca="1" si="68"/>
        <v>0</v>
      </c>
      <c r="U177" s="115">
        <f t="shared" ca="1" si="65"/>
        <v>0</v>
      </c>
      <c r="V177" s="115">
        <f t="shared" ca="1" si="65"/>
        <v>0</v>
      </c>
      <c r="W177" s="115">
        <f t="shared" ca="1" si="65"/>
        <v>0</v>
      </c>
      <c r="X177" s="115">
        <f t="shared" ca="1" si="65"/>
        <v>0</v>
      </c>
      <c r="Y177" s="115">
        <f t="shared" ca="1" si="65"/>
        <v>0</v>
      </c>
      <c r="Z177" s="115">
        <f t="shared" ca="1" si="65"/>
        <v>0</v>
      </c>
      <c r="AA177" s="115">
        <f t="shared" ca="1" si="65"/>
        <v>0</v>
      </c>
      <c r="AB177" s="115">
        <f t="shared" ca="1" si="65"/>
        <v>0</v>
      </c>
      <c r="AC177" s="115">
        <f t="shared" ca="1" si="65"/>
        <v>0</v>
      </c>
      <c r="AD177" s="115">
        <f t="shared" ca="1" si="65"/>
        <v>0</v>
      </c>
      <c r="AE177" s="115">
        <f t="shared" ca="1" si="65"/>
        <v>0</v>
      </c>
      <c r="AF177" s="115">
        <f t="shared" ca="1" si="65"/>
        <v>0</v>
      </c>
      <c r="AG177" s="115">
        <f t="shared" ca="1" si="65"/>
        <v>0</v>
      </c>
      <c r="AH177" s="115">
        <f t="shared" ca="1" si="65"/>
        <v>0</v>
      </c>
      <c r="AI177" s="115">
        <f t="shared" ca="1" si="65"/>
        <v>0</v>
      </c>
      <c r="AJ177" s="115">
        <f t="shared" ca="1" si="65"/>
        <v>0</v>
      </c>
      <c r="AK177" s="115">
        <f t="shared" ca="1" si="66"/>
        <v>0</v>
      </c>
      <c r="AL177" s="115">
        <f t="shared" ca="1" si="63"/>
        <v>0</v>
      </c>
      <c r="AM177" s="115">
        <f t="shared" ca="1" si="63"/>
        <v>0</v>
      </c>
      <c r="AN177" s="115">
        <f t="shared" ca="1" si="63"/>
        <v>0</v>
      </c>
      <c r="AO177" s="115">
        <f t="shared" ca="1" si="63"/>
        <v>0</v>
      </c>
    </row>
    <row r="178" spans="4:41">
      <c r="D178" s="133">
        <f t="shared" ca="1" si="64"/>
        <v>-0.77625570776255748</v>
      </c>
      <c r="E178" s="115">
        <f t="shared" ca="1" si="68"/>
        <v>0</v>
      </c>
      <c r="F178" s="115">
        <f t="shared" ca="1" si="68"/>
        <v>0</v>
      </c>
      <c r="G178" s="115">
        <f t="shared" ca="1" si="68"/>
        <v>0</v>
      </c>
      <c r="H178" s="115">
        <f t="shared" ca="1" si="68"/>
        <v>0</v>
      </c>
      <c r="I178" s="115">
        <f t="shared" ca="1" si="68"/>
        <v>0</v>
      </c>
      <c r="J178" s="115">
        <f t="shared" ca="1" si="68"/>
        <v>0</v>
      </c>
      <c r="K178" s="115">
        <f t="shared" ca="1" si="68"/>
        <v>0</v>
      </c>
      <c r="L178" s="115">
        <f t="shared" ca="1" si="68"/>
        <v>0</v>
      </c>
      <c r="M178" s="115">
        <f t="shared" ca="1" si="68"/>
        <v>0</v>
      </c>
      <c r="N178" s="115">
        <f t="shared" ca="1" si="68"/>
        <v>0</v>
      </c>
      <c r="O178" s="115">
        <f t="shared" ca="1" si="68"/>
        <v>0</v>
      </c>
      <c r="P178" s="115">
        <f t="shared" ca="1" si="68"/>
        <v>0</v>
      </c>
      <c r="Q178" s="115">
        <f t="shared" ca="1" si="68"/>
        <v>0</v>
      </c>
      <c r="R178" s="115">
        <f t="shared" ca="1" si="68"/>
        <v>0</v>
      </c>
      <c r="S178" s="115">
        <f t="shared" ca="1" si="68"/>
        <v>0</v>
      </c>
      <c r="T178" s="115">
        <f t="shared" ca="1" si="68"/>
        <v>0</v>
      </c>
      <c r="U178" s="115">
        <f t="shared" ca="1" si="65"/>
        <v>0</v>
      </c>
      <c r="V178" s="115">
        <f t="shared" ca="1" si="65"/>
        <v>0</v>
      </c>
      <c r="W178" s="115">
        <f t="shared" ca="1" si="65"/>
        <v>0</v>
      </c>
      <c r="X178" s="115">
        <f t="shared" ca="1" si="65"/>
        <v>0</v>
      </c>
      <c r="Y178" s="115">
        <f t="shared" ca="1" si="65"/>
        <v>0</v>
      </c>
      <c r="Z178" s="115">
        <f t="shared" ca="1" si="65"/>
        <v>0</v>
      </c>
      <c r="AA178" s="115">
        <f t="shared" ca="1" si="65"/>
        <v>0</v>
      </c>
      <c r="AB178" s="115">
        <f t="shared" ca="1" si="65"/>
        <v>0</v>
      </c>
      <c r="AC178" s="115">
        <f t="shared" ca="1" si="65"/>
        <v>0</v>
      </c>
      <c r="AD178" s="115">
        <f t="shared" ca="1" si="65"/>
        <v>0</v>
      </c>
      <c r="AE178" s="115">
        <f t="shared" ca="1" si="65"/>
        <v>0</v>
      </c>
      <c r="AF178" s="115">
        <f t="shared" ca="1" si="65"/>
        <v>0</v>
      </c>
      <c r="AG178" s="115">
        <f t="shared" ca="1" si="65"/>
        <v>0</v>
      </c>
      <c r="AH178" s="115">
        <f t="shared" ca="1" si="65"/>
        <v>0</v>
      </c>
      <c r="AI178" s="115">
        <f t="shared" ca="1" si="65"/>
        <v>0</v>
      </c>
      <c r="AJ178" s="115">
        <f t="shared" ca="1" si="65"/>
        <v>0</v>
      </c>
      <c r="AK178" s="115">
        <f t="shared" ca="1" si="66"/>
        <v>0</v>
      </c>
      <c r="AL178" s="115">
        <f t="shared" ca="1" si="63"/>
        <v>0</v>
      </c>
      <c r="AM178" s="115">
        <f t="shared" ca="1" si="63"/>
        <v>0</v>
      </c>
      <c r="AN178" s="115">
        <f t="shared" ca="1" si="63"/>
        <v>0</v>
      </c>
      <c r="AO178" s="115">
        <f t="shared" ca="1" si="63"/>
        <v>0</v>
      </c>
    </row>
    <row r="179" spans="4:41">
      <c r="D179" s="133">
        <f t="shared" ca="1" si="64"/>
        <v>-0.77671232876712371</v>
      </c>
      <c r="E179" s="115">
        <f t="shared" ca="1" si="68"/>
        <v>0</v>
      </c>
      <c r="F179" s="115">
        <f t="shared" ca="1" si="68"/>
        <v>0</v>
      </c>
      <c r="G179" s="115">
        <f t="shared" ca="1" si="68"/>
        <v>0</v>
      </c>
      <c r="H179" s="115">
        <f t="shared" ca="1" si="68"/>
        <v>0</v>
      </c>
      <c r="I179" s="115">
        <f t="shared" ca="1" si="68"/>
        <v>0</v>
      </c>
      <c r="J179" s="115">
        <f t="shared" ca="1" si="68"/>
        <v>0</v>
      </c>
      <c r="K179" s="115">
        <f t="shared" ca="1" si="68"/>
        <v>0</v>
      </c>
      <c r="L179" s="115">
        <f t="shared" ca="1" si="68"/>
        <v>0</v>
      </c>
      <c r="M179" s="115">
        <f t="shared" ca="1" si="68"/>
        <v>0</v>
      </c>
      <c r="N179" s="115">
        <f t="shared" ca="1" si="68"/>
        <v>0</v>
      </c>
      <c r="O179" s="115">
        <f t="shared" ca="1" si="68"/>
        <v>0</v>
      </c>
      <c r="P179" s="115">
        <f t="shared" ca="1" si="68"/>
        <v>0</v>
      </c>
      <c r="Q179" s="115">
        <f t="shared" ca="1" si="68"/>
        <v>0</v>
      </c>
      <c r="R179" s="115">
        <f t="shared" ca="1" si="68"/>
        <v>0</v>
      </c>
      <c r="S179" s="115">
        <f t="shared" ca="1" si="68"/>
        <v>0</v>
      </c>
      <c r="T179" s="115">
        <f t="shared" ca="1" si="68"/>
        <v>0</v>
      </c>
      <c r="U179" s="115">
        <f t="shared" ca="1" si="65"/>
        <v>0</v>
      </c>
      <c r="V179" s="115">
        <f t="shared" ca="1" si="65"/>
        <v>0</v>
      </c>
      <c r="W179" s="115">
        <f t="shared" ca="1" si="65"/>
        <v>0</v>
      </c>
      <c r="X179" s="115">
        <f t="shared" ca="1" si="65"/>
        <v>0</v>
      </c>
      <c r="Y179" s="115">
        <f t="shared" ca="1" si="65"/>
        <v>0</v>
      </c>
      <c r="Z179" s="115">
        <f t="shared" ca="1" si="65"/>
        <v>0</v>
      </c>
      <c r="AA179" s="115">
        <f t="shared" ca="1" si="65"/>
        <v>0</v>
      </c>
      <c r="AB179" s="115">
        <f t="shared" ca="1" si="65"/>
        <v>0</v>
      </c>
      <c r="AC179" s="115">
        <f t="shared" ca="1" si="65"/>
        <v>0</v>
      </c>
      <c r="AD179" s="115">
        <f t="shared" ca="1" si="65"/>
        <v>0</v>
      </c>
      <c r="AE179" s="115">
        <f t="shared" ca="1" si="65"/>
        <v>0</v>
      </c>
      <c r="AF179" s="115">
        <f t="shared" ca="1" si="65"/>
        <v>0</v>
      </c>
      <c r="AG179" s="115">
        <f t="shared" ca="1" si="65"/>
        <v>0</v>
      </c>
      <c r="AH179" s="115">
        <f t="shared" ca="1" si="65"/>
        <v>0</v>
      </c>
      <c r="AI179" s="115">
        <f t="shared" ca="1" si="65"/>
        <v>0</v>
      </c>
      <c r="AJ179" s="115">
        <f t="shared" ca="1" si="65"/>
        <v>0</v>
      </c>
      <c r="AK179" s="115">
        <f t="shared" ca="1" si="66"/>
        <v>0</v>
      </c>
      <c r="AL179" s="115">
        <f t="shared" ca="1" si="63"/>
        <v>0</v>
      </c>
      <c r="AM179" s="115">
        <f t="shared" ca="1" si="63"/>
        <v>0</v>
      </c>
      <c r="AN179" s="115">
        <f t="shared" ca="1" si="63"/>
        <v>0</v>
      </c>
      <c r="AO179" s="115">
        <f t="shared" ca="1" si="63"/>
        <v>0</v>
      </c>
    </row>
    <row r="180" spans="4:41">
      <c r="D180" s="133">
        <f t="shared" ca="1" si="64"/>
        <v>-0.77716894977168993</v>
      </c>
      <c r="E180" s="115">
        <f t="shared" ca="1" si="68"/>
        <v>0</v>
      </c>
      <c r="F180" s="115">
        <f t="shared" ca="1" si="68"/>
        <v>0</v>
      </c>
      <c r="G180" s="115">
        <f t="shared" ca="1" si="68"/>
        <v>0</v>
      </c>
      <c r="H180" s="115">
        <f t="shared" ca="1" si="68"/>
        <v>0</v>
      </c>
      <c r="I180" s="115">
        <f t="shared" ca="1" si="68"/>
        <v>0</v>
      </c>
      <c r="J180" s="115">
        <f t="shared" ca="1" si="68"/>
        <v>0</v>
      </c>
      <c r="K180" s="115">
        <f t="shared" ca="1" si="68"/>
        <v>0</v>
      </c>
      <c r="L180" s="115">
        <f t="shared" ca="1" si="68"/>
        <v>0</v>
      </c>
      <c r="M180" s="115">
        <f t="shared" ca="1" si="68"/>
        <v>0</v>
      </c>
      <c r="N180" s="115">
        <f t="shared" ca="1" si="68"/>
        <v>0</v>
      </c>
      <c r="O180" s="115">
        <f t="shared" ca="1" si="68"/>
        <v>0</v>
      </c>
      <c r="P180" s="115">
        <f t="shared" ca="1" si="68"/>
        <v>0</v>
      </c>
      <c r="Q180" s="115">
        <f t="shared" ca="1" si="68"/>
        <v>0</v>
      </c>
      <c r="R180" s="115">
        <f t="shared" ca="1" si="68"/>
        <v>0</v>
      </c>
      <c r="S180" s="115">
        <f t="shared" ca="1" si="68"/>
        <v>0</v>
      </c>
      <c r="T180" s="115">
        <f t="shared" ca="1" si="68"/>
        <v>0</v>
      </c>
      <c r="U180" s="115">
        <f t="shared" ca="1" si="65"/>
        <v>0</v>
      </c>
      <c r="V180" s="115">
        <f t="shared" ca="1" si="65"/>
        <v>0</v>
      </c>
      <c r="W180" s="115">
        <f t="shared" ca="1" si="65"/>
        <v>0</v>
      </c>
      <c r="X180" s="115">
        <f t="shared" ca="1" si="65"/>
        <v>0</v>
      </c>
      <c r="Y180" s="115">
        <f t="shared" ca="1" si="65"/>
        <v>0</v>
      </c>
      <c r="Z180" s="115">
        <f t="shared" ca="1" si="65"/>
        <v>0</v>
      </c>
      <c r="AA180" s="115">
        <f t="shared" ca="1" si="65"/>
        <v>0</v>
      </c>
      <c r="AB180" s="115">
        <f t="shared" ca="1" si="65"/>
        <v>0</v>
      </c>
      <c r="AC180" s="115">
        <f t="shared" ca="1" si="65"/>
        <v>0</v>
      </c>
      <c r="AD180" s="115">
        <f t="shared" ca="1" si="65"/>
        <v>0</v>
      </c>
      <c r="AE180" s="115">
        <f t="shared" ca="1" si="65"/>
        <v>0</v>
      </c>
      <c r="AF180" s="115">
        <f t="shared" ca="1" si="65"/>
        <v>0</v>
      </c>
      <c r="AG180" s="115">
        <f t="shared" ca="1" si="65"/>
        <v>0</v>
      </c>
      <c r="AH180" s="115">
        <f t="shared" ca="1" si="65"/>
        <v>0</v>
      </c>
      <c r="AI180" s="115">
        <f t="shared" ca="1" si="65"/>
        <v>0</v>
      </c>
      <c r="AJ180" s="115">
        <f t="shared" ca="1" si="65"/>
        <v>0</v>
      </c>
      <c r="AK180" s="115">
        <f t="shared" ca="1" si="66"/>
        <v>0</v>
      </c>
      <c r="AL180" s="115">
        <f t="shared" ca="1" si="63"/>
        <v>0</v>
      </c>
      <c r="AM180" s="115">
        <f t="shared" ca="1" si="63"/>
        <v>0</v>
      </c>
      <c r="AN180" s="115">
        <f t="shared" ca="1" si="63"/>
        <v>0</v>
      </c>
      <c r="AO180" s="115">
        <f t="shared" ca="1" si="63"/>
        <v>0</v>
      </c>
    </row>
    <row r="181" spans="4:41">
      <c r="D181" s="133">
        <f t="shared" ca="1" si="64"/>
        <v>-0.77762557077625616</v>
      </c>
      <c r="E181" s="115">
        <f t="shared" ca="1" si="68"/>
        <v>0</v>
      </c>
      <c r="F181" s="115">
        <f t="shared" ca="1" si="68"/>
        <v>0</v>
      </c>
      <c r="G181" s="115">
        <f t="shared" ca="1" si="68"/>
        <v>0</v>
      </c>
      <c r="H181" s="115">
        <f t="shared" ca="1" si="68"/>
        <v>0</v>
      </c>
      <c r="I181" s="115">
        <f t="shared" ca="1" si="68"/>
        <v>0</v>
      </c>
      <c r="J181" s="115">
        <f t="shared" ca="1" si="68"/>
        <v>0</v>
      </c>
      <c r="K181" s="115">
        <f t="shared" ca="1" si="68"/>
        <v>0</v>
      </c>
      <c r="L181" s="115">
        <f t="shared" ca="1" si="68"/>
        <v>0</v>
      </c>
      <c r="M181" s="115">
        <f t="shared" ca="1" si="68"/>
        <v>0</v>
      </c>
      <c r="N181" s="115">
        <f t="shared" ca="1" si="68"/>
        <v>0</v>
      </c>
      <c r="O181" s="115">
        <f t="shared" ca="1" si="68"/>
        <v>0</v>
      </c>
      <c r="P181" s="115">
        <f t="shared" ca="1" si="68"/>
        <v>0</v>
      </c>
      <c r="Q181" s="115">
        <f t="shared" ca="1" si="68"/>
        <v>0</v>
      </c>
      <c r="R181" s="115">
        <f t="shared" ca="1" si="68"/>
        <v>0</v>
      </c>
      <c r="S181" s="115">
        <f t="shared" ca="1" si="68"/>
        <v>0</v>
      </c>
      <c r="T181" s="115">
        <f t="shared" ca="1" si="68"/>
        <v>0</v>
      </c>
      <c r="U181" s="115">
        <f t="shared" ca="1" si="65"/>
        <v>0</v>
      </c>
      <c r="V181" s="115">
        <f t="shared" ca="1" si="65"/>
        <v>0</v>
      </c>
      <c r="W181" s="115">
        <f t="shared" ca="1" si="65"/>
        <v>0</v>
      </c>
      <c r="X181" s="115">
        <f t="shared" ca="1" si="65"/>
        <v>0</v>
      </c>
      <c r="Y181" s="115">
        <f t="shared" ca="1" si="65"/>
        <v>0</v>
      </c>
      <c r="Z181" s="115">
        <f t="shared" ca="1" si="65"/>
        <v>0</v>
      </c>
      <c r="AA181" s="115">
        <f t="shared" ca="1" si="65"/>
        <v>0</v>
      </c>
      <c r="AB181" s="115">
        <f t="shared" ca="1" si="65"/>
        <v>0</v>
      </c>
      <c r="AC181" s="115">
        <f t="shared" ca="1" si="65"/>
        <v>0</v>
      </c>
      <c r="AD181" s="115">
        <f t="shared" ca="1" si="65"/>
        <v>0</v>
      </c>
      <c r="AE181" s="115">
        <f t="shared" ca="1" si="65"/>
        <v>0</v>
      </c>
      <c r="AF181" s="115">
        <f t="shared" ca="1" si="65"/>
        <v>0</v>
      </c>
      <c r="AG181" s="115">
        <f t="shared" ca="1" si="65"/>
        <v>0</v>
      </c>
      <c r="AH181" s="115">
        <f t="shared" ca="1" si="65"/>
        <v>0</v>
      </c>
      <c r="AI181" s="115">
        <f t="shared" ca="1" si="65"/>
        <v>0</v>
      </c>
      <c r="AJ181" s="115">
        <f t="shared" ca="1" si="65"/>
        <v>0</v>
      </c>
      <c r="AK181" s="115">
        <f t="shared" ca="1" si="66"/>
        <v>0</v>
      </c>
      <c r="AL181" s="115">
        <f t="shared" ca="1" si="63"/>
        <v>0</v>
      </c>
      <c r="AM181" s="115">
        <f t="shared" ca="1" si="63"/>
        <v>0</v>
      </c>
      <c r="AN181" s="115">
        <f t="shared" ca="1" si="63"/>
        <v>0</v>
      </c>
      <c r="AO181" s="115">
        <f t="shared" ca="1" si="63"/>
        <v>0</v>
      </c>
    </row>
    <row r="182" spans="4:41">
      <c r="D182" s="133">
        <f t="shared" ca="1" si="64"/>
        <v>-0.77808219178082239</v>
      </c>
      <c r="E182" s="115">
        <f t="shared" ca="1" si="68"/>
        <v>0</v>
      </c>
      <c r="F182" s="115">
        <f t="shared" ca="1" si="68"/>
        <v>0</v>
      </c>
      <c r="G182" s="115">
        <f t="shared" ca="1" si="68"/>
        <v>0</v>
      </c>
      <c r="H182" s="115">
        <f t="shared" ca="1" si="68"/>
        <v>0</v>
      </c>
      <c r="I182" s="115">
        <f t="shared" ca="1" si="68"/>
        <v>0</v>
      </c>
      <c r="J182" s="115">
        <f t="shared" ca="1" si="68"/>
        <v>0</v>
      </c>
      <c r="K182" s="115">
        <f t="shared" ca="1" si="68"/>
        <v>0</v>
      </c>
      <c r="L182" s="115">
        <f t="shared" ca="1" si="68"/>
        <v>0</v>
      </c>
      <c r="M182" s="115">
        <f t="shared" ca="1" si="68"/>
        <v>0</v>
      </c>
      <c r="N182" s="115">
        <f t="shared" ca="1" si="68"/>
        <v>0</v>
      </c>
      <c r="O182" s="115">
        <f t="shared" ca="1" si="68"/>
        <v>0</v>
      </c>
      <c r="P182" s="115">
        <f t="shared" ca="1" si="68"/>
        <v>0</v>
      </c>
      <c r="Q182" s="115">
        <f t="shared" ca="1" si="68"/>
        <v>0</v>
      </c>
      <c r="R182" s="115">
        <f t="shared" ca="1" si="68"/>
        <v>0</v>
      </c>
      <c r="S182" s="115">
        <f t="shared" ca="1" si="68"/>
        <v>0</v>
      </c>
      <c r="T182" s="115">
        <f t="shared" ca="1" si="68"/>
        <v>0</v>
      </c>
      <c r="U182" s="115">
        <f t="shared" ca="1" si="65"/>
        <v>0</v>
      </c>
      <c r="V182" s="115">
        <f t="shared" ca="1" si="65"/>
        <v>0</v>
      </c>
      <c r="W182" s="115">
        <f t="shared" ca="1" si="65"/>
        <v>0</v>
      </c>
      <c r="X182" s="115">
        <f t="shared" ca="1" si="65"/>
        <v>0</v>
      </c>
      <c r="Y182" s="115">
        <f t="shared" ca="1" si="65"/>
        <v>0</v>
      </c>
      <c r="Z182" s="115">
        <f t="shared" ca="1" si="65"/>
        <v>0</v>
      </c>
      <c r="AA182" s="115">
        <f t="shared" ca="1" si="65"/>
        <v>0</v>
      </c>
      <c r="AB182" s="115">
        <f t="shared" ca="1" si="65"/>
        <v>0</v>
      </c>
      <c r="AC182" s="115">
        <f t="shared" ca="1" si="65"/>
        <v>0</v>
      </c>
      <c r="AD182" s="115">
        <f t="shared" ca="1" si="65"/>
        <v>0</v>
      </c>
      <c r="AE182" s="115">
        <f t="shared" ca="1" si="65"/>
        <v>0</v>
      </c>
      <c r="AF182" s="115">
        <f t="shared" ca="1" si="65"/>
        <v>0</v>
      </c>
      <c r="AG182" s="115">
        <f t="shared" ca="1" si="65"/>
        <v>0</v>
      </c>
      <c r="AH182" s="115">
        <f t="shared" ca="1" si="65"/>
        <v>0</v>
      </c>
      <c r="AI182" s="115">
        <f t="shared" ca="1" si="65"/>
        <v>0</v>
      </c>
      <c r="AJ182" s="115">
        <f t="shared" ca="1" si="65"/>
        <v>0</v>
      </c>
      <c r="AK182" s="115">
        <f t="shared" ca="1" si="66"/>
        <v>0</v>
      </c>
      <c r="AL182" s="115">
        <f t="shared" ca="1" si="63"/>
        <v>0</v>
      </c>
      <c r="AM182" s="115">
        <f t="shared" ca="1" si="63"/>
        <v>0</v>
      </c>
      <c r="AN182" s="115">
        <f t="shared" ca="1" si="63"/>
        <v>0</v>
      </c>
      <c r="AO182" s="115">
        <f t="shared" ca="1" si="63"/>
        <v>0</v>
      </c>
    </row>
    <row r="183" spans="4:41">
      <c r="D183" s="133">
        <f t="shared" ca="1" si="64"/>
        <v>-0.77853881278538861</v>
      </c>
      <c r="E183" s="115">
        <f t="shared" ca="1" si="68"/>
        <v>0</v>
      </c>
      <c r="F183" s="115">
        <f t="shared" ca="1" si="68"/>
        <v>0</v>
      </c>
      <c r="G183" s="115">
        <f t="shared" ca="1" si="68"/>
        <v>0</v>
      </c>
      <c r="H183" s="115">
        <f t="shared" ca="1" si="68"/>
        <v>0</v>
      </c>
      <c r="I183" s="115">
        <f t="shared" ca="1" si="68"/>
        <v>0</v>
      </c>
      <c r="J183" s="115">
        <f t="shared" ca="1" si="68"/>
        <v>0</v>
      </c>
      <c r="K183" s="115">
        <f t="shared" ca="1" si="68"/>
        <v>0</v>
      </c>
      <c r="L183" s="115">
        <f t="shared" ca="1" si="68"/>
        <v>0</v>
      </c>
      <c r="M183" s="115">
        <f t="shared" ca="1" si="68"/>
        <v>0</v>
      </c>
      <c r="N183" s="115">
        <f t="shared" ca="1" si="68"/>
        <v>0</v>
      </c>
      <c r="O183" s="115">
        <f t="shared" ca="1" si="68"/>
        <v>0</v>
      </c>
      <c r="P183" s="115">
        <f t="shared" ca="1" si="68"/>
        <v>0</v>
      </c>
      <c r="Q183" s="115">
        <f t="shared" ca="1" si="68"/>
        <v>0</v>
      </c>
      <c r="R183" s="115">
        <f t="shared" ca="1" si="68"/>
        <v>0</v>
      </c>
      <c r="S183" s="115">
        <f t="shared" ca="1" si="68"/>
        <v>0</v>
      </c>
      <c r="T183" s="115">
        <f t="shared" ca="1" si="68"/>
        <v>0</v>
      </c>
      <c r="U183" s="115">
        <f t="shared" ref="U183:AK183" ca="1" si="69">IFERROR((OptionPrice(LEFT($C$42),U$35,$C$37,$D183,$C$39,$C$41,$C$40)-$C$43)*$C$44,0)</f>
        <v>0</v>
      </c>
      <c r="V183" s="115">
        <f t="shared" ca="1" si="69"/>
        <v>0</v>
      </c>
      <c r="W183" s="115">
        <f t="shared" ca="1" si="69"/>
        <v>0</v>
      </c>
      <c r="X183" s="115">
        <f t="shared" ca="1" si="69"/>
        <v>0</v>
      </c>
      <c r="Y183" s="115">
        <f t="shared" ca="1" si="69"/>
        <v>0</v>
      </c>
      <c r="Z183" s="115">
        <f t="shared" ca="1" si="69"/>
        <v>0</v>
      </c>
      <c r="AA183" s="115">
        <f t="shared" ca="1" si="69"/>
        <v>0</v>
      </c>
      <c r="AB183" s="115">
        <f t="shared" ca="1" si="69"/>
        <v>0</v>
      </c>
      <c r="AC183" s="115">
        <f t="shared" ca="1" si="69"/>
        <v>0</v>
      </c>
      <c r="AD183" s="115">
        <f t="shared" ca="1" si="69"/>
        <v>0</v>
      </c>
      <c r="AE183" s="115">
        <f t="shared" ca="1" si="69"/>
        <v>0</v>
      </c>
      <c r="AF183" s="115">
        <f t="shared" ca="1" si="69"/>
        <v>0</v>
      </c>
      <c r="AG183" s="115">
        <f t="shared" ca="1" si="69"/>
        <v>0</v>
      </c>
      <c r="AH183" s="115">
        <f t="shared" ca="1" si="69"/>
        <v>0</v>
      </c>
      <c r="AI183" s="115">
        <f t="shared" ca="1" si="69"/>
        <v>0</v>
      </c>
      <c r="AJ183" s="115">
        <f t="shared" ca="1" si="69"/>
        <v>0</v>
      </c>
      <c r="AK183" s="115">
        <f t="shared" ca="1" si="69"/>
        <v>0</v>
      </c>
      <c r="AL183" s="115">
        <f t="shared" ca="1" si="63"/>
        <v>0</v>
      </c>
      <c r="AM183" s="115">
        <f t="shared" ca="1" si="63"/>
        <v>0</v>
      </c>
      <c r="AN183" s="115">
        <f t="shared" ca="1" si="63"/>
        <v>0</v>
      </c>
      <c r="AO183" s="115">
        <f t="shared" ca="1" si="63"/>
        <v>0</v>
      </c>
    </row>
  </sheetData>
  <conditionalFormatting sqref="C6">
    <cfRule type="cellIs" dxfId="79" priority="81" operator="lessThan">
      <formula>0</formula>
    </cfRule>
    <cfRule type="cellIs" dxfId="78" priority="87" operator="greaterThan">
      <formula>0</formula>
    </cfRule>
  </conditionalFormatting>
  <conditionalFormatting sqref="C10">
    <cfRule type="cellIs" dxfId="77" priority="79" operator="lessThan">
      <formula>0</formula>
    </cfRule>
    <cfRule type="cellIs" dxfId="76" priority="80" operator="greaterThan">
      <formula>0</formula>
    </cfRule>
  </conditionalFormatting>
  <conditionalFormatting sqref="C7">
    <cfRule type="cellIs" dxfId="75" priority="69" operator="lessThan">
      <formula>0</formula>
    </cfRule>
    <cfRule type="cellIs" dxfId="74" priority="70" operator="greaterThan">
      <formula>0</formula>
    </cfRule>
  </conditionalFormatting>
  <conditionalFormatting sqref="C13">
    <cfRule type="cellIs" dxfId="73" priority="59" operator="lessThan">
      <formula>0</formula>
    </cfRule>
    <cfRule type="cellIs" dxfId="72" priority="60" operator="greaterThan">
      <formula>0</formula>
    </cfRule>
  </conditionalFormatting>
  <conditionalFormatting sqref="C15">
    <cfRule type="cellIs" dxfId="71" priority="57" operator="lessThan">
      <formula>0</formula>
    </cfRule>
    <cfRule type="cellIs" dxfId="70" priority="58" operator="greaterThan">
      <formula>0</formula>
    </cfRule>
  </conditionalFormatting>
  <conditionalFormatting sqref="C17">
    <cfRule type="cellIs" dxfId="69" priority="55" operator="lessThan">
      <formula>0</formula>
    </cfRule>
    <cfRule type="cellIs" dxfId="68" priority="56" operator="greaterThan">
      <formula>0</formula>
    </cfRule>
  </conditionalFormatting>
  <conditionalFormatting sqref="C19">
    <cfRule type="cellIs" dxfId="67" priority="53" operator="lessThan">
      <formula>0</formula>
    </cfRule>
    <cfRule type="cellIs" dxfId="66" priority="54" operator="greaterThan">
      <formula>0</formula>
    </cfRule>
  </conditionalFormatting>
  <conditionalFormatting sqref="C14">
    <cfRule type="cellIs" dxfId="65" priority="51" operator="lessThan">
      <formula>0</formula>
    </cfRule>
    <cfRule type="cellIs" dxfId="64" priority="52" operator="greaterThan">
      <formula>0</formula>
    </cfRule>
  </conditionalFormatting>
  <conditionalFormatting sqref="C16">
    <cfRule type="cellIs" dxfId="63" priority="49" operator="lessThan">
      <formula>0</formula>
    </cfRule>
    <cfRule type="cellIs" dxfId="62" priority="50" operator="greaterThan">
      <formula>0</formula>
    </cfRule>
  </conditionalFormatting>
  <conditionalFormatting sqref="C18">
    <cfRule type="cellIs" dxfId="61" priority="47" operator="lessThan">
      <formula>0</formula>
    </cfRule>
    <cfRule type="cellIs" dxfId="60" priority="48" operator="greaterThan">
      <formula>0</formula>
    </cfRule>
  </conditionalFormatting>
  <conditionalFormatting sqref="C20">
    <cfRule type="cellIs" dxfId="59" priority="45" operator="lessThan">
      <formula>0</formula>
    </cfRule>
    <cfRule type="cellIs" dxfId="58" priority="46" operator="greaterThan">
      <formula>0</formula>
    </cfRule>
  </conditionalFormatting>
  <conditionalFormatting sqref="E37:AO68">
    <cfRule type="containsText" dxfId="57" priority="21" operator="containsText" text="&quot;&quot;">
      <formula>NOT(ISERROR(SEARCH("""""",E37)))</formula>
    </cfRule>
    <cfRule type="cellIs" dxfId="56" priority="44" operator="greaterThan">
      <formula>1</formula>
    </cfRule>
  </conditionalFormatting>
  <conditionalFormatting sqref="E74:AO105">
    <cfRule type="cellIs" dxfId="55" priority="41" operator="greaterThan">
      <formula>0</formula>
    </cfRule>
  </conditionalFormatting>
  <conditionalFormatting sqref="E111:AO142">
    <cfRule type="cellIs" dxfId="54" priority="40" operator="greaterThan">
      <formula>0</formula>
    </cfRule>
  </conditionalFormatting>
  <conditionalFormatting sqref="E152:AO183">
    <cfRule type="containsText" dxfId="53" priority="13" operator="containsText" text="&quot;&quot;">
      <formula>NOT(ISERROR(SEARCH("""""",E152)))</formula>
    </cfRule>
    <cfRule type="cellIs" dxfId="52" priority="20" operator="greaterThan">
      <formula>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38" operator="between" id="{35A23C72-EB6D-4E8B-B7CA-2B0BF75A2513}">
            <xm:f>Market!$E$13</xm:f>
            <xm:f>Market!$F$13</xm:f>
            <x14:dxf>
              <fill>
                <patternFill>
                  <bgColor theme="9" tint="0.59996337778862885"/>
                </patternFill>
              </fill>
            </x14:dxf>
          </x14:cfRule>
          <x14:cfRule type="cellIs" priority="39" operator="between" id="{AC3F30D2-B594-4DA9-A348-9D54DA4B8935}">
            <xm:f>Market!$D$13</xm:f>
            <xm:f>Market!$E$13</xm:f>
            <x14:dxf>
              <fill>
                <patternFill>
                  <bgColor theme="9" tint="0.79998168889431442"/>
                </patternFill>
              </fill>
            </x14:dxf>
          </x14:cfRule>
          <xm:sqref>E35:AO35</xm:sqref>
        </x14:conditionalFormatting>
        <x14:conditionalFormatting xmlns:xm="http://schemas.microsoft.com/office/excel/2006/main">
          <x14:cfRule type="cellIs" priority="34" operator="between" id="{B395BF49-FDF4-4A74-9AEB-03C1EB687EE6}">
            <xm:f>Market!$G$13</xm:f>
            <xm:f>Market!$H$13</xm:f>
            <x14:dxf>
              <fill>
                <patternFill>
                  <bgColor theme="7" tint="0.79998168889431442"/>
                </patternFill>
              </fill>
            </x14:dxf>
          </x14:cfRule>
          <x14:cfRule type="cellIs" priority="35" operator="between" id="{1B0233EA-D3FE-4C18-AC9D-CD586578102F}">
            <xm:f>Market!$H$13</xm:f>
            <xm:f>Market!$I$13</xm:f>
            <x14:dxf>
              <fill>
                <patternFill>
                  <bgColor theme="7" tint="0.59996337778862885"/>
                </patternFill>
              </fill>
            </x14:dxf>
          </x14:cfRule>
          <x14:cfRule type="cellIs" priority="36" operator="lessThan" id="{60FD102D-8C60-46C9-A23A-B9335D906D3A}">
            <xm:f>Market!$I$13</xm:f>
            <x14:dxf>
              <fill>
                <patternFill>
                  <fgColor rgb="FFFF0000"/>
                  <bgColor theme="7" tint="0.39994506668294322"/>
                </patternFill>
              </fill>
            </x14:dxf>
          </x14:cfRule>
          <x14:cfRule type="cellIs" priority="37" operator="greaterThan" id="{2EDA249D-501D-4D5D-85AA-272634ADE8D9}">
            <xm:f>Market!$F$13</xm:f>
            <x14:dxf>
              <fill>
                <patternFill>
                  <bgColor theme="9" tint="0.39994506668294322"/>
                </patternFill>
              </fill>
            </x14:dxf>
          </x14:cfRule>
          <xm:sqref>D35:AO35</xm:sqref>
        </x14:conditionalFormatting>
        <x14:conditionalFormatting xmlns:xm="http://schemas.microsoft.com/office/excel/2006/main">
          <x14:cfRule type="cellIs" priority="18" operator="between" id="{225D693C-4C1D-4876-962E-B214640B354C}">
            <xm:f>Market!$E$13</xm:f>
            <xm:f>Market!$F$13</xm:f>
            <x14:dxf>
              <fill>
                <patternFill>
                  <bgColor theme="9" tint="0.59996337778862885"/>
                </patternFill>
              </fill>
            </x14:dxf>
          </x14:cfRule>
          <x14:cfRule type="cellIs" priority="19" operator="between" id="{928B2AEF-A231-4E35-B165-44A42225F859}">
            <xm:f>Market!$D$13</xm:f>
            <xm:f>Market!$E$13</xm:f>
            <x14:dxf>
              <fill>
                <patternFill>
                  <bgColor theme="9" tint="0.79998168889431442"/>
                </patternFill>
              </fill>
            </x14:dxf>
          </x14:cfRule>
          <xm:sqref>E150:AO150</xm:sqref>
        </x14:conditionalFormatting>
        <x14:conditionalFormatting xmlns:xm="http://schemas.microsoft.com/office/excel/2006/main">
          <x14:cfRule type="cellIs" priority="14" operator="between" id="{2FBBF2BD-7A47-4CD7-866F-50C548102BC6}">
            <xm:f>Market!$G$13</xm:f>
            <xm:f>Market!$H$13</xm:f>
            <x14:dxf>
              <fill>
                <patternFill>
                  <bgColor theme="7" tint="0.79998168889431442"/>
                </patternFill>
              </fill>
            </x14:dxf>
          </x14:cfRule>
          <x14:cfRule type="cellIs" priority="15" operator="between" id="{4397EE4B-313C-413A-A1AB-44EACA21FE05}">
            <xm:f>Market!$H$13</xm:f>
            <xm:f>Market!$I$13</xm:f>
            <x14:dxf>
              <fill>
                <patternFill>
                  <bgColor theme="7" tint="0.59996337778862885"/>
                </patternFill>
              </fill>
            </x14:dxf>
          </x14:cfRule>
          <x14:cfRule type="cellIs" priority="16" operator="lessThan" id="{45FF6606-36F9-40E4-8D7D-8EB06B99D93D}">
            <xm:f>Market!$I$13</xm:f>
            <x14:dxf>
              <fill>
                <patternFill>
                  <fgColor rgb="FFFF0000"/>
                  <bgColor theme="7" tint="0.39994506668294322"/>
                </patternFill>
              </fill>
            </x14:dxf>
          </x14:cfRule>
          <x14:cfRule type="cellIs" priority="17" operator="greaterThan" id="{E8D0F401-D35B-4F41-B954-2B65F34498A6}">
            <xm:f>Market!$F$13</xm:f>
            <x14:dxf>
              <fill>
                <patternFill>
                  <bgColor theme="9" tint="0.39994506668294322"/>
                </patternFill>
              </fill>
            </x14:dxf>
          </x14:cfRule>
          <xm:sqref>D150:AO150</xm:sqref>
        </x14:conditionalFormatting>
        <x14:conditionalFormatting xmlns:xm="http://schemas.microsoft.com/office/excel/2006/main">
          <x14:cfRule type="cellIs" priority="11" operator="between" id="{31B6B3F1-B200-4D8F-8655-CB0DF7D5B6AE}">
            <xm:f>Market!$E$13</xm:f>
            <xm:f>Market!$F$13</xm:f>
            <x14:dxf>
              <fill>
                <patternFill>
                  <bgColor theme="9" tint="0.59996337778862885"/>
                </patternFill>
              </fill>
            </x14:dxf>
          </x14:cfRule>
          <x14:cfRule type="cellIs" priority="12" operator="between" id="{6ABF33B7-AED0-485D-A222-63D23CC02C07}">
            <xm:f>Market!$D$13</xm:f>
            <xm:f>Market!$E$13</xm:f>
            <x14:dxf>
              <fill>
                <patternFill>
                  <bgColor theme="9" tint="0.79998168889431442"/>
                </patternFill>
              </fill>
            </x14:dxf>
          </x14:cfRule>
          <xm:sqref>E72:AO72</xm:sqref>
        </x14:conditionalFormatting>
        <x14:conditionalFormatting xmlns:xm="http://schemas.microsoft.com/office/excel/2006/main">
          <x14:cfRule type="cellIs" priority="7" operator="between" id="{2FDCBB57-142F-4CC2-9EF3-E6448F776025}">
            <xm:f>Market!$G$13</xm:f>
            <xm:f>Market!$H$13</xm:f>
            <x14:dxf>
              <fill>
                <patternFill>
                  <bgColor theme="7" tint="0.79998168889431442"/>
                </patternFill>
              </fill>
            </x14:dxf>
          </x14:cfRule>
          <x14:cfRule type="cellIs" priority="8" operator="between" id="{6237B8CD-359D-4827-BEC9-572560E37E36}">
            <xm:f>Market!$H$13</xm:f>
            <xm:f>Market!$I$13</xm:f>
            <x14:dxf>
              <fill>
                <patternFill>
                  <bgColor theme="7" tint="0.59996337778862885"/>
                </patternFill>
              </fill>
            </x14:dxf>
          </x14:cfRule>
          <x14:cfRule type="cellIs" priority="9" operator="lessThan" id="{51CCA0CB-BF00-4399-AB28-39BD17E09008}">
            <xm:f>Market!$I$13</xm:f>
            <x14:dxf>
              <fill>
                <patternFill>
                  <fgColor rgb="FFFF0000"/>
                  <bgColor theme="7" tint="0.39994506668294322"/>
                </patternFill>
              </fill>
            </x14:dxf>
          </x14:cfRule>
          <x14:cfRule type="cellIs" priority="10" operator="greaterThan" id="{E23ED720-B52B-4F91-AA33-2D2D79597E63}">
            <xm:f>Market!$F$13</xm:f>
            <x14:dxf>
              <fill>
                <patternFill>
                  <bgColor theme="9" tint="0.39994506668294322"/>
                </patternFill>
              </fill>
            </x14:dxf>
          </x14:cfRule>
          <xm:sqref>D72:AO72</xm:sqref>
        </x14:conditionalFormatting>
        <x14:conditionalFormatting xmlns:xm="http://schemas.microsoft.com/office/excel/2006/main">
          <x14:cfRule type="cellIs" priority="5" operator="between" id="{75D17DB6-7D2D-4905-81AC-393B3FFCE38D}">
            <xm:f>Market!$E$13</xm:f>
            <xm:f>Market!$F$13</xm:f>
            <x14:dxf>
              <fill>
                <patternFill>
                  <bgColor theme="9" tint="0.59996337778862885"/>
                </patternFill>
              </fill>
            </x14:dxf>
          </x14:cfRule>
          <x14:cfRule type="cellIs" priority="6" operator="between" id="{7664F38E-18F7-46A2-B6E2-4C0AB40806A1}">
            <xm:f>Market!$D$13</xm:f>
            <xm:f>Market!$E$13</xm:f>
            <x14:dxf>
              <fill>
                <patternFill>
                  <bgColor theme="9" tint="0.79998168889431442"/>
                </patternFill>
              </fill>
            </x14:dxf>
          </x14:cfRule>
          <xm:sqref>E109:AO109</xm:sqref>
        </x14:conditionalFormatting>
        <x14:conditionalFormatting xmlns:xm="http://schemas.microsoft.com/office/excel/2006/main">
          <x14:cfRule type="cellIs" priority="1" operator="between" id="{3A6E4268-CC50-4A3F-ADE6-1258034FC9F5}">
            <xm:f>Market!$G$13</xm:f>
            <xm:f>Market!$H$13</xm:f>
            <x14:dxf>
              <fill>
                <patternFill>
                  <bgColor theme="7" tint="0.79998168889431442"/>
                </patternFill>
              </fill>
            </x14:dxf>
          </x14:cfRule>
          <x14:cfRule type="cellIs" priority="2" operator="between" id="{34B87CC3-0D90-457C-8537-BC3134366E2D}">
            <xm:f>Market!$H$13</xm:f>
            <xm:f>Market!$I$13</xm:f>
            <x14:dxf>
              <fill>
                <patternFill>
                  <bgColor theme="7" tint="0.59996337778862885"/>
                </patternFill>
              </fill>
            </x14:dxf>
          </x14:cfRule>
          <x14:cfRule type="cellIs" priority="3" operator="lessThan" id="{D721B00E-27E6-415F-87F0-274A9BC5CBEE}">
            <xm:f>Market!$I$13</xm:f>
            <x14:dxf>
              <fill>
                <patternFill>
                  <fgColor rgb="FFFF0000"/>
                  <bgColor theme="7" tint="0.39994506668294322"/>
                </patternFill>
              </fill>
            </x14:dxf>
          </x14:cfRule>
          <x14:cfRule type="cellIs" priority="4" operator="greaterThan" id="{BE948F2F-7680-48D6-AF23-CBFBAB7586E5}">
            <xm:f>Market!$F$13</xm:f>
            <x14:dxf>
              <fill>
                <patternFill>
                  <bgColor theme="9" tint="0.39994506668294322"/>
                </patternFill>
              </fill>
            </x14:dxf>
          </x14:cfRule>
          <xm:sqref>D109:AO109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J19" sqref="J19"/>
    </sheetView>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
  <sheetViews>
    <sheetView workbookViewId="0">
      <selection activeCell="H1" sqref="H1"/>
    </sheetView>
  </sheetViews>
  <sheetFormatPr defaultColWidth="12.42578125" defaultRowHeight="15"/>
  <sheetData>
    <row r="1" spans="1:7">
      <c r="A1" t="s">
        <v>21</v>
      </c>
      <c r="B1" t="s">
        <v>653</v>
      </c>
      <c r="C1" t="s">
        <v>652</v>
      </c>
      <c r="D1" t="s">
        <v>654</v>
      </c>
      <c r="E1" t="s">
        <v>655</v>
      </c>
      <c r="F1" t="s">
        <v>656</v>
      </c>
      <c r="G1" t="s">
        <v>657</v>
      </c>
    </row>
  </sheetData>
  <sortState ref="C11:T30">
    <sortCondition ref="H11:H30"/>
    <sortCondition descending="1" ref="I11:I30"/>
    <sortCondition descending="1" ref="J11:J30"/>
    <sortCondition ref="L11:L30"/>
    <sortCondition descending="1" ref="N11:N30"/>
    <sortCondition ref="R11:R30"/>
    <sortCondition ref="S11:S30"/>
    <sortCondition ref="T11:T30"/>
    <sortCondition descending="1" ref="P11:P3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X58"/>
  <sheetViews>
    <sheetView zoomScale="85" zoomScaleNormal="85" workbookViewId="0">
      <pane xSplit="3" ySplit="1" topLeftCell="I2" activePane="bottomRight" state="frozen"/>
      <selection pane="topRight" activeCell="D1" sqref="D1"/>
      <selection pane="bottomLeft" activeCell="A2" sqref="A2"/>
      <selection pane="bottomRight" activeCell="M13" sqref="M13"/>
    </sheetView>
  </sheetViews>
  <sheetFormatPr defaultRowHeight="15" outlineLevelCol="1"/>
  <cols>
    <col min="1" max="1" width="10.5703125" bestFit="1" customWidth="1"/>
    <col min="2" max="2" width="20.5703125" bestFit="1" customWidth="1"/>
    <col min="3" max="3" width="20.5703125" customWidth="1"/>
    <col min="7" max="7" width="12.28515625" bestFit="1" customWidth="1"/>
    <col min="8" max="8" width="12" customWidth="1"/>
    <col min="14" max="14" width="9.28515625" bestFit="1" customWidth="1"/>
    <col min="15" max="15" width="11.85546875" bestFit="1" customWidth="1"/>
    <col min="16" max="16" width="11.85546875" customWidth="1"/>
    <col min="17" max="17" width="9.28515625" bestFit="1" customWidth="1"/>
    <col min="18" max="18" width="9.28515625" customWidth="1"/>
    <col min="19" max="19" width="12.7109375" bestFit="1" customWidth="1"/>
    <col min="20" max="20" width="9.28515625" customWidth="1"/>
    <col min="21" max="21" width="10.28515625" bestFit="1" customWidth="1"/>
    <col min="22" max="22" width="11.7109375" bestFit="1" customWidth="1"/>
    <col min="23" max="23" width="12.7109375" bestFit="1" customWidth="1"/>
    <col min="24" max="24" width="11.85546875" style="35" bestFit="1" customWidth="1"/>
    <col min="27" max="27" width="9.140625" style="35"/>
    <col min="28" max="28" width="15" bestFit="1" customWidth="1"/>
    <col min="37" max="37" width="22.140625" customWidth="1"/>
    <col min="38" max="41" width="12.28515625" customWidth="1"/>
    <col min="42" max="42" width="12.28515625" hidden="1" customWidth="1" outlineLevel="1"/>
    <col min="43" max="43" width="12.28515625" customWidth="1" collapsed="1"/>
    <col min="44" max="45" width="12.28515625" hidden="1" customWidth="1" outlineLevel="1"/>
    <col min="46" max="46" width="12.28515625" customWidth="1" collapsed="1"/>
    <col min="47" max="47" width="12.28515625" customWidth="1"/>
    <col min="48" max="48" width="18.5703125" hidden="1" customWidth="1" outlineLevel="1"/>
    <col min="49" max="49" width="17.5703125" hidden="1" customWidth="1" outlineLevel="1"/>
    <col min="50" max="50" width="9.140625" collapsed="1"/>
  </cols>
  <sheetData>
    <row r="1" spans="1:50" ht="45">
      <c r="A1" s="37">
        <f ca="1">TODAY()</f>
        <v>44756</v>
      </c>
      <c r="B1" t="s">
        <v>21</v>
      </c>
      <c r="C1" s="47" t="s">
        <v>465</v>
      </c>
      <c r="D1" s="47" t="s">
        <v>487</v>
      </c>
      <c r="E1" s="47" t="s">
        <v>489</v>
      </c>
      <c r="F1" s="52" t="s">
        <v>490</v>
      </c>
      <c r="G1" s="52" t="s">
        <v>491</v>
      </c>
      <c r="H1" s="52" t="s">
        <v>492</v>
      </c>
      <c r="I1" s="53">
        <v>-0.1</v>
      </c>
      <c r="J1" s="53">
        <v>-0.15</v>
      </c>
      <c r="K1" s="53">
        <v>0.1</v>
      </c>
      <c r="L1" s="53">
        <v>0.15</v>
      </c>
      <c r="M1" s="53" t="s">
        <v>78</v>
      </c>
      <c r="N1" s="52" t="s">
        <v>113</v>
      </c>
      <c r="O1" s="52" t="s">
        <v>110</v>
      </c>
      <c r="P1" s="52" t="s">
        <v>501</v>
      </c>
      <c r="Q1" s="52" t="s">
        <v>112</v>
      </c>
      <c r="R1" s="52" t="s">
        <v>71</v>
      </c>
      <c r="S1" s="52" t="s">
        <v>122</v>
      </c>
      <c r="T1" s="52" t="s">
        <v>114</v>
      </c>
      <c r="U1" s="52" t="s">
        <v>115</v>
      </c>
      <c r="V1" s="52" t="s">
        <v>117</v>
      </c>
      <c r="W1" s="52" t="s">
        <v>116</v>
      </c>
      <c r="X1" s="54" t="s">
        <v>118</v>
      </c>
      <c r="Y1" s="52" t="s">
        <v>119</v>
      </c>
      <c r="Z1" s="52" t="s">
        <v>484</v>
      </c>
      <c r="AA1" s="54" t="s">
        <v>120</v>
      </c>
      <c r="AB1" s="52" t="s">
        <v>121</v>
      </c>
      <c r="AC1" s="52" t="s">
        <v>75</v>
      </c>
      <c r="AD1" s="52" t="s">
        <v>500</v>
      </c>
      <c r="AE1" s="52" t="s">
        <v>77</v>
      </c>
      <c r="AF1" s="52" t="s">
        <v>76</v>
      </c>
      <c r="AG1" t="s">
        <v>133</v>
      </c>
      <c r="AK1" s="47" t="s">
        <v>2</v>
      </c>
      <c r="AL1" s="47" t="s">
        <v>467</v>
      </c>
      <c r="AM1" s="47" t="s">
        <v>468</v>
      </c>
      <c r="AN1" s="47" t="s">
        <v>469</v>
      </c>
      <c r="AO1" s="47" t="s">
        <v>470</v>
      </c>
      <c r="AP1" s="47" t="s">
        <v>471</v>
      </c>
      <c r="AQ1" s="47" t="s">
        <v>472</v>
      </c>
      <c r="AR1" s="47" t="s">
        <v>473</v>
      </c>
      <c r="AS1" s="47" t="s">
        <v>474</v>
      </c>
      <c r="AT1" s="47" t="s">
        <v>475</v>
      </c>
      <c r="AU1" s="47" t="s">
        <v>476</v>
      </c>
      <c r="AV1" t="s">
        <v>477</v>
      </c>
      <c r="AW1" t="s">
        <v>478</v>
      </c>
      <c r="AX1" t="s">
        <v>508</v>
      </c>
    </row>
    <row r="2" spans="1:50">
      <c r="A2" s="37" t="s">
        <v>488</v>
      </c>
      <c r="B2" t="s">
        <v>111</v>
      </c>
      <c r="D2" t="str">
        <f>mrigxl_getStockQuote(B2)</f>
        <v>5,508.00</v>
      </c>
      <c r="G2" t="s">
        <v>495</v>
      </c>
      <c r="I2">
        <f t="shared" ref="I2:I9" si="0">$D2*(1+I$1)</f>
        <v>4957.2</v>
      </c>
      <c r="J2">
        <f t="shared" ref="J2:L9" si="1">$D2*(1+J$1)</f>
        <v>4681.8</v>
      </c>
      <c r="K2">
        <f t="shared" si="1"/>
        <v>6058.8</v>
      </c>
      <c r="L2">
        <f t="shared" si="1"/>
        <v>6334.2</v>
      </c>
      <c r="M2" s="36">
        <v>44525</v>
      </c>
      <c r="N2" s="34">
        <v>125</v>
      </c>
      <c r="O2" s="34">
        <v>6500</v>
      </c>
      <c r="P2" s="35">
        <f>O2/D2</f>
        <v>1.1801016702977487</v>
      </c>
      <c r="Q2" s="34">
        <f>mrigxl_getStockOptionQuote(B2,M2,O2,"PE","SIRIUS")</f>
        <v>-1</v>
      </c>
      <c r="R2" s="34">
        <v>35</v>
      </c>
      <c r="S2" s="34">
        <v>133712</v>
      </c>
      <c r="T2" s="34">
        <v>1</v>
      </c>
      <c r="U2" s="34">
        <f t="shared" ref="U2:U6" si="2">Q2*N2*T2</f>
        <v>-125</v>
      </c>
      <c r="V2" s="34">
        <f t="shared" ref="V2:V7" si="3">S2*T2</f>
        <v>133712</v>
      </c>
      <c r="W2" s="34">
        <f t="shared" ref="W2:W7" si="4">N2*O2*T2</f>
        <v>812500</v>
      </c>
      <c r="X2" s="35">
        <f t="shared" ref="X2:X7" si="5">Q2*N2/S2</f>
        <v>-9.3484504008615533E-4</v>
      </c>
      <c r="Y2" s="34">
        <f t="shared" ref="Y2:Y7" ca="1" si="6">YEARFRAC($A$1,M2)</f>
        <v>0.63611111111111107</v>
      </c>
      <c r="Z2" s="34">
        <f t="shared" ref="Z2:Z7" ca="1" si="7">M2-$A$1</f>
        <v>-231</v>
      </c>
      <c r="AA2" s="35">
        <f t="shared" ref="AA2:AA7" ca="1" si="8">X2/Y2</f>
        <v>-1.469625390528454E-3</v>
      </c>
      <c r="AB2" s="34"/>
      <c r="AG2" t="s">
        <v>134</v>
      </c>
      <c r="AK2" t="s">
        <v>88</v>
      </c>
      <c r="AL2" s="41">
        <v>17387.650000000001</v>
      </c>
      <c r="AM2" s="41">
        <v>17532.7</v>
      </c>
      <c r="AN2" s="41">
        <v>17386.900000000001</v>
      </c>
      <c r="AO2" s="41">
        <v>17523.900000000001</v>
      </c>
      <c r="AP2">
        <v>143.9</v>
      </c>
      <c r="AQ2">
        <v>0.83</v>
      </c>
      <c r="AR2" s="41">
        <v>3347.65</v>
      </c>
      <c r="AS2" s="41">
        <v>20873.57</v>
      </c>
      <c r="AT2" s="41">
        <v>17438.55</v>
      </c>
      <c r="AU2" s="41">
        <v>10790.2</v>
      </c>
      <c r="AV2">
        <v>53.18</v>
      </c>
      <c r="AW2">
        <v>5.8</v>
      </c>
      <c r="AX2">
        <v>5.15</v>
      </c>
    </row>
    <row r="3" spans="1:50">
      <c r="A3" s="37"/>
      <c r="B3" t="s">
        <v>457</v>
      </c>
      <c r="D3" t="s">
        <v>617</v>
      </c>
      <c r="F3">
        <v>260</v>
      </c>
      <c r="I3">
        <f t="shared" si="0"/>
        <v>4870.8</v>
      </c>
      <c r="J3">
        <f t="shared" si="1"/>
        <v>4600.2</v>
      </c>
      <c r="K3">
        <f t="shared" si="1"/>
        <v>5953.2000000000007</v>
      </c>
      <c r="L3">
        <f t="shared" si="1"/>
        <v>6223.7999999999993</v>
      </c>
      <c r="M3" s="36">
        <v>44525</v>
      </c>
      <c r="N3" s="34" t="str">
        <f>VLOOKUP(TRIM($B3),Lots!$B:$F,2,0)</f>
        <v>DIXON</v>
      </c>
      <c r="O3" s="34">
        <v>4500</v>
      </c>
      <c r="P3" s="35">
        <f t="shared" ref="P3:P7" si="9">O3/D3</f>
        <v>0.83148558758314861</v>
      </c>
      <c r="Q3" s="34">
        <f t="shared" ref="Q3:Q9" si="10">mrigxl_getStockOptionQuote(B3,M3,O3,"PE","SIRIUS")</f>
        <v>-1</v>
      </c>
      <c r="R3" s="34">
        <v>21.96</v>
      </c>
      <c r="S3" s="34">
        <v>97350</v>
      </c>
      <c r="T3" s="34">
        <v>1</v>
      </c>
      <c r="U3" s="34" t="e">
        <f t="shared" si="2"/>
        <v>#VALUE!</v>
      </c>
      <c r="V3" s="34">
        <f t="shared" si="3"/>
        <v>97350</v>
      </c>
      <c r="W3" s="34" t="e">
        <f t="shared" si="4"/>
        <v>#VALUE!</v>
      </c>
      <c r="X3" s="35" t="e">
        <f t="shared" si="5"/>
        <v>#VALUE!</v>
      </c>
      <c r="Y3" s="34">
        <f t="shared" ca="1" si="6"/>
        <v>0.63611111111111107</v>
      </c>
      <c r="Z3" s="34">
        <f t="shared" ca="1" si="7"/>
        <v>-231</v>
      </c>
      <c r="AA3" s="35" t="e">
        <f t="shared" ca="1" si="8"/>
        <v>#VALUE!</v>
      </c>
      <c r="AB3" s="34"/>
      <c r="AG3" t="s">
        <v>135</v>
      </c>
      <c r="AK3" t="s">
        <v>411</v>
      </c>
      <c r="AL3" s="41">
        <v>116</v>
      </c>
      <c r="AM3" s="41">
        <v>123.75</v>
      </c>
      <c r="AN3" s="41">
        <v>116</v>
      </c>
      <c r="AO3" s="41">
        <v>123.65</v>
      </c>
      <c r="AP3">
        <v>7.75</v>
      </c>
      <c r="AQ3">
        <v>6.69</v>
      </c>
      <c r="AR3">
        <v>412.77</v>
      </c>
      <c r="AS3" s="41">
        <v>502.79</v>
      </c>
      <c r="AT3" s="41">
        <v>123.75</v>
      </c>
      <c r="AU3" s="41">
        <v>78.099999999999994</v>
      </c>
      <c r="AV3">
        <v>36.1</v>
      </c>
      <c r="AW3">
        <v>4.04</v>
      </c>
      <c r="AX3">
        <v>-1.99</v>
      </c>
    </row>
    <row r="4" spans="1:50">
      <c r="A4" s="37"/>
      <c r="B4" s="33" t="s">
        <v>419</v>
      </c>
      <c r="C4" s="33"/>
      <c r="D4" s="33" t="s">
        <v>618</v>
      </c>
      <c r="E4" s="33"/>
      <c r="F4" s="33">
        <v>177</v>
      </c>
      <c r="G4" s="55" t="s">
        <v>493</v>
      </c>
      <c r="H4" s="56" t="s">
        <v>494</v>
      </c>
      <c r="I4" s="33">
        <f t="shared" si="0"/>
        <v>2191.5</v>
      </c>
      <c r="J4" s="33">
        <f t="shared" si="1"/>
        <v>2069.75</v>
      </c>
      <c r="K4" s="33">
        <f t="shared" si="1"/>
        <v>2678.5</v>
      </c>
      <c r="L4" s="33">
        <f t="shared" si="1"/>
        <v>2800.25</v>
      </c>
      <c r="M4" s="43">
        <v>44525</v>
      </c>
      <c r="N4" s="44" t="str">
        <f>VLOOKUP(TRIM($B4),Lots!$B:$F,2,0)</f>
        <v>TITAN</v>
      </c>
      <c r="O4" s="44">
        <v>2200</v>
      </c>
      <c r="P4" s="45">
        <f t="shared" si="9"/>
        <v>0.90349075975359339</v>
      </c>
      <c r="Q4" s="44">
        <f t="shared" si="10"/>
        <v>-1</v>
      </c>
      <c r="R4" s="44">
        <v>28.39</v>
      </c>
      <c r="S4" s="44">
        <v>116776</v>
      </c>
      <c r="T4" s="44">
        <v>1</v>
      </c>
      <c r="U4" s="44" t="e">
        <f t="shared" si="2"/>
        <v>#VALUE!</v>
      </c>
      <c r="V4" s="44">
        <f t="shared" si="3"/>
        <v>116776</v>
      </c>
      <c r="W4" s="44" t="e">
        <f t="shared" si="4"/>
        <v>#VALUE!</v>
      </c>
      <c r="X4" s="45" t="e">
        <f t="shared" si="5"/>
        <v>#VALUE!</v>
      </c>
      <c r="Y4" s="44">
        <f t="shared" ca="1" si="6"/>
        <v>0.63611111111111107</v>
      </c>
      <c r="Z4" s="44">
        <f t="shared" ca="1" si="7"/>
        <v>-231</v>
      </c>
      <c r="AA4" s="45" t="e">
        <f t="shared" ca="1" si="8"/>
        <v>#VALUE!</v>
      </c>
      <c r="AB4" s="34"/>
      <c r="AG4" t="s">
        <v>136</v>
      </c>
      <c r="AK4" t="s">
        <v>188</v>
      </c>
      <c r="AL4">
        <v>697</v>
      </c>
      <c r="AM4">
        <v>734.95</v>
      </c>
      <c r="AN4">
        <v>696.15</v>
      </c>
      <c r="AO4">
        <v>725.55</v>
      </c>
      <c r="AP4">
        <v>31.35</v>
      </c>
      <c r="AQ4">
        <v>4.5199999999999996</v>
      </c>
      <c r="AR4">
        <v>509.11</v>
      </c>
      <c r="AS4">
        <v>3669.19</v>
      </c>
      <c r="AT4">
        <v>734.95</v>
      </c>
      <c r="AU4">
        <v>394</v>
      </c>
      <c r="AV4">
        <v>53.04</v>
      </c>
      <c r="AW4">
        <v>14.43</v>
      </c>
      <c r="AX4">
        <v>8.9700000000000006</v>
      </c>
    </row>
    <row r="5" spans="1:50">
      <c r="A5" s="37"/>
      <c r="B5" s="33" t="s">
        <v>378</v>
      </c>
      <c r="C5" s="33" t="s">
        <v>624</v>
      </c>
      <c r="D5" s="33" t="s">
        <v>619</v>
      </c>
      <c r="E5" s="33"/>
      <c r="F5" s="33"/>
      <c r="G5" s="33" t="s">
        <v>496</v>
      </c>
      <c r="H5" s="33" t="s">
        <v>497</v>
      </c>
      <c r="I5" s="33">
        <f t="shared" si="0"/>
        <v>6115.5</v>
      </c>
      <c r="J5" s="33">
        <f t="shared" si="1"/>
        <v>5775.75</v>
      </c>
      <c r="K5" s="33">
        <f t="shared" si="1"/>
        <v>7474.5000000000009</v>
      </c>
      <c r="L5" s="33">
        <f t="shared" si="1"/>
        <v>7814.2499999999991</v>
      </c>
      <c r="M5" s="43">
        <v>44525</v>
      </c>
      <c r="N5" s="44" t="str">
        <f>VLOOKUP(TRIM($B5),Lots!$B:$F,2,0)</f>
        <v>LTI</v>
      </c>
      <c r="O5" s="44">
        <v>600</v>
      </c>
      <c r="P5" s="45">
        <f t="shared" si="9"/>
        <v>8.8300220750551883E-2</v>
      </c>
      <c r="Q5" s="44">
        <f t="shared" si="10"/>
        <v>-1</v>
      </c>
      <c r="R5" s="44">
        <v>39.409999999999997</v>
      </c>
      <c r="S5" s="44">
        <v>145115</v>
      </c>
      <c r="T5" s="44">
        <v>1</v>
      </c>
      <c r="U5" s="44" t="e">
        <f t="shared" si="2"/>
        <v>#VALUE!</v>
      </c>
      <c r="V5" s="44">
        <f t="shared" si="3"/>
        <v>145115</v>
      </c>
      <c r="W5" s="44" t="e">
        <f t="shared" si="4"/>
        <v>#VALUE!</v>
      </c>
      <c r="X5" s="45" t="e">
        <f t="shared" si="5"/>
        <v>#VALUE!</v>
      </c>
      <c r="Y5" s="44">
        <f t="shared" ca="1" si="6"/>
        <v>0.63611111111111107</v>
      </c>
      <c r="Z5" s="44">
        <f t="shared" ca="1" si="7"/>
        <v>-231</v>
      </c>
      <c r="AA5" s="45" t="e">
        <f t="shared" ca="1" si="8"/>
        <v>#VALUE!</v>
      </c>
      <c r="AB5" s="34"/>
      <c r="AK5" t="s">
        <v>101</v>
      </c>
      <c r="AL5">
        <v>155.5</v>
      </c>
      <c r="AM5">
        <v>162.25</v>
      </c>
      <c r="AN5">
        <v>154.25</v>
      </c>
      <c r="AO5">
        <v>161.25</v>
      </c>
      <c r="AP5">
        <v>6.55</v>
      </c>
      <c r="AQ5">
        <v>4.2300000000000004</v>
      </c>
      <c r="AR5">
        <v>221.03</v>
      </c>
      <c r="AS5">
        <v>351.45</v>
      </c>
      <c r="AT5">
        <v>165</v>
      </c>
      <c r="AU5">
        <v>109.55</v>
      </c>
      <c r="AV5">
        <v>29.05</v>
      </c>
      <c r="AW5">
        <v>13.56</v>
      </c>
      <c r="AX5">
        <v>7.62</v>
      </c>
    </row>
    <row r="6" spans="1:50">
      <c r="A6" s="37"/>
      <c r="B6" s="33" t="s">
        <v>486</v>
      </c>
      <c r="C6" s="46"/>
      <c r="D6" s="33" t="s">
        <v>620</v>
      </c>
      <c r="E6" s="33"/>
      <c r="F6" s="33"/>
      <c r="G6" s="33" t="s">
        <v>498</v>
      </c>
      <c r="H6" s="33" t="s">
        <v>499</v>
      </c>
      <c r="I6" s="33">
        <f t="shared" si="0"/>
        <v>5487.5250000000005</v>
      </c>
      <c r="J6" s="33">
        <f t="shared" si="1"/>
        <v>5182.6624999999995</v>
      </c>
      <c r="K6" s="33">
        <f t="shared" si="1"/>
        <v>6706.9750000000004</v>
      </c>
      <c r="L6" s="33">
        <f t="shared" si="1"/>
        <v>7011.8374999999996</v>
      </c>
      <c r="M6" s="43">
        <v>44525</v>
      </c>
      <c r="N6" s="44" t="e">
        <f>VLOOKUP(TRIM($B6),Lots!$B:$F,2,0)</f>
        <v>#N/A</v>
      </c>
      <c r="O6" s="44">
        <v>4400</v>
      </c>
      <c r="P6" s="45">
        <f t="shared" si="9"/>
        <v>0.72163680347697734</v>
      </c>
      <c r="Q6" s="44">
        <f t="shared" si="10"/>
        <v>-1</v>
      </c>
      <c r="R6" s="44">
        <v>29.34</v>
      </c>
      <c r="S6" s="44">
        <v>76077</v>
      </c>
      <c r="T6" s="44">
        <v>1</v>
      </c>
      <c r="U6" s="44" t="e">
        <f t="shared" si="2"/>
        <v>#N/A</v>
      </c>
      <c r="V6" s="44">
        <f t="shared" si="3"/>
        <v>76077</v>
      </c>
      <c r="W6" s="44" t="e">
        <f t="shared" si="4"/>
        <v>#N/A</v>
      </c>
      <c r="X6" s="45" t="e">
        <f t="shared" si="5"/>
        <v>#N/A</v>
      </c>
      <c r="Y6" s="44">
        <f t="shared" ca="1" si="6"/>
        <v>0.63611111111111107</v>
      </c>
      <c r="Z6" s="44">
        <f t="shared" ca="1" si="7"/>
        <v>-231</v>
      </c>
      <c r="AA6" s="45" t="e">
        <f t="shared" ca="1" si="8"/>
        <v>#N/A</v>
      </c>
      <c r="AB6" s="34"/>
      <c r="AG6" t="s">
        <v>137</v>
      </c>
      <c r="AK6" t="s">
        <v>412</v>
      </c>
      <c r="AL6" s="41">
        <v>124.25</v>
      </c>
      <c r="AM6" s="41">
        <v>130.69999999999999</v>
      </c>
      <c r="AN6" s="41">
        <v>124.25</v>
      </c>
      <c r="AO6" s="41">
        <v>128.94999999999999</v>
      </c>
      <c r="AP6">
        <v>5</v>
      </c>
      <c r="AQ6">
        <v>4.03</v>
      </c>
      <c r="AR6">
        <v>385.54</v>
      </c>
      <c r="AS6">
        <v>496.84</v>
      </c>
      <c r="AT6" s="41">
        <v>130.69999999999999</v>
      </c>
      <c r="AU6" s="41">
        <v>64.099999999999994</v>
      </c>
      <c r="AV6">
        <v>75.08</v>
      </c>
      <c r="AW6">
        <v>11.65</v>
      </c>
      <c r="AX6">
        <v>6.76</v>
      </c>
    </row>
    <row r="7" spans="1:50">
      <c r="A7" s="37"/>
      <c r="B7" s="33" t="s">
        <v>381</v>
      </c>
      <c r="C7" s="46"/>
      <c r="D7" s="33" t="s">
        <v>621</v>
      </c>
      <c r="E7" s="33"/>
      <c r="F7" s="33"/>
      <c r="G7" s="33" t="s">
        <v>498</v>
      </c>
      <c r="H7" s="33" t="s">
        <v>499</v>
      </c>
      <c r="I7" s="58">
        <f t="shared" si="0"/>
        <v>4220.0550000000003</v>
      </c>
      <c r="J7" s="58">
        <f t="shared" si="1"/>
        <v>3985.6074999999996</v>
      </c>
      <c r="K7" s="58">
        <f t="shared" si="1"/>
        <v>5157.8450000000003</v>
      </c>
      <c r="L7" s="58">
        <f t="shared" si="1"/>
        <v>5392.2924999999996</v>
      </c>
      <c r="M7" s="43">
        <v>44525</v>
      </c>
      <c r="N7" s="44" t="str">
        <f>VLOOKUP(TRIM($B7),Lots!$B:$F,2,0)</f>
        <v>MINDTREE</v>
      </c>
      <c r="O7" s="44">
        <v>4000</v>
      </c>
      <c r="P7" s="45">
        <f t="shared" si="9"/>
        <v>0.85306945051664018</v>
      </c>
      <c r="Q7" s="44">
        <f t="shared" si="10"/>
        <v>-1</v>
      </c>
      <c r="R7" s="44">
        <v>51</v>
      </c>
      <c r="S7" s="44">
        <v>143316</v>
      </c>
      <c r="T7" s="44">
        <v>1</v>
      </c>
      <c r="U7" s="44" t="e">
        <f>Q7*N7*T7</f>
        <v>#VALUE!</v>
      </c>
      <c r="V7" s="44">
        <f t="shared" si="3"/>
        <v>143316</v>
      </c>
      <c r="W7" s="44" t="e">
        <f t="shared" si="4"/>
        <v>#VALUE!</v>
      </c>
      <c r="X7" s="45" t="e">
        <f t="shared" si="5"/>
        <v>#VALUE!</v>
      </c>
      <c r="Y7" s="44">
        <f t="shared" ca="1" si="6"/>
        <v>0.63611111111111107</v>
      </c>
      <c r="Z7" s="44">
        <f t="shared" ca="1" si="7"/>
        <v>-231</v>
      </c>
      <c r="AA7" s="45" t="e">
        <f t="shared" ca="1" si="8"/>
        <v>#VALUE!</v>
      </c>
      <c r="AB7" s="34"/>
      <c r="AG7" t="s">
        <v>138</v>
      </c>
      <c r="AK7" t="s">
        <v>419</v>
      </c>
      <c r="AL7" s="41">
        <v>2060</v>
      </c>
      <c r="AM7" s="41">
        <v>2133</v>
      </c>
      <c r="AN7" s="41">
        <v>2060</v>
      </c>
      <c r="AO7" s="41">
        <v>2123</v>
      </c>
      <c r="AP7">
        <v>67.3</v>
      </c>
      <c r="AQ7">
        <v>3.27</v>
      </c>
      <c r="AR7">
        <v>25.33</v>
      </c>
      <c r="AS7">
        <v>535.33000000000004</v>
      </c>
      <c r="AT7" s="41">
        <v>2133</v>
      </c>
      <c r="AU7" s="41">
        <v>1076</v>
      </c>
      <c r="AV7">
        <v>78.7</v>
      </c>
      <c r="AW7">
        <v>15.56</v>
      </c>
      <c r="AX7">
        <v>11.85</v>
      </c>
    </row>
    <row r="8" spans="1:50">
      <c r="A8" s="37"/>
      <c r="B8" s="33" t="s">
        <v>616</v>
      </c>
      <c r="C8" s="33" t="s">
        <v>624</v>
      </c>
      <c r="D8" t="s">
        <v>622</v>
      </c>
      <c r="G8" s="33" t="s">
        <v>498</v>
      </c>
      <c r="H8" s="33" t="s">
        <v>499</v>
      </c>
      <c r="I8" s="58">
        <f t="shared" si="0"/>
        <v>6174</v>
      </c>
      <c r="J8" s="58">
        <f t="shared" si="1"/>
        <v>5831</v>
      </c>
      <c r="K8" s="58">
        <f t="shared" si="1"/>
        <v>7546.0000000000009</v>
      </c>
      <c r="L8" s="58">
        <f t="shared" si="1"/>
        <v>7888.9999999999991</v>
      </c>
      <c r="M8" s="43">
        <v>44525</v>
      </c>
      <c r="N8" s="44" t="e">
        <f>VLOOKUP(TRIM($B8),Lots!$B:$F,2,0)</f>
        <v>#N/A</v>
      </c>
      <c r="O8" s="44">
        <v>4650</v>
      </c>
      <c r="P8" s="45">
        <f t="shared" ref="P8:P9" si="11">O8/D8</f>
        <v>0.67784256559766765</v>
      </c>
      <c r="Q8" s="44">
        <f t="shared" si="10"/>
        <v>-1</v>
      </c>
      <c r="R8" s="44">
        <v>29.34</v>
      </c>
      <c r="S8" s="44">
        <v>82682.720000000001</v>
      </c>
      <c r="T8" s="44">
        <v>1</v>
      </c>
      <c r="U8" s="44" t="e">
        <f t="shared" ref="U8:U9" si="12">Q8*N8*T8</f>
        <v>#N/A</v>
      </c>
      <c r="V8" s="44">
        <f t="shared" ref="V8:V9" si="13">S8*T8</f>
        <v>82682.720000000001</v>
      </c>
      <c r="W8" s="44" t="e">
        <f t="shared" ref="W8:W9" si="14">N8*O8*T8</f>
        <v>#N/A</v>
      </c>
      <c r="X8" s="45" t="e">
        <f t="shared" ref="X8:X9" si="15">Q8*N8/S8</f>
        <v>#N/A</v>
      </c>
      <c r="Y8" s="44">
        <f t="shared" ref="Y8:Y9" ca="1" si="16">YEARFRAC($A$1,M8)</f>
        <v>0.63611111111111107</v>
      </c>
      <c r="Z8" s="44">
        <f t="shared" ref="Z8:Z9" ca="1" si="17">M8-$A$1</f>
        <v>-231</v>
      </c>
      <c r="AA8" s="45" t="e">
        <f t="shared" ref="AA8:AA9" ca="1" si="18">X8/Y8</f>
        <v>#N/A</v>
      </c>
      <c r="AB8" s="34"/>
      <c r="AG8" t="s">
        <v>139</v>
      </c>
      <c r="AK8" t="s">
        <v>387</v>
      </c>
      <c r="AL8" s="41">
        <v>1238.6500000000001</v>
      </c>
      <c r="AM8" s="41">
        <v>1288.95</v>
      </c>
      <c r="AN8" s="41">
        <v>1230.25</v>
      </c>
      <c r="AO8" s="41">
        <v>1274.9000000000001</v>
      </c>
      <c r="AP8">
        <v>36.25</v>
      </c>
      <c r="AQ8">
        <v>2.93</v>
      </c>
      <c r="AR8">
        <v>54.11</v>
      </c>
      <c r="AS8">
        <v>683.43</v>
      </c>
      <c r="AT8" s="41">
        <v>1288.95</v>
      </c>
      <c r="AU8" s="41">
        <v>744.15</v>
      </c>
      <c r="AV8">
        <v>60.37</v>
      </c>
      <c r="AW8">
        <v>13.46</v>
      </c>
      <c r="AX8">
        <v>10.65</v>
      </c>
    </row>
    <row r="9" spans="1:50">
      <c r="A9" s="37"/>
      <c r="B9" s="33" t="s">
        <v>615</v>
      </c>
      <c r="C9" s="33" t="s">
        <v>624</v>
      </c>
      <c r="D9" t="s">
        <v>623</v>
      </c>
      <c r="G9" s="33" t="s">
        <v>498</v>
      </c>
      <c r="H9" s="33" t="s">
        <v>499</v>
      </c>
      <c r="I9" s="58" t="e">
        <f t="shared" si="0"/>
        <v>#VALUE!</v>
      </c>
      <c r="J9" s="58" t="e">
        <f t="shared" si="1"/>
        <v>#VALUE!</v>
      </c>
      <c r="K9" s="58" t="e">
        <f t="shared" si="1"/>
        <v>#VALUE!</v>
      </c>
      <c r="L9" s="58" t="e">
        <f t="shared" si="1"/>
        <v>#VALUE!</v>
      </c>
      <c r="M9" s="43">
        <v>44525</v>
      </c>
      <c r="N9" s="44" t="e">
        <f>VLOOKUP(TRIM($B9),Lots!$B:$F,2,0)</f>
        <v>#N/A</v>
      </c>
      <c r="O9" s="44">
        <v>4650</v>
      </c>
      <c r="P9" s="45" t="e">
        <f t="shared" si="11"/>
        <v>#VALUE!</v>
      </c>
      <c r="Q9" s="44">
        <f t="shared" si="10"/>
        <v>-1</v>
      </c>
      <c r="R9" s="44">
        <v>29.34</v>
      </c>
      <c r="S9" s="44">
        <v>82682.720000000001</v>
      </c>
      <c r="T9" s="44">
        <v>1</v>
      </c>
      <c r="U9" s="44" t="e">
        <f t="shared" si="12"/>
        <v>#N/A</v>
      </c>
      <c r="V9" s="44">
        <f t="shared" si="13"/>
        <v>82682.720000000001</v>
      </c>
      <c r="W9" s="44" t="e">
        <f t="shared" si="14"/>
        <v>#N/A</v>
      </c>
      <c r="X9" s="45" t="e">
        <f t="shared" si="15"/>
        <v>#N/A</v>
      </c>
      <c r="Y9" s="44">
        <f t="shared" ca="1" si="16"/>
        <v>0.63611111111111107</v>
      </c>
      <c r="Z9" s="44">
        <f t="shared" ca="1" si="17"/>
        <v>-231</v>
      </c>
      <c r="AA9" s="45" t="e">
        <f t="shared" ca="1" si="18"/>
        <v>#N/A</v>
      </c>
      <c r="AB9" s="34"/>
      <c r="AK9" t="s">
        <v>108</v>
      </c>
      <c r="AL9">
        <v>433</v>
      </c>
      <c r="AM9">
        <v>444.9</v>
      </c>
      <c r="AN9">
        <v>431.45</v>
      </c>
      <c r="AO9">
        <v>444.5</v>
      </c>
      <c r="AP9">
        <v>11.5</v>
      </c>
      <c r="AQ9">
        <v>2.66</v>
      </c>
      <c r="AR9">
        <v>181.99</v>
      </c>
      <c r="AS9">
        <v>797.97</v>
      </c>
      <c r="AT9">
        <v>467.45</v>
      </c>
      <c r="AU9">
        <v>175.5</v>
      </c>
      <c r="AV9">
        <v>123.93</v>
      </c>
      <c r="AW9">
        <v>4.63</v>
      </c>
      <c r="AX9">
        <v>0.42</v>
      </c>
    </row>
    <row r="10" spans="1:50">
      <c r="A10" s="37"/>
      <c r="I10" s="7"/>
      <c r="J10" s="7"/>
      <c r="K10" s="7"/>
      <c r="L10" s="7"/>
      <c r="M10" s="7"/>
      <c r="N10" s="34"/>
      <c r="O10" s="34"/>
      <c r="P10" s="34"/>
      <c r="Q10" s="34"/>
      <c r="R10" s="34"/>
      <c r="S10" s="34"/>
      <c r="T10" s="34"/>
      <c r="U10" s="34"/>
      <c r="V10" s="34"/>
      <c r="W10" s="34"/>
      <c r="Y10" s="34"/>
      <c r="Z10" s="34"/>
      <c r="AB10" s="34"/>
      <c r="AG10" t="s">
        <v>140</v>
      </c>
      <c r="AK10" t="s">
        <v>384</v>
      </c>
      <c r="AL10" s="41">
        <v>174</v>
      </c>
      <c r="AM10" s="41">
        <v>179</v>
      </c>
      <c r="AN10" s="41">
        <v>173.75</v>
      </c>
      <c r="AO10" s="41">
        <v>177.95</v>
      </c>
      <c r="AP10">
        <v>3.85</v>
      </c>
      <c r="AQ10">
        <v>2.21</v>
      </c>
      <c r="AR10">
        <v>126.27</v>
      </c>
      <c r="AS10">
        <v>224.16</v>
      </c>
      <c r="AT10" s="41">
        <v>188.63</v>
      </c>
      <c r="AU10" s="41">
        <v>115.95</v>
      </c>
      <c r="AV10">
        <v>3.76</v>
      </c>
      <c r="AW10">
        <v>-1.52</v>
      </c>
      <c r="AX10">
        <v>-5.76</v>
      </c>
    </row>
    <row r="11" spans="1:50">
      <c r="A11" s="37"/>
      <c r="I11" s="7"/>
      <c r="J11" s="7"/>
      <c r="K11" s="7"/>
      <c r="L11" s="7"/>
      <c r="M11" s="7"/>
      <c r="N11" s="34"/>
      <c r="O11" s="34"/>
      <c r="P11" s="34"/>
      <c r="Q11" s="34"/>
      <c r="R11" s="34"/>
      <c r="S11" s="34"/>
      <c r="T11" s="34"/>
      <c r="U11" s="34"/>
      <c r="V11" s="34"/>
      <c r="W11" s="34"/>
      <c r="Y11" s="34"/>
      <c r="Z11" s="34"/>
      <c r="AB11" s="34"/>
      <c r="AC11" s="40"/>
      <c r="AK11" t="s">
        <v>105</v>
      </c>
      <c r="AL11" s="41">
        <v>1036</v>
      </c>
      <c r="AM11" s="41">
        <v>1059.8</v>
      </c>
      <c r="AN11" s="41">
        <v>1027.5</v>
      </c>
      <c r="AO11" s="41">
        <v>1057.45</v>
      </c>
      <c r="AP11">
        <v>20.85</v>
      </c>
      <c r="AQ11">
        <v>2.0099999999999998</v>
      </c>
      <c r="AR11">
        <v>52.97</v>
      </c>
      <c r="AS11">
        <v>552.9</v>
      </c>
      <c r="AT11" s="41">
        <v>1119.5</v>
      </c>
      <c r="AU11" s="41">
        <v>485</v>
      </c>
      <c r="AV11">
        <v>73.540000000000006</v>
      </c>
      <c r="AW11">
        <v>3.77</v>
      </c>
      <c r="AX11">
        <v>1.22</v>
      </c>
    </row>
    <row r="12" spans="1:50">
      <c r="A12" s="37"/>
      <c r="I12" s="7"/>
      <c r="J12" s="7"/>
      <c r="K12" s="7"/>
      <c r="L12" s="7"/>
      <c r="M12" s="7"/>
      <c r="N12" s="34"/>
      <c r="O12" s="34"/>
      <c r="P12" s="34"/>
      <c r="Q12" s="34"/>
      <c r="R12" s="34"/>
      <c r="S12" s="34"/>
      <c r="T12" s="34"/>
      <c r="U12" s="34"/>
      <c r="V12" s="34"/>
      <c r="W12" s="34"/>
      <c r="Y12" s="34"/>
      <c r="Z12" s="34"/>
      <c r="AB12" s="34"/>
      <c r="AC12" s="40"/>
      <c r="AG12" t="s">
        <v>141</v>
      </c>
      <c r="AK12" t="s">
        <v>284</v>
      </c>
      <c r="AL12" s="41">
        <v>306.10000000000002</v>
      </c>
      <c r="AM12" s="41">
        <v>312.45</v>
      </c>
      <c r="AN12" s="41">
        <v>306.10000000000002</v>
      </c>
      <c r="AO12" s="41">
        <v>312.2</v>
      </c>
      <c r="AP12">
        <v>6.1</v>
      </c>
      <c r="AQ12">
        <v>1.99</v>
      </c>
      <c r="AR12">
        <v>211.6</v>
      </c>
      <c r="AS12">
        <v>653.37</v>
      </c>
      <c r="AT12" s="41">
        <v>360.75</v>
      </c>
      <c r="AU12" s="41">
        <v>122.15</v>
      </c>
      <c r="AV12">
        <v>110.16</v>
      </c>
      <c r="AW12">
        <v>2.8</v>
      </c>
      <c r="AX12">
        <v>-0.37</v>
      </c>
    </row>
    <row r="13" spans="1:50">
      <c r="A13" s="37"/>
      <c r="I13" s="7"/>
      <c r="J13" s="7"/>
      <c r="K13" s="7"/>
      <c r="L13" s="7"/>
      <c r="M13" s="7"/>
      <c r="N13" s="34"/>
      <c r="O13" s="34"/>
      <c r="P13" s="34"/>
      <c r="Q13" s="34"/>
      <c r="R13" s="34"/>
      <c r="S13" s="34"/>
      <c r="T13" s="34"/>
      <c r="U13" s="34"/>
      <c r="V13" s="34"/>
      <c r="W13" s="34"/>
      <c r="Y13" s="34"/>
      <c r="Z13" s="34"/>
      <c r="AB13" s="34"/>
      <c r="AC13" s="40"/>
      <c r="AG13" t="s">
        <v>142</v>
      </c>
      <c r="AK13" t="s">
        <v>90</v>
      </c>
      <c r="AL13" s="41">
        <v>3882.1</v>
      </c>
      <c r="AM13" s="41">
        <v>3980</v>
      </c>
      <c r="AN13" s="41">
        <v>3866</v>
      </c>
      <c r="AO13" s="41">
        <v>3950</v>
      </c>
      <c r="AP13">
        <v>64.099999999999994</v>
      </c>
      <c r="AQ13">
        <v>1.65</v>
      </c>
      <c r="AR13">
        <v>21.45</v>
      </c>
      <c r="AS13" s="41">
        <v>842.22</v>
      </c>
      <c r="AT13" s="41">
        <v>3980</v>
      </c>
      <c r="AU13">
        <v>2302.6</v>
      </c>
      <c r="AV13">
        <v>58.55</v>
      </c>
      <c r="AW13">
        <v>13.74</v>
      </c>
      <c r="AX13">
        <v>12.2</v>
      </c>
    </row>
    <row r="14" spans="1:50">
      <c r="A14" s="37"/>
      <c r="I14" s="7"/>
      <c r="J14" s="7"/>
      <c r="K14" s="7"/>
      <c r="L14" s="7"/>
      <c r="M14" s="7"/>
      <c r="N14" s="34"/>
      <c r="O14" s="34"/>
      <c r="P14" s="34"/>
      <c r="Q14" s="34"/>
      <c r="R14" s="34"/>
      <c r="S14" s="34"/>
      <c r="T14" s="34"/>
      <c r="U14" s="34"/>
      <c r="V14" s="34"/>
      <c r="W14" s="34"/>
      <c r="Y14" s="34"/>
      <c r="Z14" s="34"/>
      <c r="AB14" s="34"/>
      <c r="AC14" s="40"/>
      <c r="AG14" t="s">
        <v>143</v>
      </c>
      <c r="AK14" t="s">
        <v>93</v>
      </c>
      <c r="AL14" s="41">
        <v>478.2</v>
      </c>
      <c r="AM14" s="41">
        <v>487.4</v>
      </c>
      <c r="AN14" s="41">
        <v>474.35</v>
      </c>
      <c r="AO14" s="41">
        <v>485.45</v>
      </c>
      <c r="AP14">
        <v>7.5</v>
      </c>
      <c r="AQ14">
        <v>1.57</v>
      </c>
      <c r="AR14">
        <v>110.68</v>
      </c>
      <c r="AS14">
        <v>532.1</v>
      </c>
      <c r="AT14" s="41">
        <v>487.4</v>
      </c>
      <c r="AU14" s="41">
        <v>154.4</v>
      </c>
      <c r="AV14">
        <v>176.14</v>
      </c>
      <c r="AW14">
        <v>9.89</v>
      </c>
      <c r="AX14">
        <v>8.1199999999999992</v>
      </c>
    </row>
    <row r="15" spans="1:50">
      <c r="A15" s="37"/>
      <c r="I15" s="7"/>
      <c r="J15" s="7"/>
      <c r="K15" s="7"/>
      <c r="L15" s="7"/>
      <c r="M15" s="7"/>
      <c r="N15" s="34"/>
      <c r="O15" s="34"/>
      <c r="P15" s="34"/>
      <c r="Q15" s="34"/>
      <c r="R15" s="34"/>
      <c r="S15" s="34"/>
      <c r="T15" s="34"/>
      <c r="U15" s="34"/>
      <c r="V15" s="34"/>
      <c r="W15" s="34"/>
      <c r="Y15" s="34"/>
      <c r="Z15" s="34"/>
      <c r="AB15" s="34"/>
      <c r="AC15" s="40"/>
      <c r="AG15" t="s">
        <v>144</v>
      </c>
      <c r="AK15" t="s">
        <v>157</v>
      </c>
      <c r="AL15" s="41">
        <v>758.55</v>
      </c>
      <c r="AM15" s="41">
        <v>769.8</v>
      </c>
      <c r="AN15" s="41">
        <v>753.6</v>
      </c>
      <c r="AO15" s="41">
        <v>766.75</v>
      </c>
      <c r="AP15">
        <v>11.35</v>
      </c>
      <c r="AQ15">
        <v>1.5</v>
      </c>
      <c r="AR15">
        <v>60.95</v>
      </c>
      <c r="AS15">
        <v>465.02</v>
      </c>
      <c r="AT15" s="41">
        <v>901</v>
      </c>
      <c r="AU15" s="41">
        <v>312.10000000000002</v>
      </c>
      <c r="AV15">
        <v>118.04</v>
      </c>
      <c r="AW15">
        <v>8.4700000000000006</v>
      </c>
      <c r="AX15">
        <v>7.28</v>
      </c>
    </row>
    <row r="16" spans="1:50">
      <c r="A16" s="37"/>
      <c r="I16" s="7"/>
      <c r="J16" s="7"/>
      <c r="K16" s="7"/>
      <c r="L16" s="7"/>
      <c r="M16" s="7"/>
      <c r="N16" s="34"/>
      <c r="O16" s="34"/>
      <c r="P16" s="34"/>
      <c r="Q16" s="34"/>
      <c r="R16" s="34"/>
      <c r="S16" s="34"/>
      <c r="T16" s="34"/>
      <c r="U16" s="34"/>
      <c r="V16" s="34"/>
      <c r="W16" s="34"/>
      <c r="Y16" s="34"/>
      <c r="Z16" s="34"/>
      <c r="AB16" s="34"/>
      <c r="AC16" s="40"/>
      <c r="AG16" t="s">
        <v>145</v>
      </c>
      <c r="AK16" t="s">
        <v>94</v>
      </c>
      <c r="AL16">
        <v>1693.25</v>
      </c>
      <c r="AM16">
        <v>1715.1</v>
      </c>
      <c r="AN16">
        <v>1690.2</v>
      </c>
      <c r="AO16">
        <v>1710.6</v>
      </c>
      <c r="AP16">
        <v>24.45</v>
      </c>
      <c r="AQ16">
        <v>1.45</v>
      </c>
      <c r="AR16">
        <v>34.69</v>
      </c>
      <c r="AS16">
        <v>591.04999999999995</v>
      </c>
      <c r="AT16">
        <v>1757</v>
      </c>
      <c r="AU16">
        <v>948.3</v>
      </c>
      <c r="AV16">
        <v>74.84</v>
      </c>
      <c r="AW16">
        <v>0.36</v>
      </c>
      <c r="AX16">
        <v>-1.52</v>
      </c>
    </row>
    <row r="17" spans="1:50">
      <c r="A17">
        <v>1</v>
      </c>
      <c r="I17">
        <f>$D17*(1+I$1)</f>
        <v>0</v>
      </c>
      <c r="J17">
        <f t="shared" ref="J17:L36" si="19">$D17*(1+J$1)</f>
        <v>0</v>
      </c>
      <c r="K17">
        <f t="shared" si="19"/>
        <v>0</v>
      </c>
      <c r="L17">
        <f t="shared" si="19"/>
        <v>0</v>
      </c>
      <c r="M17" s="36">
        <v>44497</v>
      </c>
      <c r="N17" s="34" t="e">
        <f>VLOOKUP(TRIM($B17),Lots!$B:$F,2,0)</f>
        <v>#N/A</v>
      </c>
      <c r="O17" s="34"/>
      <c r="P17" s="34"/>
      <c r="Q17" s="34"/>
      <c r="R17" s="34"/>
      <c r="S17" s="34">
        <v>-1</v>
      </c>
      <c r="T17" s="34">
        <v>0</v>
      </c>
      <c r="U17" s="34" t="e">
        <f t="shared" ref="U17:U36" si="20">Q17*N17*T17</f>
        <v>#N/A</v>
      </c>
      <c r="V17" s="34">
        <f t="shared" ref="V17:V36" si="21">S17*T17</f>
        <v>0</v>
      </c>
      <c r="W17" s="34" t="e">
        <f t="shared" ref="W17:W36" si="22">N17*O17*T17</f>
        <v>#N/A</v>
      </c>
      <c r="X17" s="35" t="e">
        <f t="shared" ref="X17:X36" si="23">Q17*N17/S17</f>
        <v>#N/A</v>
      </c>
      <c r="Y17" s="34">
        <f t="shared" ref="Y17:Y37" ca="1" si="24">YEARFRAC($A$1,M17)</f>
        <v>0.71111111111111114</v>
      </c>
      <c r="Z17" s="34">
        <f ca="1">M17-$A$1</f>
        <v>-259</v>
      </c>
      <c r="AA17" s="35" t="e">
        <f t="shared" ref="AA17:AA22" ca="1" si="25">X17/Y17</f>
        <v>#N/A</v>
      </c>
      <c r="AC17" s="40"/>
      <c r="AG17" t="s">
        <v>146</v>
      </c>
      <c r="AK17" t="s">
        <v>456</v>
      </c>
      <c r="AL17" s="41">
        <v>756.8</v>
      </c>
      <c r="AM17" s="41">
        <v>763.6</v>
      </c>
      <c r="AN17" s="41">
        <v>752.6</v>
      </c>
      <c r="AO17" s="41">
        <v>762.5</v>
      </c>
      <c r="AP17">
        <v>10</v>
      </c>
      <c r="AQ17">
        <v>1.33</v>
      </c>
      <c r="AR17">
        <v>9.49</v>
      </c>
      <c r="AS17">
        <v>71.790000000000006</v>
      </c>
      <c r="AT17" s="41">
        <v>864.7</v>
      </c>
      <c r="AU17" s="41">
        <v>399</v>
      </c>
      <c r="AV17">
        <v>47.8</v>
      </c>
      <c r="AW17">
        <v>-1.33</v>
      </c>
      <c r="AX17">
        <v>-3.41</v>
      </c>
    </row>
    <row r="18" spans="1:50">
      <c r="A18">
        <v>2</v>
      </c>
      <c r="D18">
        <v>686</v>
      </c>
      <c r="G18" t="s">
        <v>496</v>
      </c>
      <c r="H18" t="s">
        <v>497</v>
      </c>
      <c r="I18">
        <f t="shared" ref="I18:I36" si="26">$D18*(1+I$1)</f>
        <v>617.4</v>
      </c>
      <c r="J18">
        <f t="shared" si="19"/>
        <v>583.1</v>
      </c>
      <c r="K18">
        <f t="shared" si="19"/>
        <v>754.6</v>
      </c>
      <c r="L18">
        <f t="shared" si="19"/>
        <v>788.9</v>
      </c>
      <c r="M18" s="36">
        <v>44497</v>
      </c>
      <c r="N18" s="34" t="e">
        <f>VLOOKUP(TRIM($B18),Lots!$B:$F,2,0)</f>
        <v>#N/A</v>
      </c>
      <c r="O18" s="34">
        <v>600</v>
      </c>
      <c r="P18" s="34"/>
      <c r="Q18" s="34">
        <v>7.9</v>
      </c>
      <c r="R18" s="34">
        <v>39.409999999999997</v>
      </c>
      <c r="S18" s="34">
        <v>144763</v>
      </c>
      <c r="T18" s="34">
        <v>1</v>
      </c>
      <c r="U18" s="34" t="e">
        <f t="shared" si="20"/>
        <v>#N/A</v>
      </c>
      <c r="V18" s="34">
        <f t="shared" si="21"/>
        <v>144763</v>
      </c>
      <c r="W18" s="34" t="e">
        <f t="shared" si="22"/>
        <v>#N/A</v>
      </c>
      <c r="X18" s="35" t="e">
        <f t="shared" si="23"/>
        <v>#N/A</v>
      </c>
      <c r="Y18" s="34">
        <f t="shared" ca="1" si="24"/>
        <v>0.71111111111111114</v>
      </c>
      <c r="Z18" s="34">
        <f t="shared" ref="Z18:Z58" ca="1" si="27">M18-$A$1</f>
        <v>-259</v>
      </c>
      <c r="AA18" s="38" t="e">
        <f t="shared" ca="1" si="25"/>
        <v>#N/A</v>
      </c>
      <c r="AC18" s="40"/>
      <c r="AG18" t="s">
        <v>147</v>
      </c>
      <c r="AK18" t="s">
        <v>399</v>
      </c>
      <c r="AL18" s="41">
        <v>1700</v>
      </c>
      <c r="AM18" s="41">
        <v>1724.6</v>
      </c>
      <c r="AN18" s="41">
        <v>1697</v>
      </c>
      <c r="AO18" s="41">
        <v>1718.1</v>
      </c>
      <c r="AP18">
        <v>21.65</v>
      </c>
      <c r="AQ18">
        <v>1.28</v>
      </c>
      <c r="AR18">
        <v>24.19</v>
      </c>
      <c r="AS18">
        <v>414.79</v>
      </c>
      <c r="AT18" s="41">
        <v>1724.6</v>
      </c>
      <c r="AU18">
        <v>843</v>
      </c>
      <c r="AV18">
        <v>90.46</v>
      </c>
      <c r="AW18">
        <v>3.74</v>
      </c>
      <c r="AX18">
        <v>1.68</v>
      </c>
    </row>
    <row r="19" spans="1:50">
      <c r="A19">
        <v>3</v>
      </c>
      <c r="B19" s="33"/>
      <c r="C19" s="46"/>
      <c r="D19" s="33">
        <v>4903.8999999999996</v>
      </c>
      <c r="E19" s="33"/>
      <c r="F19" s="33"/>
      <c r="G19" s="33"/>
      <c r="H19" s="33"/>
      <c r="I19" s="33">
        <f t="shared" si="26"/>
        <v>4413.51</v>
      </c>
      <c r="J19" s="33">
        <f t="shared" si="19"/>
        <v>4168.3149999999996</v>
      </c>
      <c r="K19" s="33">
        <f t="shared" si="19"/>
        <v>5394.29</v>
      </c>
      <c r="L19" s="33">
        <f t="shared" si="19"/>
        <v>5639.4849999999988</v>
      </c>
      <c r="M19" s="43">
        <v>44497</v>
      </c>
      <c r="N19" s="44" t="e">
        <f>VLOOKUP(TRIM($B19),Lots!$B:$F,2,0)</f>
        <v>#N/A</v>
      </c>
      <c r="O19" s="44">
        <v>4400</v>
      </c>
      <c r="P19" s="44"/>
      <c r="Q19" s="44">
        <v>40</v>
      </c>
      <c r="R19" s="44">
        <v>0</v>
      </c>
      <c r="S19" s="44">
        <v>75855</v>
      </c>
      <c r="T19" s="44">
        <v>1</v>
      </c>
      <c r="U19" s="44" t="e">
        <f t="shared" si="20"/>
        <v>#N/A</v>
      </c>
      <c r="V19" s="44">
        <f t="shared" si="21"/>
        <v>75855</v>
      </c>
      <c r="W19" s="44" t="e">
        <f t="shared" si="22"/>
        <v>#N/A</v>
      </c>
      <c r="X19" s="45" t="e">
        <f t="shared" si="23"/>
        <v>#N/A</v>
      </c>
      <c r="Y19" s="44">
        <f t="shared" ca="1" si="24"/>
        <v>0.71111111111111114</v>
      </c>
      <c r="Z19" s="44">
        <f t="shared" ca="1" si="27"/>
        <v>-259</v>
      </c>
      <c r="AA19" s="45" t="e">
        <f t="shared" ca="1" si="25"/>
        <v>#N/A</v>
      </c>
      <c r="AC19" s="40"/>
      <c r="AK19" t="s">
        <v>421</v>
      </c>
      <c r="AL19">
        <v>5122.95</v>
      </c>
      <c r="AM19">
        <v>5152.5</v>
      </c>
      <c r="AN19">
        <v>5090.1000000000004</v>
      </c>
      <c r="AO19">
        <v>5147.8999999999996</v>
      </c>
      <c r="AP19">
        <v>53.05</v>
      </c>
      <c r="AQ19">
        <v>1.04</v>
      </c>
      <c r="AR19">
        <v>2.79</v>
      </c>
      <c r="AS19">
        <v>142.76</v>
      </c>
      <c r="AT19">
        <v>5271.65</v>
      </c>
      <c r="AU19">
        <v>2985</v>
      </c>
      <c r="AV19">
        <v>62.66</v>
      </c>
      <c r="AW19">
        <v>5.08</v>
      </c>
      <c r="AX19">
        <v>2.95</v>
      </c>
    </row>
    <row r="20" spans="1:50">
      <c r="A20">
        <v>4</v>
      </c>
      <c r="D20">
        <v>800.6</v>
      </c>
      <c r="I20">
        <f t="shared" si="26"/>
        <v>720.54000000000008</v>
      </c>
      <c r="J20">
        <f t="shared" si="19"/>
        <v>680.51</v>
      </c>
      <c r="K20">
        <f t="shared" si="19"/>
        <v>880.66000000000008</v>
      </c>
      <c r="L20">
        <f t="shared" si="19"/>
        <v>920.68999999999994</v>
      </c>
      <c r="M20" s="36">
        <v>44497</v>
      </c>
      <c r="N20" s="34" t="e">
        <f>VLOOKUP(TRIM($B20),Lots!$B:$F,2,0)</f>
        <v>#N/A</v>
      </c>
      <c r="O20" s="34"/>
      <c r="P20" s="34"/>
      <c r="Q20" s="34"/>
      <c r="R20" s="34"/>
      <c r="S20" s="34">
        <v>-1</v>
      </c>
      <c r="T20" s="34">
        <v>0</v>
      </c>
      <c r="U20" s="34" t="e">
        <f t="shared" si="20"/>
        <v>#N/A</v>
      </c>
      <c r="V20" s="34">
        <f t="shared" si="21"/>
        <v>0</v>
      </c>
      <c r="W20" s="34" t="e">
        <f t="shared" si="22"/>
        <v>#N/A</v>
      </c>
      <c r="X20" s="35" t="e">
        <f t="shared" si="23"/>
        <v>#N/A</v>
      </c>
      <c r="Y20" s="34">
        <f t="shared" ca="1" si="24"/>
        <v>0.71111111111111114</v>
      </c>
      <c r="Z20" s="34">
        <f t="shared" ca="1" si="27"/>
        <v>-259</v>
      </c>
      <c r="AA20" s="35" t="e">
        <f t="shared" ca="1" si="25"/>
        <v>#N/A</v>
      </c>
      <c r="AC20" s="40"/>
      <c r="AK20" t="s">
        <v>102</v>
      </c>
      <c r="AL20" s="41">
        <v>707.1</v>
      </c>
      <c r="AM20" s="41">
        <v>716</v>
      </c>
      <c r="AN20" s="41">
        <v>706.3</v>
      </c>
      <c r="AO20" s="41">
        <v>714.3</v>
      </c>
      <c r="AP20">
        <v>6.85</v>
      </c>
      <c r="AQ20">
        <v>0.97</v>
      </c>
      <c r="AR20">
        <v>49.54</v>
      </c>
      <c r="AS20">
        <v>351.82</v>
      </c>
      <c r="AT20" s="41">
        <v>734.8</v>
      </c>
      <c r="AU20">
        <v>333.75</v>
      </c>
      <c r="AV20">
        <v>96.4</v>
      </c>
      <c r="AW20">
        <v>1.66</v>
      </c>
      <c r="AX20">
        <v>2.87</v>
      </c>
    </row>
    <row r="21" spans="1:50">
      <c r="A21">
        <v>5</v>
      </c>
      <c r="D21">
        <v>981.65</v>
      </c>
      <c r="I21">
        <f t="shared" si="26"/>
        <v>883.48500000000001</v>
      </c>
      <c r="J21">
        <f t="shared" si="19"/>
        <v>834.40249999999992</v>
      </c>
      <c r="K21">
        <f t="shared" si="19"/>
        <v>1079.8150000000001</v>
      </c>
      <c r="L21">
        <f t="shared" si="19"/>
        <v>1128.8974999999998</v>
      </c>
      <c r="M21" s="36">
        <v>44497</v>
      </c>
      <c r="N21" s="34" t="e">
        <f>VLOOKUP(TRIM($B21),Lots!$B:$F,2,0)</f>
        <v>#N/A</v>
      </c>
      <c r="O21" s="34">
        <v>860</v>
      </c>
      <c r="P21" s="34"/>
      <c r="Q21" s="34">
        <v>5</v>
      </c>
      <c r="R21" s="34">
        <v>0</v>
      </c>
      <c r="S21" s="34">
        <v>116757</v>
      </c>
      <c r="T21" s="34">
        <v>1</v>
      </c>
      <c r="U21" s="34" t="e">
        <f t="shared" si="20"/>
        <v>#N/A</v>
      </c>
      <c r="V21" s="34">
        <f t="shared" si="21"/>
        <v>116757</v>
      </c>
      <c r="W21" s="34" t="e">
        <f t="shared" si="22"/>
        <v>#N/A</v>
      </c>
      <c r="X21" s="35" t="e">
        <f t="shared" si="23"/>
        <v>#N/A</v>
      </c>
      <c r="Y21" s="34">
        <f t="shared" ca="1" si="24"/>
        <v>0.71111111111111114</v>
      </c>
      <c r="Z21" s="34">
        <f t="shared" ca="1" si="27"/>
        <v>-259</v>
      </c>
      <c r="AA21" s="35" t="e">
        <f t="shared" ca="1" si="25"/>
        <v>#N/A</v>
      </c>
      <c r="AC21" s="40"/>
      <c r="AK21" t="s">
        <v>220</v>
      </c>
      <c r="AL21" s="41">
        <v>2860</v>
      </c>
      <c r="AM21" s="41">
        <v>2885</v>
      </c>
      <c r="AN21" s="41">
        <v>2860</v>
      </c>
      <c r="AO21" s="41">
        <v>2878.7</v>
      </c>
      <c r="AP21">
        <v>27</v>
      </c>
      <c r="AQ21">
        <v>0.95</v>
      </c>
      <c r="AR21">
        <v>5.9</v>
      </c>
      <c r="AS21">
        <v>169.82</v>
      </c>
      <c r="AT21" s="41">
        <v>3629.05</v>
      </c>
      <c r="AU21" s="41">
        <v>2636</v>
      </c>
      <c r="AV21">
        <v>-4.95</v>
      </c>
      <c r="AW21">
        <v>4.78</v>
      </c>
      <c r="AX21">
        <v>0.38</v>
      </c>
    </row>
    <row r="22" spans="1:50">
      <c r="A22">
        <v>6</v>
      </c>
      <c r="D22">
        <v>344.8</v>
      </c>
      <c r="I22">
        <f t="shared" si="26"/>
        <v>310.32</v>
      </c>
      <c r="J22">
        <f t="shared" si="19"/>
        <v>293.08</v>
      </c>
      <c r="K22">
        <f t="shared" si="19"/>
        <v>379.28000000000003</v>
      </c>
      <c r="L22">
        <f t="shared" si="19"/>
        <v>396.52</v>
      </c>
      <c r="M22" s="36">
        <v>44497</v>
      </c>
      <c r="N22" s="34" t="e">
        <f>VLOOKUP(TRIM($B22),Lots!$B:$F,2,0)</f>
        <v>#N/A</v>
      </c>
      <c r="O22" s="34">
        <v>300</v>
      </c>
      <c r="P22" s="34"/>
      <c r="Q22" s="34">
        <v>4.9000000000000004</v>
      </c>
      <c r="R22" s="34">
        <v>41.23</v>
      </c>
      <c r="S22" s="34">
        <v>200077</v>
      </c>
      <c r="T22" s="34">
        <v>1</v>
      </c>
      <c r="U22" s="34" t="e">
        <f t="shared" si="20"/>
        <v>#N/A</v>
      </c>
      <c r="V22" s="34">
        <f t="shared" si="21"/>
        <v>200077</v>
      </c>
      <c r="W22" s="34" t="e">
        <f t="shared" si="22"/>
        <v>#N/A</v>
      </c>
      <c r="X22" s="35" t="e">
        <f t="shared" si="23"/>
        <v>#N/A</v>
      </c>
      <c r="Y22" s="34">
        <f t="shared" ca="1" si="24"/>
        <v>0.71111111111111114</v>
      </c>
      <c r="Z22" s="34">
        <f t="shared" ca="1" si="27"/>
        <v>-259</v>
      </c>
      <c r="AA22" s="38" t="e">
        <f t="shared" ca="1" si="25"/>
        <v>#N/A</v>
      </c>
      <c r="AC22" s="40"/>
      <c r="AK22" t="s">
        <v>374</v>
      </c>
      <c r="AL22">
        <v>115.45</v>
      </c>
      <c r="AM22">
        <v>116.75</v>
      </c>
      <c r="AN22">
        <v>115.2</v>
      </c>
      <c r="AO22">
        <v>116.25</v>
      </c>
      <c r="AP22">
        <v>1</v>
      </c>
      <c r="AQ22">
        <v>0.87</v>
      </c>
      <c r="AR22">
        <v>103.24</v>
      </c>
      <c r="AS22">
        <v>119.97</v>
      </c>
      <c r="AT22">
        <v>117.85</v>
      </c>
      <c r="AU22">
        <v>71.650000000000006</v>
      </c>
      <c r="AV22">
        <v>40.57</v>
      </c>
      <c r="AW22">
        <v>8.44</v>
      </c>
      <c r="AX22">
        <v>10.130000000000001</v>
      </c>
    </row>
    <row r="23" spans="1:50">
      <c r="A23">
        <v>7</v>
      </c>
      <c r="B23" s="33"/>
      <c r="C23" s="33"/>
      <c r="D23" s="33">
        <v>146.1</v>
      </c>
      <c r="E23" s="33"/>
      <c r="F23" s="33"/>
      <c r="G23" s="33"/>
      <c r="H23" s="33"/>
      <c r="I23" s="33">
        <f t="shared" si="26"/>
        <v>131.49</v>
      </c>
      <c r="J23" s="33">
        <f t="shared" si="19"/>
        <v>124.18499999999999</v>
      </c>
      <c r="K23" s="33">
        <f t="shared" si="19"/>
        <v>160.71</v>
      </c>
      <c r="L23" s="33">
        <f t="shared" si="19"/>
        <v>168.01499999999999</v>
      </c>
      <c r="M23" s="43">
        <v>44497</v>
      </c>
      <c r="N23" s="44" t="e">
        <f>VLOOKUP(TRIM($B23),Lots!$B:$F,2,0)</f>
        <v>#N/A</v>
      </c>
      <c r="O23" s="44">
        <v>130</v>
      </c>
      <c r="P23" s="44"/>
      <c r="Q23" s="44">
        <v>1</v>
      </c>
      <c r="R23" s="44">
        <v>28.39</v>
      </c>
      <c r="S23" s="44">
        <v>86689</v>
      </c>
      <c r="T23" s="44">
        <v>1</v>
      </c>
      <c r="U23" s="44" t="e">
        <f t="shared" si="20"/>
        <v>#N/A</v>
      </c>
      <c r="V23" s="44">
        <f t="shared" si="21"/>
        <v>86689</v>
      </c>
      <c r="W23" s="44" t="e">
        <f t="shared" si="22"/>
        <v>#N/A</v>
      </c>
      <c r="X23" s="45" t="e">
        <f t="shared" si="23"/>
        <v>#N/A</v>
      </c>
      <c r="Y23" s="44">
        <f t="shared" ca="1" si="24"/>
        <v>0.71111111111111114</v>
      </c>
      <c r="Z23" s="44">
        <f t="shared" ca="1" si="27"/>
        <v>-259</v>
      </c>
      <c r="AA23" s="45" t="e">
        <f ca="1">X23/Y23</f>
        <v>#N/A</v>
      </c>
      <c r="AK23" t="s">
        <v>389</v>
      </c>
      <c r="AL23" s="41">
        <v>740.9</v>
      </c>
      <c r="AM23" s="41">
        <v>752</v>
      </c>
      <c r="AN23" s="41">
        <v>740</v>
      </c>
      <c r="AO23" s="41">
        <v>745.05</v>
      </c>
      <c r="AP23">
        <v>5.85</v>
      </c>
      <c r="AQ23">
        <v>0.79</v>
      </c>
      <c r="AR23">
        <v>25.26</v>
      </c>
      <c r="AS23">
        <v>188.76</v>
      </c>
      <c r="AT23" s="41">
        <v>775.65</v>
      </c>
      <c r="AU23" s="41">
        <v>555.95000000000005</v>
      </c>
      <c r="AV23">
        <v>24.29</v>
      </c>
      <c r="AW23">
        <v>10.62</v>
      </c>
      <c r="AX23">
        <v>10.25</v>
      </c>
    </row>
    <row r="24" spans="1:50">
      <c r="A24">
        <v>8</v>
      </c>
      <c r="D24">
        <v>4125</v>
      </c>
      <c r="I24">
        <f t="shared" si="26"/>
        <v>3712.5</v>
      </c>
      <c r="J24">
        <f t="shared" si="19"/>
        <v>3506.25</v>
      </c>
      <c r="K24">
        <f t="shared" si="19"/>
        <v>4537.5</v>
      </c>
      <c r="L24">
        <f t="shared" si="19"/>
        <v>4743.75</v>
      </c>
      <c r="M24" s="36">
        <v>44497</v>
      </c>
      <c r="N24" s="34" t="e">
        <f>VLOOKUP(TRIM($B24),Lots!$B:$F,2,0)</f>
        <v>#N/A</v>
      </c>
      <c r="O24" s="34"/>
      <c r="P24" s="34"/>
      <c r="Q24" s="34"/>
      <c r="R24" s="34"/>
      <c r="S24" s="34">
        <v>133990</v>
      </c>
      <c r="T24" s="34">
        <v>0</v>
      </c>
      <c r="U24" s="34" t="e">
        <f t="shared" si="20"/>
        <v>#N/A</v>
      </c>
      <c r="V24" s="34">
        <f t="shared" si="21"/>
        <v>0</v>
      </c>
      <c r="W24" s="34" t="e">
        <f t="shared" si="22"/>
        <v>#N/A</v>
      </c>
      <c r="X24" s="35" t="e">
        <f t="shared" si="23"/>
        <v>#N/A</v>
      </c>
      <c r="Y24" s="34">
        <f t="shared" ca="1" si="24"/>
        <v>0.71111111111111114</v>
      </c>
      <c r="Z24" s="34">
        <f t="shared" ca="1" si="27"/>
        <v>-259</v>
      </c>
      <c r="AA24" s="35" t="e">
        <f t="shared" ref="AA24:AA58" ca="1" si="28">X24/Y24</f>
        <v>#N/A</v>
      </c>
      <c r="AC24" s="40"/>
      <c r="AK24" t="s">
        <v>403</v>
      </c>
      <c r="AL24" s="41">
        <v>1442.1</v>
      </c>
      <c r="AM24" s="41">
        <v>1480</v>
      </c>
      <c r="AN24" s="41">
        <v>1437.95</v>
      </c>
      <c r="AO24" s="41">
        <v>1462.95</v>
      </c>
      <c r="AP24">
        <v>10.9</v>
      </c>
      <c r="AQ24">
        <v>0.75</v>
      </c>
      <c r="AR24">
        <v>21.08</v>
      </c>
      <c r="AS24">
        <v>307.99</v>
      </c>
      <c r="AT24" s="41">
        <v>1480</v>
      </c>
      <c r="AU24">
        <v>747.55</v>
      </c>
      <c r="AV24">
        <v>85.01</v>
      </c>
      <c r="AW24">
        <v>6.95</v>
      </c>
      <c r="AX24">
        <v>4.9800000000000004</v>
      </c>
    </row>
    <row r="25" spans="1:50">
      <c r="A25">
        <v>9</v>
      </c>
      <c r="B25" s="33"/>
      <c r="C25" s="33"/>
      <c r="D25" s="33">
        <v>1565</v>
      </c>
      <c r="E25" s="33"/>
      <c r="F25" s="33"/>
      <c r="G25" s="33"/>
      <c r="H25" s="33"/>
      <c r="I25" s="33">
        <f t="shared" si="26"/>
        <v>1408.5</v>
      </c>
      <c r="J25" s="33">
        <f t="shared" si="19"/>
        <v>1330.25</v>
      </c>
      <c r="K25" s="33">
        <f t="shared" si="19"/>
        <v>1721.5000000000002</v>
      </c>
      <c r="L25" s="33">
        <f t="shared" si="19"/>
        <v>1799.7499999999998</v>
      </c>
      <c r="M25" s="43">
        <v>44497</v>
      </c>
      <c r="N25" s="44" t="e">
        <f>VLOOKUP(TRIM($B25),Lots!$B:$F,2,0)</f>
        <v>#N/A</v>
      </c>
      <c r="O25" s="44">
        <v>1400</v>
      </c>
      <c r="P25" s="44"/>
      <c r="Q25" s="44">
        <v>6.7</v>
      </c>
      <c r="R25" s="44">
        <v>26.31</v>
      </c>
      <c r="S25" s="44">
        <v>90873</v>
      </c>
      <c r="T25" s="44">
        <v>1</v>
      </c>
      <c r="U25" s="44" t="e">
        <f t="shared" si="20"/>
        <v>#N/A</v>
      </c>
      <c r="V25" s="44">
        <f t="shared" si="21"/>
        <v>90873</v>
      </c>
      <c r="W25" s="44" t="e">
        <f t="shared" si="22"/>
        <v>#N/A</v>
      </c>
      <c r="X25" s="45" t="e">
        <f t="shared" si="23"/>
        <v>#N/A</v>
      </c>
      <c r="Y25" s="44">
        <f t="shared" ca="1" si="24"/>
        <v>0.71111111111111114</v>
      </c>
      <c r="Z25" s="44">
        <f t="shared" ca="1" si="27"/>
        <v>-259</v>
      </c>
      <c r="AA25" s="45" t="e">
        <f t="shared" ca="1" si="28"/>
        <v>#N/A</v>
      </c>
      <c r="AC25" s="40"/>
      <c r="AK25" t="s">
        <v>435</v>
      </c>
      <c r="AL25">
        <v>30770</v>
      </c>
      <c r="AM25">
        <v>31469.95</v>
      </c>
      <c r="AN25">
        <v>30650</v>
      </c>
      <c r="AO25">
        <v>30856.65</v>
      </c>
      <c r="AP25">
        <v>198.15</v>
      </c>
      <c r="AQ25">
        <v>0.65</v>
      </c>
      <c r="AR25">
        <v>0.66</v>
      </c>
      <c r="AS25">
        <v>204.28</v>
      </c>
      <c r="AT25">
        <v>32048</v>
      </c>
      <c r="AU25">
        <v>18183.55</v>
      </c>
      <c r="AV25">
        <v>55.92</v>
      </c>
      <c r="AW25">
        <v>18.78</v>
      </c>
      <c r="AX25">
        <v>15.26</v>
      </c>
    </row>
    <row r="26" spans="1:50">
      <c r="A26">
        <v>10</v>
      </c>
      <c r="D26">
        <v>230.6</v>
      </c>
      <c r="I26">
        <f t="shared" si="26"/>
        <v>207.54</v>
      </c>
      <c r="J26">
        <f t="shared" si="19"/>
        <v>196.01</v>
      </c>
      <c r="K26">
        <f t="shared" si="19"/>
        <v>253.66000000000003</v>
      </c>
      <c r="L26">
        <f t="shared" si="19"/>
        <v>265.19</v>
      </c>
      <c r="M26" s="36">
        <v>44497</v>
      </c>
      <c r="N26" s="34" t="e">
        <f>VLOOKUP(TRIM($B26),Lots!$B:$F,2,0)</f>
        <v>#N/A</v>
      </c>
      <c r="O26" s="34">
        <v>200</v>
      </c>
      <c r="P26" s="34"/>
      <c r="Q26" s="34">
        <v>8</v>
      </c>
      <c r="R26" s="34">
        <v>0</v>
      </c>
      <c r="S26" s="34">
        <v>-1</v>
      </c>
      <c r="T26" s="34">
        <v>0</v>
      </c>
      <c r="U26" s="34" t="e">
        <f t="shared" si="20"/>
        <v>#N/A</v>
      </c>
      <c r="V26" s="34">
        <f t="shared" si="21"/>
        <v>0</v>
      </c>
      <c r="W26" s="34" t="e">
        <f t="shared" si="22"/>
        <v>#N/A</v>
      </c>
      <c r="X26" s="35" t="e">
        <f t="shared" si="23"/>
        <v>#N/A</v>
      </c>
      <c r="Y26" s="34">
        <f t="shared" ca="1" si="24"/>
        <v>0.71111111111111114</v>
      </c>
      <c r="Z26" s="34">
        <f t="shared" ca="1" si="27"/>
        <v>-259</v>
      </c>
      <c r="AA26" s="35" t="e">
        <f t="shared" ca="1" si="28"/>
        <v>#N/A</v>
      </c>
      <c r="AC26" s="40"/>
      <c r="AK26" t="s">
        <v>429</v>
      </c>
      <c r="AL26">
        <v>2820.3</v>
      </c>
      <c r="AM26">
        <v>2851.95</v>
      </c>
      <c r="AN26">
        <v>2801.2</v>
      </c>
      <c r="AO26">
        <v>2838.35</v>
      </c>
      <c r="AP26">
        <v>18.05</v>
      </c>
      <c r="AQ26">
        <v>0.64</v>
      </c>
      <c r="AR26">
        <v>3.47</v>
      </c>
      <c r="AS26">
        <v>97.82</v>
      </c>
      <c r="AT26">
        <v>3037</v>
      </c>
      <c r="AU26">
        <v>2015.2</v>
      </c>
      <c r="AV26">
        <v>31.44</v>
      </c>
      <c r="AW26">
        <v>13.72</v>
      </c>
      <c r="AX26">
        <v>-1.95</v>
      </c>
    </row>
    <row r="27" spans="1:50">
      <c r="A27">
        <v>11</v>
      </c>
      <c r="D27">
        <v>2780</v>
      </c>
      <c r="I27">
        <f t="shared" si="26"/>
        <v>2502</v>
      </c>
      <c r="J27">
        <f t="shared" si="19"/>
        <v>2363</v>
      </c>
      <c r="K27">
        <f t="shared" si="19"/>
        <v>3058.0000000000005</v>
      </c>
      <c r="L27">
        <f t="shared" si="19"/>
        <v>3196.9999999999995</v>
      </c>
      <c r="M27" s="36">
        <v>44497</v>
      </c>
      <c r="N27" s="34" t="e">
        <f>VLOOKUP(TRIM($B27),Lots!$B:$F,2,0)</f>
        <v>#N/A</v>
      </c>
      <c r="O27" s="34"/>
      <c r="P27" s="34"/>
      <c r="Q27" s="34"/>
      <c r="R27" s="34"/>
      <c r="S27" s="34">
        <v>88722</v>
      </c>
      <c r="T27" s="34">
        <v>1</v>
      </c>
      <c r="U27" s="34" t="e">
        <f t="shared" si="20"/>
        <v>#N/A</v>
      </c>
      <c r="V27" s="34">
        <f t="shared" si="21"/>
        <v>88722</v>
      </c>
      <c r="W27" s="34" t="e">
        <f t="shared" si="22"/>
        <v>#N/A</v>
      </c>
      <c r="X27" s="35" t="e">
        <f t="shared" si="23"/>
        <v>#N/A</v>
      </c>
      <c r="Y27" s="34">
        <f t="shared" ca="1" si="24"/>
        <v>0.71111111111111114</v>
      </c>
      <c r="Z27" s="34">
        <f t="shared" ca="1" si="27"/>
        <v>-259</v>
      </c>
      <c r="AA27" s="38" t="e">
        <f t="shared" ca="1" si="28"/>
        <v>#N/A</v>
      </c>
      <c r="AC27" s="40"/>
      <c r="AK27" t="s">
        <v>178</v>
      </c>
      <c r="AL27" s="41">
        <v>3762.6</v>
      </c>
      <c r="AM27" s="41">
        <v>3801.6</v>
      </c>
      <c r="AN27" s="41">
        <v>3758.05</v>
      </c>
      <c r="AO27" s="41">
        <v>3773.5</v>
      </c>
      <c r="AP27">
        <v>22.45</v>
      </c>
      <c r="AQ27">
        <v>0.6</v>
      </c>
      <c r="AR27">
        <v>4.41</v>
      </c>
      <c r="AS27">
        <v>166.74</v>
      </c>
      <c r="AT27" s="41">
        <v>4361.3999999999996</v>
      </c>
      <c r="AU27">
        <v>2822.45</v>
      </c>
      <c r="AV27">
        <v>27.58</v>
      </c>
      <c r="AW27">
        <v>0.67</v>
      </c>
      <c r="AX27">
        <v>10.74</v>
      </c>
    </row>
    <row r="28" spans="1:50">
      <c r="A28">
        <v>12</v>
      </c>
      <c r="D28">
        <v>720.25</v>
      </c>
      <c r="I28">
        <f t="shared" si="26"/>
        <v>648.22500000000002</v>
      </c>
      <c r="J28">
        <f t="shared" si="19"/>
        <v>612.21249999999998</v>
      </c>
      <c r="K28">
        <f t="shared" si="19"/>
        <v>792.27500000000009</v>
      </c>
      <c r="L28">
        <f t="shared" si="19"/>
        <v>828.28749999999991</v>
      </c>
      <c r="M28" s="36">
        <v>44497</v>
      </c>
      <c r="N28" s="34" t="e">
        <f>VLOOKUP(TRIM($B28),Lots!$B:$F,2,0)</f>
        <v>#N/A</v>
      </c>
      <c r="O28" s="34">
        <v>650</v>
      </c>
      <c r="P28" s="34"/>
      <c r="Q28" s="34">
        <v>4.75</v>
      </c>
      <c r="R28" s="34">
        <v>0</v>
      </c>
      <c r="S28" s="34">
        <v>165812</v>
      </c>
      <c r="T28" s="34">
        <v>1</v>
      </c>
      <c r="U28" s="34" t="e">
        <f t="shared" si="20"/>
        <v>#N/A</v>
      </c>
      <c r="V28" s="34">
        <f t="shared" si="21"/>
        <v>165812</v>
      </c>
      <c r="W28" s="34" t="e">
        <f t="shared" si="22"/>
        <v>#N/A</v>
      </c>
      <c r="X28" s="35" t="e">
        <f t="shared" si="23"/>
        <v>#N/A</v>
      </c>
      <c r="Y28" s="34">
        <f t="shared" ca="1" si="24"/>
        <v>0.71111111111111114</v>
      </c>
      <c r="Z28" s="34">
        <f t="shared" ca="1" si="27"/>
        <v>-259</v>
      </c>
      <c r="AA28" s="35" t="e">
        <f t="shared" ca="1" si="28"/>
        <v>#N/A</v>
      </c>
      <c r="AC28" s="40"/>
      <c r="AK28" t="s">
        <v>124</v>
      </c>
      <c r="AL28">
        <v>4937</v>
      </c>
      <c r="AM28">
        <v>4975</v>
      </c>
      <c r="AN28">
        <v>4918.8999999999996</v>
      </c>
      <c r="AO28">
        <v>4956.8999999999996</v>
      </c>
      <c r="AP28">
        <v>26.15</v>
      </c>
      <c r="AQ28">
        <v>0.53</v>
      </c>
      <c r="AR28">
        <v>2.4900000000000002</v>
      </c>
      <c r="AS28">
        <v>123.2</v>
      </c>
      <c r="AT28">
        <v>5614.6</v>
      </c>
      <c r="AU28">
        <v>4135</v>
      </c>
      <c r="AV28">
        <v>13.58</v>
      </c>
      <c r="AW28">
        <v>6.35</v>
      </c>
      <c r="AX28">
        <v>5.99</v>
      </c>
    </row>
    <row r="29" spans="1:50">
      <c r="A29">
        <v>13</v>
      </c>
      <c r="D29">
        <v>6040</v>
      </c>
      <c r="I29">
        <f t="shared" si="26"/>
        <v>5436</v>
      </c>
      <c r="J29">
        <f t="shared" si="19"/>
        <v>5134</v>
      </c>
      <c r="K29">
        <f t="shared" si="19"/>
        <v>6644.0000000000009</v>
      </c>
      <c r="L29">
        <f t="shared" si="19"/>
        <v>6945.9999999999991</v>
      </c>
      <c r="M29" s="36">
        <v>44497</v>
      </c>
      <c r="N29" s="34" t="e">
        <f>VLOOKUP(TRIM($B29),Lots!$B:$F,2,0)</f>
        <v>#N/A</v>
      </c>
      <c r="O29" s="34"/>
      <c r="P29" s="34"/>
      <c r="Q29" s="34"/>
      <c r="R29" s="34"/>
      <c r="S29" s="34">
        <v>341637</v>
      </c>
      <c r="T29" s="34">
        <v>1</v>
      </c>
      <c r="U29" s="34" t="e">
        <f t="shared" si="20"/>
        <v>#N/A</v>
      </c>
      <c r="V29" s="34">
        <f t="shared" si="21"/>
        <v>341637</v>
      </c>
      <c r="W29" s="34" t="e">
        <f t="shared" si="22"/>
        <v>#N/A</v>
      </c>
      <c r="X29" s="35" t="e">
        <f t="shared" si="23"/>
        <v>#N/A</v>
      </c>
      <c r="Y29" s="34">
        <f t="shared" ca="1" si="24"/>
        <v>0.71111111111111114</v>
      </c>
      <c r="Z29" s="34">
        <f t="shared" ca="1" si="27"/>
        <v>-259</v>
      </c>
      <c r="AA29" s="35" t="e">
        <f t="shared" ca="1" si="28"/>
        <v>#N/A</v>
      </c>
      <c r="AC29" s="40"/>
      <c r="AK29" t="s">
        <v>445</v>
      </c>
      <c r="AL29" s="41">
        <v>752</v>
      </c>
      <c r="AM29" s="41">
        <v>760</v>
      </c>
      <c r="AN29" s="41">
        <v>746.5</v>
      </c>
      <c r="AO29" s="41">
        <v>754.15</v>
      </c>
      <c r="AP29">
        <v>3.95</v>
      </c>
      <c r="AQ29">
        <v>0.53</v>
      </c>
      <c r="AR29">
        <v>29.11</v>
      </c>
      <c r="AS29">
        <v>219.59</v>
      </c>
      <c r="AT29" s="41">
        <v>952.05</v>
      </c>
      <c r="AU29" s="41">
        <v>567.5</v>
      </c>
      <c r="AV29">
        <v>22.57</v>
      </c>
      <c r="AW29">
        <v>-5.65</v>
      </c>
      <c r="AX29">
        <v>4.46</v>
      </c>
    </row>
    <row r="30" spans="1:50">
      <c r="A30">
        <v>14</v>
      </c>
      <c r="D30">
        <v>1731.2</v>
      </c>
      <c r="I30">
        <f t="shared" si="26"/>
        <v>1558.0800000000002</v>
      </c>
      <c r="J30">
        <f t="shared" si="19"/>
        <v>1471.52</v>
      </c>
      <c r="K30">
        <f t="shared" si="19"/>
        <v>1904.3200000000002</v>
      </c>
      <c r="L30">
        <f t="shared" si="19"/>
        <v>1990.8799999999999</v>
      </c>
      <c r="M30" s="36">
        <v>44497</v>
      </c>
      <c r="N30" s="34" t="e">
        <f>VLOOKUP(TRIM($B30),Lots!$B:$F,2,0)</f>
        <v>#N/A</v>
      </c>
      <c r="O30" s="34">
        <v>1500</v>
      </c>
      <c r="P30" s="34"/>
      <c r="Q30" s="34">
        <v>6.7</v>
      </c>
      <c r="R30" s="34">
        <v>26.77</v>
      </c>
      <c r="S30" s="34">
        <v>100187</v>
      </c>
      <c r="T30" s="34">
        <v>1</v>
      </c>
      <c r="U30" s="34" t="e">
        <f t="shared" si="20"/>
        <v>#N/A</v>
      </c>
      <c r="V30" s="34">
        <f t="shared" si="21"/>
        <v>100187</v>
      </c>
      <c r="W30" s="34" t="e">
        <f t="shared" si="22"/>
        <v>#N/A</v>
      </c>
      <c r="X30" s="35" t="e">
        <f t="shared" si="23"/>
        <v>#N/A</v>
      </c>
      <c r="Y30" s="34">
        <f t="shared" ca="1" si="24"/>
        <v>0.71111111111111114</v>
      </c>
      <c r="Z30" s="34">
        <f t="shared" ca="1" si="27"/>
        <v>-259</v>
      </c>
      <c r="AA30" s="35" t="e">
        <f t="shared" ca="1" si="28"/>
        <v>#N/A</v>
      </c>
      <c r="AC30" s="40"/>
      <c r="AK30" t="s">
        <v>106</v>
      </c>
      <c r="AL30" s="41">
        <v>1874</v>
      </c>
      <c r="AM30" s="41">
        <v>1898.45</v>
      </c>
      <c r="AN30" s="41">
        <v>1858</v>
      </c>
      <c r="AO30" s="41">
        <v>1877.45</v>
      </c>
      <c r="AP30">
        <v>9.6999999999999993</v>
      </c>
      <c r="AQ30">
        <v>0.52</v>
      </c>
      <c r="AR30">
        <v>45.1</v>
      </c>
      <c r="AS30">
        <v>849.73</v>
      </c>
      <c r="AT30" s="41">
        <v>2049</v>
      </c>
      <c r="AU30" s="41">
        <v>1230.5999999999999</v>
      </c>
      <c r="AV30">
        <v>43.9</v>
      </c>
      <c r="AW30">
        <v>5.34</v>
      </c>
      <c r="AX30">
        <v>-3.65</v>
      </c>
    </row>
    <row r="31" spans="1:50">
      <c r="A31">
        <v>15</v>
      </c>
      <c r="C31" t="s">
        <v>466</v>
      </c>
      <c r="D31">
        <v>562</v>
      </c>
      <c r="I31">
        <f t="shared" si="26"/>
        <v>505.8</v>
      </c>
      <c r="J31">
        <f t="shared" si="19"/>
        <v>477.7</v>
      </c>
      <c r="K31">
        <f t="shared" si="19"/>
        <v>618.20000000000005</v>
      </c>
      <c r="L31">
        <f t="shared" si="19"/>
        <v>646.29999999999995</v>
      </c>
      <c r="M31" s="36">
        <v>44497</v>
      </c>
      <c r="N31" s="34" t="e">
        <f>VLOOKUP(TRIM($B31),Lots!$B:$F,2,0)</f>
        <v>#N/A</v>
      </c>
      <c r="O31" s="34">
        <v>450</v>
      </c>
      <c r="P31" s="34"/>
      <c r="Q31" s="34">
        <v>10</v>
      </c>
      <c r="R31" s="34">
        <v>0</v>
      </c>
      <c r="S31" s="34">
        <v>89342</v>
      </c>
      <c r="T31" s="34">
        <v>1</v>
      </c>
      <c r="U31" s="34" t="e">
        <f t="shared" si="20"/>
        <v>#N/A</v>
      </c>
      <c r="V31" s="34">
        <f t="shared" si="21"/>
        <v>89342</v>
      </c>
      <c r="W31" s="34" t="e">
        <f t="shared" si="22"/>
        <v>#N/A</v>
      </c>
      <c r="X31" s="35" t="e">
        <f t="shared" si="23"/>
        <v>#N/A</v>
      </c>
      <c r="Y31" s="34">
        <f t="shared" ca="1" si="24"/>
        <v>0.71111111111111114</v>
      </c>
      <c r="Z31" s="34">
        <f t="shared" ca="1" si="27"/>
        <v>-259</v>
      </c>
      <c r="AA31" s="38" t="e">
        <f t="shared" ca="1" si="28"/>
        <v>#N/A</v>
      </c>
      <c r="AC31" s="40"/>
      <c r="AK31" t="s">
        <v>132</v>
      </c>
      <c r="AL31">
        <v>697</v>
      </c>
      <c r="AM31">
        <v>698</v>
      </c>
      <c r="AN31">
        <v>687.05</v>
      </c>
      <c r="AO31">
        <v>696.7</v>
      </c>
      <c r="AP31">
        <v>3.05</v>
      </c>
      <c r="AQ31">
        <v>0.44</v>
      </c>
      <c r="AR31">
        <v>23.76</v>
      </c>
      <c r="AS31">
        <v>164.84</v>
      </c>
      <c r="AT31">
        <v>776.5</v>
      </c>
      <c r="AU31">
        <v>257.55</v>
      </c>
      <c r="AV31">
        <v>140.37</v>
      </c>
      <c r="AW31">
        <v>-8.5299999999999994</v>
      </c>
      <c r="AX31">
        <v>-7.4</v>
      </c>
    </row>
    <row r="32" spans="1:50">
      <c r="A32">
        <v>16</v>
      </c>
      <c r="D32">
        <v>1189</v>
      </c>
      <c r="I32">
        <f t="shared" si="26"/>
        <v>1070.1000000000001</v>
      </c>
      <c r="J32">
        <f t="shared" si="19"/>
        <v>1010.65</v>
      </c>
      <c r="K32">
        <f t="shared" si="19"/>
        <v>1307.9000000000001</v>
      </c>
      <c r="L32">
        <f t="shared" si="19"/>
        <v>1367.35</v>
      </c>
      <c r="M32" s="36">
        <v>44497</v>
      </c>
      <c r="N32" s="34" t="e">
        <f>VLOOKUP(TRIM($B32),Lots!$B:$F,2,0)</f>
        <v>#N/A</v>
      </c>
      <c r="O32" s="34"/>
      <c r="P32" s="34"/>
      <c r="Q32" s="34"/>
      <c r="R32" s="34"/>
      <c r="S32" s="34">
        <v>-1</v>
      </c>
      <c r="T32" s="34">
        <v>1</v>
      </c>
      <c r="U32" s="34" t="e">
        <f t="shared" si="20"/>
        <v>#N/A</v>
      </c>
      <c r="V32" s="34">
        <f t="shared" si="21"/>
        <v>-1</v>
      </c>
      <c r="W32" s="34" t="e">
        <f t="shared" si="22"/>
        <v>#N/A</v>
      </c>
      <c r="X32" s="35" t="e">
        <f t="shared" si="23"/>
        <v>#N/A</v>
      </c>
      <c r="Y32" s="34">
        <f t="shared" ca="1" si="24"/>
        <v>0.71111111111111114</v>
      </c>
      <c r="Z32" s="34">
        <f t="shared" ca="1" si="27"/>
        <v>-259</v>
      </c>
      <c r="AA32" s="35" t="e">
        <f t="shared" ca="1" si="28"/>
        <v>#N/A</v>
      </c>
      <c r="AC32" s="40"/>
      <c r="AK32" t="s">
        <v>95</v>
      </c>
      <c r="AL32" s="41">
        <v>2368.5</v>
      </c>
      <c r="AM32" s="41">
        <v>2395.75</v>
      </c>
      <c r="AN32" s="41">
        <v>2368.5</v>
      </c>
      <c r="AO32" s="41">
        <v>2376.4499999999998</v>
      </c>
      <c r="AP32">
        <v>8</v>
      </c>
      <c r="AQ32">
        <v>0.34</v>
      </c>
      <c r="AR32">
        <v>33.58</v>
      </c>
      <c r="AS32">
        <v>799.47</v>
      </c>
      <c r="AT32" s="41">
        <v>2480</v>
      </c>
      <c r="AU32" s="41">
        <v>1830</v>
      </c>
      <c r="AV32">
        <v>3.21</v>
      </c>
      <c r="AW32">
        <v>9.34</v>
      </c>
      <c r="AX32">
        <v>10.38</v>
      </c>
    </row>
    <row r="33" spans="1:50">
      <c r="A33">
        <v>17</v>
      </c>
      <c r="D33">
        <v>2429</v>
      </c>
      <c r="I33">
        <f t="shared" si="26"/>
        <v>2186.1</v>
      </c>
      <c r="J33">
        <f t="shared" si="19"/>
        <v>2064.65</v>
      </c>
      <c r="K33">
        <f t="shared" si="19"/>
        <v>2671.9</v>
      </c>
      <c r="L33">
        <f t="shared" si="19"/>
        <v>2793.35</v>
      </c>
      <c r="M33" s="36">
        <v>44497</v>
      </c>
      <c r="N33" s="34" t="e">
        <f>VLOOKUP(TRIM($B33),Lots!$B:$F,2,0)</f>
        <v>#N/A</v>
      </c>
      <c r="O33" s="34"/>
      <c r="P33" s="34"/>
      <c r="Q33" s="34"/>
      <c r="R33" s="34"/>
      <c r="S33" s="34">
        <v>74953</v>
      </c>
      <c r="T33" s="34">
        <v>1</v>
      </c>
      <c r="U33" s="34" t="e">
        <f t="shared" si="20"/>
        <v>#N/A</v>
      </c>
      <c r="V33" s="34">
        <f t="shared" si="21"/>
        <v>74953</v>
      </c>
      <c r="W33" s="34" t="e">
        <f t="shared" si="22"/>
        <v>#N/A</v>
      </c>
      <c r="X33" s="35" t="e">
        <f t="shared" si="23"/>
        <v>#N/A</v>
      </c>
      <c r="Y33" s="34">
        <f t="shared" ca="1" si="24"/>
        <v>0.71111111111111114</v>
      </c>
      <c r="Z33" s="34">
        <f t="shared" ca="1" si="27"/>
        <v>-259</v>
      </c>
      <c r="AA33" s="38" t="e">
        <f t="shared" ca="1" si="28"/>
        <v>#N/A</v>
      </c>
      <c r="AC33" s="40"/>
      <c r="AK33" t="s">
        <v>104</v>
      </c>
      <c r="AL33" s="41">
        <v>2774</v>
      </c>
      <c r="AM33" s="41">
        <v>2775.95</v>
      </c>
      <c r="AN33" s="41">
        <v>2749.05</v>
      </c>
      <c r="AO33" s="41">
        <v>2770.15</v>
      </c>
      <c r="AP33">
        <v>7.6</v>
      </c>
      <c r="AQ33">
        <v>0.28000000000000003</v>
      </c>
      <c r="AR33">
        <v>11.32</v>
      </c>
      <c r="AS33">
        <v>312.75</v>
      </c>
      <c r="AT33" s="41">
        <v>2825</v>
      </c>
      <c r="AU33">
        <v>2000.05</v>
      </c>
      <c r="AV33">
        <v>30.45</v>
      </c>
      <c r="AW33">
        <v>14.17</v>
      </c>
      <c r="AX33">
        <v>-0.64</v>
      </c>
    </row>
    <row r="34" spans="1:50">
      <c r="A34">
        <v>18</v>
      </c>
      <c r="B34" s="33"/>
      <c r="C34" s="33"/>
      <c r="D34" s="33">
        <v>431</v>
      </c>
      <c r="E34" s="33"/>
      <c r="F34" s="33"/>
      <c r="G34" s="33"/>
      <c r="H34" s="33"/>
      <c r="I34" s="33">
        <f t="shared" si="26"/>
        <v>387.90000000000003</v>
      </c>
      <c r="J34" s="33">
        <f t="shared" si="19"/>
        <v>366.34999999999997</v>
      </c>
      <c r="K34" s="33">
        <f t="shared" si="19"/>
        <v>474.1</v>
      </c>
      <c r="L34" s="33">
        <f t="shared" si="19"/>
        <v>495.65</v>
      </c>
      <c r="M34" s="43">
        <v>44497</v>
      </c>
      <c r="N34" s="44" t="e">
        <f>VLOOKUP(TRIM($B34),Lots!$B:$F,2,0)</f>
        <v>#N/A</v>
      </c>
      <c r="O34" s="44">
        <v>380</v>
      </c>
      <c r="P34" s="44"/>
      <c r="Q34" s="44">
        <v>3</v>
      </c>
      <c r="R34" s="44">
        <v>31.29</v>
      </c>
      <c r="S34" s="44">
        <v>145024</v>
      </c>
      <c r="T34" s="44">
        <v>1</v>
      </c>
      <c r="U34" s="44" t="e">
        <f t="shared" si="20"/>
        <v>#N/A</v>
      </c>
      <c r="V34" s="44">
        <f t="shared" si="21"/>
        <v>145024</v>
      </c>
      <c r="W34" s="44" t="e">
        <f t="shared" si="22"/>
        <v>#N/A</v>
      </c>
      <c r="X34" s="45" t="e">
        <f t="shared" si="23"/>
        <v>#N/A</v>
      </c>
      <c r="Y34" s="44">
        <f t="shared" ca="1" si="24"/>
        <v>0.71111111111111114</v>
      </c>
      <c r="Z34" s="44">
        <f t="shared" ca="1" si="27"/>
        <v>-259</v>
      </c>
      <c r="AA34" s="45" t="e">
        <f t="shared" ca="1" si="28"/>
        <v>#N/A</v>
      </c>
      <c r="AC34" s="40"/>
      <c r="AK34" t="s">
        <v>418</v>
      </c>
      <c r="AL34">
        <v>1452.3</v>
      </c>
      <c r="AM34">
        <v>1463.7</v>
      </c>
      <c r="AN34">
        <v>1444.4</v>
      </c>
      <c r="AO34">
        <v>1456.3</v>
      </c>
      <c r="AP34">
        <v>4</v>
      </c>
      <c r="AQ34">
        <v>0.28000000000000003</v>
      </c>
      <c r="AR34">
        <v>38.9</v>
      </c>
      <c r="AS34">
        <v>565.77</v>
      </c>
      <c r="AT34">
        <v>1534.5</v>
      </c>
      <c r="AU34">
        <v>342.75</v>
      </c>
      <c r="AV34">
        <v>259.89</v>
      </c>
      <c r="AW34">
        <v>-4.1500000000000004</v>
      </c>
      <c r="AX34">
        <v>14.89</v>
      </c>
    </row>
    <row r="35" spans="1:50">
      <c r="A35">
        <v>19</v>
      </c>
      <c r="D35">
        <v>818</v>
      </c>
      <c r="I35">
        <f t="shared" si="26"/>
        <v>736.2</v>
      </c>
      <c r="J35">
        <f t="shared" si="19"/>
        <v>695.3</v>
      </c>
      <c r="K35">
        <f t="shared" si="19"/>
        <v>899.80000000000007</v>
      </c>
      <c r="L35">
        <f t="shared" si="19"/>
        <v>940.69999999999993</v>
      </c>
      <c r="M35" s="36">
        <v>44497</v>
      </c>
      <c r="N35" s="34"/>
      <c r="O35" s="34"/>
      <c r="P35" s="34"/>
      <c r="Q35" s="34"/>
      <c r="R35" s="34"/>
      <c r="S35" s="34">
        <v>133676</v>
      </c>
      <c r="T35" s="34">
        <v>1</v>
      </c>
      <c r="U35" s="34">
        <f t="shared" si="20"/>
        <v>0</v>
      </c>
      <c r="V35" s="34">
        <f t="shared" si="21"/>
        <v>133676</v>
      </c>
      <c r="W35" s="34">
        <f t="shared" si="22"/>
        <v>0</v>
      </c>
      <c r="X35" s="35">
        <f t="shared" si="23"/>
        <v>0</v>
      </c>
      <c r="Y35" s="34">
        <f t="shared" ca="1" si="24"/>
        <v>0.71111111111111114</v>
      </c>
      <c r="Z35" s="34">
        <f t="shared" ca="1" si="27"/>
        <v>-259</v>
      </c>
      <c r="AA35" s="35">
        <f t="shared" ca="1" si="28"/>
        <v>0</v>
      </c>
      <c r="AC35" s="40"/>
      <c r="AK35" t="s">
        <v>402</v>
      </c>
      <c r="AL35" s="41">
        <v>6938</v>
      </c>
      <c r="AM35" s="41">
        <v>6938</v>
      </c>
      <c r="AN35" s="41">
        <v>6880</v>
      </c>
      <c r="AO35" s="41">
        <v>6909.3</v>
      </c>
      <c r="AP35">
        <v>14.85</v>
      </c>
      <c r="AQ35">
        <v>0.22</v>
      </c>
      <c r="AR35">
        <v>2.4500000000000002</v>
      </c>
      <c r="AS35">
        <v>169.3</v>
      </c>
      <c r="AT35" s="41">
        <v>8329</v>
      </c>
      <c r="AU35">
        <v>6270.15</v>
      </c>
      <c r="AV35">
        <v>-3.08</v>
      </c>
      <c r="AW35">
        <v>1.21</v>
      </c>
      <c r="AX35">
        <v>-1.54</v>
      </c>
    </row>
    <row r="36" spans="1:50">
      <c r="A36">
        <v>20</v>
      </c>
      <c r="D36">
        <v>132.1</v>
      </c>
      <c r="I36">
        <f t="shared" si="26"/>
        <v>118.89</v>
      </c>
      <c r="J36">
        <f t="shared" si="19"/>
        <v>112.285</v>
      </c>
      <c r="K36">
        <f t="shared" si="19"/>
        <v>145.31</v>
      </c>
      <c r="L36">
        <f t="shared" si="19"/>
        <v>151.91499999999999</v>
      </c>
      <c r="M36" s="36">
        <v>44497</v>
      </c>
      <c r="N36" s="34" t="e">
        <f>VLOOKUP(TRIM($B36),Lots!$B:$F,2,0)</f>
        <v>#N/A</v>
      </c>
      <c r="O36" s="34">
        <v>115</v>
      </c>
      <c r="P36" s="34"/>
      <c r="Q36" s="34">
        <v>1.25</v>
      </c>
      <c r="R36" s="34">
        <v>0</v>
      </c>
      <c r="S36" s="34">
        <v>137192</v>
      </c>
      <c r="T36" s="34">
        <v>1</v>
      </c>
      <c r="U36" s="34" t="e">
        <f t="shared" si="20"/>
        <v>#N/A</v>
      </c>
      <c r="V36" s="34">
        <f t="shared" si="21"/>
        <v>137192</v>
      </c>
      <c r="W36" s="34" t="e">
        <f t="shared" si="22"/>
        <v>#N/A</v>
      </c>
      <c r="X36" s="35" t="e">
        <f t="shared" si="23"/>
        <v>#N/A</v>
      </c>
      <c r="Y36" s="34">
        <f t="shared" ca="1" si="24"/>
        <v>0.71111111111111114</v>
      </c>
      <c r="Z36" s="34">
        <f t="shared" ca="1" si="27"/>
        <v>-259</v>
      </c>
      <c r="AA36" s="38" t="e">
        <f t="shared" ca="1" si="28"/>
        <v>#N/A</v>
      </c>
      <c r="AK36" t="s">
        <v>99</v>
      </c>
      <c r="AL36">
        <v>16851.25</v>
      </c>
      <c r="AM36">
        <v>16982</v>
      </c>
      <c r="AN36">
        <v>16837.2</v>
      </c>
      <c r="AO36">
        <v>16864.5</v>
      </c>
      <c r="AP36">
        <v>33.25</v>
      </c>
      <c r="AQ36">
        <v>0.2</v>
      </c>
      <c r="AR36">
        <v>0.96</v>
      </c>
      <c r="AS36">
        <v>162.33000000000001</v>
      </c>
      <c r="AT36">
        <v>17263.5</v>
      </c>
      <c r="AU36">
        <v>5400</v>
      </c>
      <c r="AV36">
        <v>175.92</v>
      </c>
      <c r="AW36">
        <v>15.91</v>
      </c>
      <c r="AX36">
        <v>9.42</v>
      </c>
    </row>
    <row r="37" spans="1:50">
      <c r="M37" s="36">
        <v>44497</v>
      </c>
      <c r="N37" s="34"/>
      <c r="O37" s="34"/>
      <c r="P37" s="34"/>
      <c r="Q37" s="34"/>
      <c r="R37" s="34"/>
      <c r="S37" s="34">
        <f>SUM(S17:S36)</f>
        <v>2125545</v>
      </c>
      <c r="T37" s="34"/>
      <c r="U37" s="34" t="e">
        <f>SUM(U17:U36)</f>
        <v>#N/A</v>
      </c>
      <c r="V37" s="34">
        <f>SUM(V17:V36)</f>
        <v>1991558</v>
      </c>
      <c r="W37" s="34" t="e">
        <f>SUM(W17:W36)</f>
        <v>#N/A</v>
      </c>
      <c r="X37" s="35" t="e">
        <f>U37/V37</f>
        <v>#N/A</v>
      </c>
      <c r="Y37" s="34">
        <f t="shared" ca="1" si="24"/>
        <v>0.71111111111111114</v>
      </c>
      <c r="Z37" s="34">
        <f t="shared" ca="1" si="27"/>
        <v>-259</v>
      </c>
      <c r="AA37" s="35" t="e">
        <f t="shared" ca="1" si="28"/>
        <v>#N/A</v>
      </c>
      <c r="AK37" t="s">
        <v>451</v>
      </c>
      <c r="AL37" s="41">
        <v>674</v>
      </c>
      <c r="AM37" s="41">
        <v>680.55</v>
      </c>
      <c r="AN37" s="41">
        <v>670</v>
      </c>
      <c r="AO37" s="41">
        <v>674.55</v>
      </c>
      <c r="AP37">
        <v>1.1000000000000001</v>
      </c>
      <c r="AQ37">
        <v>0.16</v>
      </c>
      <c r="AR37">
        <v>35.25</v>
      </c>
      <c r="AS37">
        <v>237.98</v>
      </c>
      <c r="AT37" s="41">
        <v>690</v>
      </c>
      <c r="AU37" s="41">
        <v>293.14999999999998</v>
      </c>
      <c r="AV37">
        <v>119.58</v>
      </c>
      <c r="AW37">
        <v>9.85</v>
      </c>
      <c r="AX37">
        <v>17.559999999999999</v>
      </c>
    </row>
    <row r="38" spans="1:50">
      <c r="N38" s="34"/>
      <c r="O38" s="34"/>
      <c r="P38" s="34"/>
      <c r="Q38" s="34"/>
      <c r="R38" s="34"/>
      <c r="S38" s="34"/>
      <c r="T38" s="34"/>
      <c r="U38" s="34"/>
      <c r="V38" s="34"/>
      <c r="W38" s="34">
        <f t="shared" ref="W38:W58" si="29">N38*O38*T38</f>
        <v>0</v>
      </c>
      <c r="Y38" s="34"/>
      <c r="Z38" s="34"/>
      <c r="AK38" t="s">
        <v>103</v>
      </c>
      <c r="AL38">
        <v>1535</v>
      </c>
      <c r="AM38">
        <v>1554.8</v>
      </c>
      <c r="AN38">
        <v>1535</v>
      </c>
      <c r="AO38">
        <v>1550.3</v>
      </c>
      <c r="AP38">
        <v>1.75</v>
      </c>
      <c r="AQ38">
        <v>0.11</v>
      </c>
      <c r="AR38">
        <v>66.260000000000005</v>
      </c>
      <c r="AS38">
        <v>1022.72</v>
      </c>
      <c r="AT38">
        <v>1641</v>
      </c>
      <c r="AU38">
        <v>1025</v>
      </c>
      <c r="AV38">
        <v>46.54</v>
      </c>
      <c r="AW38">
        <v>1.29</v>
      </c>
      <c r="AX38">
        <v>1.46</v>
      </c>
    </row>
    <row r="39" spans="1:50">
      <c r="A39">
        <v>1</v>
      </c>
      <c r="I39">
        <f>$D39*(1+I$1)</f>
        <v>0</v>
      </c>
      <c r="J39">
        <f t="shared" ref="J39:L58" si="30">$D39*(1+J$1)</f>
        <v>0</v>
      </c>
      <c r="K39">
        <f t="shared" si="30"/>
        <v>0</v>
      </c>
      <c r="L39">
        <f t="shared" si="30"/>
        <v>0</v>
      </c>
      <c r="M39" s="36">
        <v>44469</v>
      </c>
      <c r="N39" s="34"/>
      <c r="O39" s="34"/>
      <c r="P39" s="34"/>
      <c r="Q39" s="34"/>
      <c r="R39" s="34"/>
      <c r="S39" s="34">
        <v>-1</v>
      </c>
      <c r="T39" s="34">
        <v>0</v>
      </c>
      <c r="U39" s="34">
        <f t="shared" ref="U39:U58" si="31">Q39*N39*T39</f>
        <v>0</v>
      </c>
      <c r="V39" s="34">
        <f t="shared" ref="V39:V58" si="32">S39*T39</f>
        <v>0</v>
      </c>
      <c r="W39" s="34">
        <f t="shared" si="29"/>
        <v>0</v>
      </c>
      <c r="X39" s="35">
        <f t="shared" ref="X39:X58" si="33">Q39*N39/S39</f>
        <v>0</v>
      </c>
      <c r="Y39" s="34">
        <f t="shared" ref="Y39:Y58" ca="1" si="34">YEARFRAC($A$1,M39)</f>
        <v>0.78888888888888886</v>
      </c>
      <c r="Z39" s="34">
        <f t="shared" ca="1" si="27"/>
        <v>-287</v>
      </c>
      <c r="AA39" s="35">
        <f t="shared" ca="1" si="28"/>
        <v>0</v>
      </c>
      <c r="AK39" t="s">
        <v>393</v>
      </c>
      <c r="AL39" s="41">
        <v>784.7</v>
      </c>
      <c r="AM39" s="41">
        <v>785.75</v>
      </c>
      <c r="AN39" s="41">
        <v>778.9</v>
      </c>
      <c r="AO39" s="41">
        <v>782.05</v>
      </c>
      <c r="AP39">
        <v>0.65</v>
      </c>
      <c r="AQ39">
        <v>0.08</v>
      </c>
      <c r="AR39">
        <v>9.3800000000000008</v>
      </c>
      <c r="AS39">
        <v>73.42</v>
      </c>
      <c r="AT39" s="41">
        <v>804.35</v>
      </c>
      <c r="AU39" s="41">
        <v>452.25</v>
      </c>
      <c r="AV39">
        <v>57.73</v>
      </c>
      <c r="AW39">
        <v>0.16</v>
      </c>
      <c r="AX39">
        <v>0.4</v>
      </c>
    </row>
    <row r="40" spans="1:50">
      <c r="A40">
        <v>2</v>
      </c>
      <c r="D40">
        <v>3339.65</v>
      </c>
      <c r="I40">
        <f t="shared" ref="I40:I58" si="35">$D40*(1+I$1)</f>
        <v>3005.6849999999999</v>
      </c>
      <c r="J40">
        <f t="shared" si="30"/>
        <v>2838.7024999999999</v>
      </c>
      <c r="K40">
        <f t="shared" si="30"/>
        <v>3673.6150000000002</v>
      </c>
      <c r="L40">
        <f t="shared" si="30"/>
        <v>3840.5974999999999</v>
      </c>
      <c r="M40" s="36">
        <v>44469</v>
      </c>
      <c r="N40" s="34"/>
      <c r="O40" s="34"/>
      <c r="P40" s="34"/>
      <c r="Q40" s="34"/>
      <c r="R40" s="34"/>
      <c r="S40" s="34">
        <v>-1</v>
      </c>
      <c r="T40" s="34">
        <v>0</v>
      </c>
      <c r="U40" s="34">
        <f t="shared" si="31"/>
        <v>0</v>
      </c>
      <c r="V40" s="34">
        <f t="shared" si="32"/>
        <v>0</v>
      </c>
      <c r="W40" s="34">
        <f t="shared" si="29"/>
        <v>0</v>
      </c>
      <c r="X40" s="35">
        <f t="shared" si="33"/>
        <v>0</v>
      </c>
      <c r="Y40" s="34">
        <f t="shared" ca="1" si="34"/>
        <v>0.78888888888888886</v>
      </c>
      <c r="Z40" s="34">
        <f t="shared" ca="1" si="27"/>
        <v>-287</v>
      </c>
      <c r="AA40" s="35">
        <f t="shared" ca="1" si="28"/>
        <v>0</v>
      </c>
      <c r="AK40" t="s">
        <v>111</v>
      </c>
      <c r="AL40">
        <v>7445</v>
      </c>
      <c r="AM40">
        <v>7480</v>
      </c>
      <c r="AN40">
        <v>7380</v>
      </c>
      <c r="AO40">
        <v>7421</v>
      </c>
      <c r="AP40">
        <v>3.45</v>
      </c>
      <c r="AQ40">
        <v>0.05</v>
      </c>
      <c r="AR40">
        <v>5.72</v>
      </c>
      <c r="AS40">
        <v>423.8</v>
      </c>
      <c r="AT40">
        <v>7674.5</v>
      </c>
      <c r="AU40">
        <v>3006.9</v>
      </c>
      <c r="AV40">
        <v>115.68</v>
      </c>
      <c r="AW40">
        <v>16.37</v>
      </c>
      <c r="AX40">
        <v>2.2000000000000002</v>
      </c>
    </row>
    <row r="41" spans="1:50">
      <c r="A41">
        <v>3</v>
      </c>
      <c r="D41">
        <v>759.5</v>
      </c>
      <c r="I41">
        <f t="shared" si="35"/>
        <v>683.55000000000007</v>
      </c>
      <c r="J41">
        <f t="shared" si="30"/>
        <v>645.57499999999993</v>
      </c>
      <c r="K41">
        <f t="shared" si="30"/>
        <v>835.45</v>
      </c>
      <c r="L41">
        <f t="shared" si="30"/>
        <v>873.42499999999995</v>
      </c>
      <c r="M41" s="36">
        <v>44469</v>
      </c>
      <c r="N41" s="34"/>
      <c r="O41" s="34"/>
      <c r="P41" s="34"/>
      <c r="Q41" s="34"/>
      <c r="R41" s="34"/>
      <c r="S41" s="34">
        <v>-1</v>
      </c>
      <c r="T41" s="34">
        <v>0</v>
      </c>
      <c r="U41" s="34">
        <f t="shared" si="31"/>
        <v>0</v>
      </c>
      <c r="V41" s="34">
        <f t="shared" si="32"/>
        <v>0</v>
      </c>
      <c r="W41" s="34">
        <f t="shared" si="29"/>
        <v>0</v>
      </c>
      <c r="X41" s="35">
        <f t="shared" si="33"/>
        <v>0</v>
      </c>
      <c r="Y41" s="34">
        <f t="shared" ca="1" si="34"/>
        <v>0.78888888888888886</v>
      </c>
      <c r="Z41" s="34">
        <f t="shared" ca="1" si="27"/>
        <v>-287</v>
      </c>
      <c r="AA41" s="35">
        <f t="shared" ca="1" si="28"/>
        <v>0</v>
      </c>
      <c r="AK41" t="s">
        <v>416</v>
      </c>
      <c r="AL41">
        <v>1170.9000000000001</v>
      </c>
      <c r="AM41">
        <v>1176</v>
      </c>
      <c r="AN41">
        <v>1165.5</v>
      </c>
      <c r="AO41">
        <v>1171.3499999999999</v>
      </c>
      <c r="AP41">
        <v>0.45</v>
      </c>
      <c r="AQ41">
        <v>0.04</v>
      </c>
      <c r="AR41">
        <v>14.99</v>
      </c>
      <c r="AS41">
        <v>175.58</v>
      </c>
      <c r="AT41">
        <v>1253.6500000000001</v>
      </c>
      <c r="AU41">
        <v>755.25</v>
      </c>
      <c r="AV41">
        <v>36.659999999999997</v>
      </c>
      <c r="AW41">
        <v>2.83</v>
      </c>
      <c r="AX41">
        <v>20.48</v>
      </c>
    </row>
    <row r="42" spans="1:50">
      <c r="A42">
        <v>4</v>
      </c>
      <c r="D42">
        <v>799.55</v>
      </c>
      <c r="I42">
        <f t="shared" si="35"/>
        <v>719.59500000000003</v>
      </c>
      <c r="J42">
        <f t="shared" si="30"/>
        <v>679.61749999999995</v>
      </c>
      <c r="K42">
        <f t="shared" si="30"/>
        <v>879.505</v>
      </c>
      <c r="L42">
        <f t="shared" si="30"/>
        <v>919.48249999999985</v>
      </c>
      <c r="M42" s="36">
        <v>44469</v>
      </c>
      <c r="N42" s="34"/>
      <c r="O42" s="34"/>
      <c r="P42" s="34"/>
      <c r="Q42" s="34"/>
      <c r="R42" s="34"/>
      <c r="S42" s="34">
        <v>-1</v>
      </c>
      <c r="T42" s="34">
        <v>0</v>
      </c>
      <c r="U42" s="34">
        <f t="shared" si="31"/>
        <v>0</v>
      </c>
      <c r="V42" s="34">
        <f t="shared" si="32"/>
        <v>0</v>
      </c>
      <c r="W42" s="34">
        <f t="shared" si="29"/>
        <v>0</v>
      </c>
      <c r="X42" s="35">
        <f t="shared" si="33"/>
        <v>0</v>
      </c>
      <c r="Y42" s="34">
        <f t="shared" ca="1" si="34"/>
        <v>0.78888888888888886</v>
      </c>
      <c r="Z42" s="34">
        <f t="shared" ca="1" si="27"/>
        <v>-287</v>
      </c>
      <c r="AA42" s="35">
        <f t="shared" ca="1" si="28"/>
        <v>0</v>
      </c>
      <c r="AK42" t="s">
        <v>396</v>
      </c>
      <c r="AL42">
        <v>217.1</v>
      </c>
      <c r="AM42">
        <v>217.2</v>
      </c>
      <c r="AN42">
        <v>215.3</v>
      </c>
      <c r="AO42">
        <v>216</v>
      </c>
      <c r="AP42">
        <v>-0.1</v>
      </c>
      <c r="AQ42">
        <v>-0.05</v>
      </c>
      <c r="AR42">
        <v>184.84</v>
      </c>
      <c r="AS42">
        <v>399.05</v>
      </c>
      <c r="AT42">
        <v>239.2</v>
      </c>
      <c r="AU42">
        <v>163.35</v>
      </c>
      <c r="AV42">
        <v>17.809999999999999</v>
      </c>
      <c r="AW42">
        <v>2.42</v>
      </c>
      <c r="AX42">
        <v>2.84</v>
      </c>
    </row>
    <row r="43" spans="1:50">
      <c r="A43">
        <v>5</v>
      </c>
      <c r="D43">
        <v>7532.4</v>
      </c>
      <c r="I43">
        <f t="shared" si="35"/>
        <v>6779.16</v>
      </c>
      <c r="J43">
        <f t="shared" si="30"/>
        <v>6402.54</v>
      </c>
      <c r="K43">
        <f t="shared" si="30"/>
        <v>8285.64</v>
      </c>
      <c r="L43">
        <f t="shared" si="30"/>
        <v>8662.2599999999984</v>
      </c>
      <c r="M43" s="36">
        <v>44469</v>
      </c>
      <c r="N43" s="34"/>
      <c r="O43" s="34"/>
      <c r="P43" s="34"/>
      <c r="Q43" s="34"/>
      <c r="R43" s="34"/>
      <c r="S43" s="34">
        <v>-1</v>
      </c>
      <c r="T43" s="34">
        <v>0</v>
      </c>
      <c r="U43" s="34">
        <f t="shared" si="31"/>
        <v>0</v>
      </c>
      <c r="V43" s="34">
        <f t="shared" si="32"/>
        <v>0</v>
      </c>
      <c r="W43" s="34">
        <f t="shared" si="29"/>
        <v>0</v>
      </c>
      <c r="X43" s="35">
        <f t="shared" si="33"/>
        <v>0</v>
      </c>
      <c r="Y43" s="34">
        <f t="shared" ca="1" si="34"/>
        <v>0.78888888888888886</v>
      </c>
      <c r="Z43" s="34">
        <f t="shared" ca="1" si="27"/>
        <v>-287</v>
      </c>
      <c r="AA43" s="35">
        <f t="shared" ca="1" si="28"/>
        <v>0</v>
      </c>
      <c r="AK43" t="s">
        <v>92</v>
      </c>
      <c r="AL43">
        <v>2805.7</v>
      </c>
      <c r="AM43">
        <v>2843</v>
      </c>
      <c r="AN43">
        <v>2795</v>
      </c>
      <c r="AO43">
        <v>2815.7</v>
      </c>
      <c r="AP43">
        <v>-2.35</v>
      </c>
      <c r="AQ43">
        <v>-0.08</v>
      </c>
      <c r="AR43">
        <v>16.68</v>
      </c>
      <c r="AS43">
        <v>470.09</v>
      </c>
      <c r="AT43">
        <v>2896</v>
      </c>
      <c r="AU43">
        <v>1623</v>
      </c>
      <c r="AV43">
        <v>62.01</v>
      </c>
      <c r="AW43">
        <v>3.1</v>
      </c>
      <c r="AX43">
        <v>4.21</v>
      </c>
    </row>
    <row r="44" spans="1:50">
      <c r="A44">
        <v>6</v>
      </c>
      <c r="D44">
        <v>198.55</v>
      </c>
      <c r="I44">
        <f t="shared" si="35"/>
        <v>178.69500000000002</v>
      </c>
      <c r="J44">
        <f t="shared" si="30"/>
        <v>168.76750000000001</v>
      </c>
      <c r="K44">
        <f t="shared" si="30"/>
        <v>218.40500000000003</v>
      </c>
      <c r="L44">
        <f t="shared" si="30"/>
        <v>228.33249999999998</v>
      </c>
      <c r="M44" s="36">
        <v>44469</v>
      </c>
      <c r="N44" s="34"/>
      <c r="O44" s="34"/>
      <c r="P44" s="34"/>
      <c r="Q44" s="34"/>
      <c r="R44" s="34"/>
      <c r="S44" s="34">
        <v>-1</v>
      </c>
      <c r="T44" s="34">
        <v>0</v>
      </c>
      <c r="U44" s="34">
        <f t="shared" si="31"/>
        <v>0</v>
      </c>
      <c r="V44" s="34">
        <f t="shared" si="32"/>
        <v>0</v>
      </c>
      <c r="W44" s="34">
        <f t="shared" si="29"/>
        <v>0</v>
      </c>
      <c r="X44" s="35">
        <f t="shared" si="33"/>
        <v>0</v>
      </c>
      <c r="Y44" s="34">
        <f t="shared" ca="1" si="34"/>
        <v>0.78888888888888886</v>
      </c>
      <c r="Z44" s="34">
        <f t="shared" ca="1" si="27"/>
        <v>-287</v>
      </c>
      <c r="AA44" s="35">
        <f t="shared" ca="1" si="28"/>
        <v>0</v>
      </c>
      <c r="AK44" t="s">
        <v>98</v>
      </c>
      <c r="AL44">
        <v>796</v>
      </c>
      <c r="AM44">
        <v>797.45</v>
      </c>
      <c r="AN44">
        <v>787</v>
      </c>
      <c r="AO44">
        <v>793.5</v>
      </c>
      <c r="AP44">
        <v>-0.9</v>
      </c>
      <c r="AQ44">
        <v>-0.11</v>
      </c>
      <c r="AR44">
        <v>34.409999999999997</v>
      </c>
      <c r="AS44">
        <v>272.14</v>
      </c>
      <c r="AT44">
        <v>819</v>
      </c>
      <c r="AU44">
        <v>400.15</v>
      </c>
      <c r="AV44">
        <v>80.12</v>
      </c>
      <c r="AW44">
        <v>4.13</v>
      </c>
      <c r="AX44">
        <v>4.54</v>
      </c>
    </row>
    <row r="45" spans="1:50">
      <c r="A45">
        <v>7</v>
      </c>
      <c r="D45">
        <v>146.75</v>
      </c>
      <c r="I45">
        <f t="shared" si="35"/>
        <v>132.07500000000002</v>
      </c>
      <c r="J45">
        <f t="shared" si="30"/>
        <v>124.7375</v>
      </c>
      <c r="K45">
        <f t="shared" si="30"/>
        <v>161.42500000000001</v>
      </c>
      <c r="L45">
        <f t="shared" si="30"/>
        <v>168.76249999999999</v>
      </c>
      <c r="M45" s="36">
        <v>44469</v>
      </c>
      <c r="N45" s="34">
        <v>4200</v>
      </c>
      <c r="O45" s="34">
        <v>130</v>
      </c>
      <c r="P45" s="34"/>
      <c r="Q45" s="34">
        <v>1.05</v>
      </c>
      <c r="R45" s="34"/>
      <c r="S45" s="34">
        <v>87591</v>
      </c>
      <c r="T45" s="34">
        <v>1</v>
      </c>
      <c r="U45" s="34">
        <f t="shared" si="31"/>
        <v>4410</v>
      </c>
      <c r="V45" s="34">
        <f t="shared" si="32"/>
        <v>87591</v>
      </c>
      <c r="W45" s="34">
        <f t="shared" si="29"/>
        <v>546000</v>
      </c>
      <c r="X45" s="35">
        <f t="shared" si="33"/>
        <v>5.0347638456005754E-2</v>
      </c>
      <c r="Y45" s="34">
        <f t="shared" ca="1" si="34"/>
        <v>0.78888888888888886</v>
      </c>
      <c r="Z45" s="34">
        <f t="shared" ca="1" si="27"/>
        <v>-287</v>
      </c>
      <c r="AA45" s="38">
        <f t="shared" ca="1" si="28"/>
        <v>6.3820950155500253E-2</v>
      </c>
      <c r="AK45" t="s">
        <v>96</v>
      </c>
      <c r="AL45" s="41">
        <v>3361.85</v>
      </c>
      <c r="AM45" s="41">
        <v>3383.95</v>
      </c>
      <c r="AN45" s="41">
        <v>3353</v>
      </c>
      <c r="AO45" s="41">
        <v>3356</v>
      </c>
      <c r="AP45">
        <v>-6.5</v>
      </c>
      <c r="AQ45">
        <v>-0.19</v>
      </c>
      <c r="AR45">
        <v>4.8099999999999996</v>
      </c>
      <c r="AS45">
        <v>161.91</v>
      </c>
      <c r="AT45" s="41">
        <v>3394.6</v>
      </c>
      <c r="AU45" s="41">
        <v>1907.75</v>
      </c>
      <c r="AV45">
        <v>65.22</v>
      </c>
      <c r="AW45">
        <v>12.94</v>
      </c>
      <c r="AX45">
        <v>7.68</v>
      </c>
    </row>
    <row r="46" spans="1:50">
      <c r="A46">
        <v>8</v>
      </c>
      <c r="D46">
        <v>2759.65</v>
      </c>
      <c r="I46">
        <f t="shared" si="35"/>
        <v>2483.6849999999999</v>
      </c>
      <c r="J46">
        <f t="shared" si="30"/>
        <v>2345.7024999999999</v>
      </c>
      <c r="K46">
        <f t="shared" si="30"/>
        <v>3035.6150000000002</v>
      </c>
      <c r="L46">
        <f t="shared" si="30"/>
        <v>3173.5974999999999</v>
      </c>
      <c r="M46" s="36">
        <v>44469</v>
      </c>
      <c r="N46" s="34">
        <v>300</v>
      </c>
      <c r="O46" s="34">
        <v>2500</v>
      </c>
      <c r="P46" s="34"/>
      <c r="Q46" s="34">
        <v>9</v>
      </c>
      <c r="R46" s="34"/>
      <c r="S46" s="34">
        <v>133990</v>
      </c>
      <c r="T46" s="34">
        <v>0</v>
      </c>
      <c r="U46" s="34">
        <f t="shared" si="31"/>
        <v>0</v>
      </c>
      <c r="V46" s="34">
        <f t="shared" si="32"/>
        <v>0</v>
      </c>
      <c r="W46" s="34">
        <f t="shared" si="29"/>
        <v>0</v>
      </c>
      <c r="X46" s="35">
        <f t="shared" si="33"/>
        <v>2.0150757519217851E-2</v>
      </c>
      <c r="Y46" s="34">
        <f t="shared" ca="1" si="34"/>
        <v>0.78888888888888886</v>
      </c>
      <c r="Z46" s="34">
        <f t="shared" ca="1" si="27"/>
        <v>-287</v>
      </c>
      <c r="AA46" s="35">
        <f t="shared" ca="1" si="28"/>
        <v>2.5543213756755022E-2</v>
      </c>
      <c r="AK46" t="s">
        <v>375</v>
      </c>
      <c r="AL46" s="41">
        <v>955</v>
      </c>
      <c r="AM46" s="41">
        <v>956.6</v>
      </c>
      <c r="AN46">
        <v>948.3</v>
      </c>
      <c r="AO46" s="41">
        <v>949.95</v>
      </c>
      <c r="AP46">
        <v>-3.2</v>
      </c>
      <c r="AQ46">
        <v>-0.34</v>
      </c>
      <c r="AR46">
        <v>20.38</v>
      </c>
      <c r="AS46">
        <v>193.72</v>
      </c>
      <c r="AT46" s="41">
        <v>997</v>
      </c>
      <c r="AU46">
        <v>706.5</v>
      </c>
      <c r="AV46">
        <v>31.64</v>
      </c>
      <c r="AW46">
        <v>6.95</v>
      </c>
      <c r="AX46">
        <v>12.51</v>
      </c>
    </row>
    <row r="47" spans="1:50">
      <c r="A47">
        <v>9</v>
      </c>
      <c r="D47">
        <v>1577.55</v>
      </c>
      <c r="I47">
        <f t="shared" si="35"/>
        <v>1419.7950000000001</v>
      </c>
      <c r="J47">
        <f t="shared" si="30"/>
        <v>1340.9175</v>
      </c>
      <c r="K47">
        <f t="shared" si="30"/>
        <v>1735.3050000000001</v>
      </c>
      <c r="L47">
        <f t="shared" si="30"/>
        <v>1814.1824999999999</v>
      </c>
      <c r="M47" s="36">
        <v>44469</v>
      </c>
      <c r="N47" s="34">
        <v>550</v>
      </c>
      <c r="O47" s="34">
        <v>1400</v>
      </c>
      <c r="P47" s="34"/>
      <c r="Q47" s="34">
        <v>6.65</v>
      </c>
      <c r="R47" s="34"/>
      <c r="S47" s="34">
        <v>90873</v>
      </c>
      <c r="T47" s="34">
        <v>0</v>
      </c>
      <c r="U47" s="34">
        <f t="shared" si="31"/>
        <v>0</v>
      </c>
      <c r="V47" s="34">
        <f t="shared" si="32"/>
        <v>0</v>
      </c>
      <c r="W47" s="34">
        <f t="shared" si="29"/>
        <v>0</v>
      </c>
      <c r="X47" s="35">
        <f t="shared" si="33"/>
        <v>4.0248478646022469E-2</v>
      </c>
      <c r="Y47" s="34">
        <f t="shared" ca="1" si="34"/>
        <v>0.78888888888888886</v>
      </c>
      <c r="Z47" s="34">
        <f t="shared" ca="1" si="27"/>
        <v>-287</v>
      </c>
      <c r="AA47" s="35">
        <f t="shared" ca="1" si="28"/>
        <v>5.1019198283690455E-2</v>
      </c>
      <c r="AK47" t="s">
        <v>427</v>
      </c>
      <c r="AL47" s="41">
        <v>1615</v>
      </c>
      <c r="AM47" s="41">
        <v>1622.65</v>
      </c>
      <c r="AN47" s="41">
        <v>1590</v>
      </c>
      <c r="AO47" s="41">
        <v>1605.6</v>
      </c>
      <c r="AP47">
        <v>-6.2</v>
      </c>
      <c r="AQ47">
        <v>-0.38</v>
      </c>
      <c r="AR47">
        <v>7.73</v>
      </c>
      <c r="AS47">
        <v>124</v>
      </c>
      <c r="AT47" s="41">
        <v>1622.65</v>
      </c>
      <c r="AU47" s="41">
        <v>675.5</v>
      </c>
      <c r="AV47">
        <v>127.1</v>
      </c>
      <c r="AW47">
        <v>7.69</v>
      </c>
      <c r="AX47">
        <v>6.57</v>
      </c>
    </row>
    <row r="48" spans="1:50">
      <c r="A48">
        <v>10</v>
      </c>
      <c r="D48">
        <v>462.05</v>
      </c>
      <c r="I48">
        <f t="shared" si="35"/>
        <v>415.84500000000003</v>
      </c>
      <c r="J48">
        <f t="shared" si="30"/>
        <v>392.74250000000001</v>
      </c>
      <c r="K48">
        <f t="shared" si="30"/>
        <v>508.25500000000005</v>
      </c>
      <c r="L48">
        <f t="shared" si="30"/>
        <v>531.35749999999996</v>
      </c>
      <c r="M48" s="36">
        <v>44469</v>
      </c>
      <c r="N48" s="34"/>
      <c r="O48" s="34"/>
      <c r="P48" s="34"/>
      <c r="Q48" s="34"/>
      <c r="R48" s="34"/>
      <c r="S48" s="34">
        <v>-1</v>
      </c>
      <c r="T48" s="34">
        <v>0</v>
      </c>
      <c r="U48" s="34">
        <f t="shared" si="31"/>
        <v>0</v>
      </c>
      <c r="V48" s="34">
        <f t="shared" si="32"/>
        <v>0</v>
      </c>
      <c r="W48" s="34">
        <f t="shared" si="29"/>
        <v>0</v>
      </c>
      <c r="X48" s="35">
        <f t="shared" si="33"/>
        <v>0</v>
      </c>
      <c r="Y48" s="34">
        <f t="shared" ca="1" si="34"/>
        <v>0.78888888888888886</v>
      </c>
      <c r="Z48" s="34">
        <f t="shared" ca="1" si="27"/>
        <v>-287</v>
      </c>
      <c r="AA48" s="35">
        <f t="shared" ca="1" si="28"/>
        <v>0</v>
      </c>
      <c r="AK48" t="s">
        <v>109</v>
      </c>
      <c r="AL48" s="41">
        <v>7889</v>
      </c>
      <c r="AM48" s="41">
        <v>7929</v>
      </c>
      <c r="AN48" s="41">
        <v>7790</v>
      </c>
      <c r="AO48" s="41">
        <v>7825.65</v>
      </c>
      <c r="AP48">
        <v>-30.8</v>
      </c>
      <c r="AQ48">
        <v>-0.39</v>
      </c>
      <c r="AR48">
        <v>1.85</v>
      </c>
      <c r="AS48">
        <v>144.94</v>
      </c>
      <c r="AT48" s="41">
        <v>8073.3</v>
      </c>
      <c r="AU48" s="41">
        <v>3753.9</v>
      </c>
      <c r="AV48">
        <v>99.93</v>
      </c>
      <c r="AW48">
        <v>6.52</v>
      </c>
      <c r="AX48">
        <v>10.73</v>
      </c>
    </row>
    <row r="49" spans="1:50">
      <c r="A49">
        <v>11</v>
      </c>
      <c r="D49">
        <v>2765.55</v>
      </c>
      <c r="I49">
        <f t="shared" si="35"/>
        <v>2488.9950000000003</v>
      </c>
      <c r="J49">
        <f t="shared" si="30"/>
        <v>2350.7175000000002</v>
      </c>
      <c r="K49">
        <f t="shared" si="30"/>
        <v>3042.1050000000005</v>
      </c>
      <c r="L49">
        <f t="shared" si="30"/>
        <v>3180.3825000000002</v>
      </c>
      <c r="M49" s="36">
        <v>44469</v>
      </c>
      <c r="N49" s="34">
        <v>300</v>
      </c>
      <c r="O49" s="34">
        <v>2500</v>
      </c>
      <c r="P49" s="34"/>
      <c r="Q49" s="34">
        <v>16</v>
      </c>
      <c r="R49" s="34"/>
      <c r="S49" s="34">
        <v>88722</v>
      </c>
      <c r="T49" s="34">
        <v>1</v>
      </c>
      <c r="U49" s="34">
        <f t="shared" si="31"/>
        <v>4800</v>
      </c>
      <c r="V49" s="34">
        <f t="shared" si="32"/>
        <v>88722</v>
      </c>
      <c r="W49" s="34">
        <f t="shared" si="29"/>
        <v>750000</v>
      </c>
      <c r="X49" s="35">
        <f t="shared" si="33"/>
        <v>5.410157570839251E-2</v>
      </c>
      <c r="Y49" s="34">
        <f t="shared" ca="1" si="34"/>
        <v>0.78888888888888886</v>
      </c>
      <c r="Z49" s="34">
        <f t="shared" ca="1" si="27"/>
        <v>-287</v>
      </c>
      <c r="AA49" s="38">
        <f t="shared" ca="1" si="28"/>
        <v>6.857946216556797E-2</v>
      </c>
      <c r="AK49" t="s">
        <v>409</v>
      </c>
      <c r="AL49" s="41">
        <v>20369.849999999999</v>
      </c>
      <c r="AM49" s="41">
        <v>20370</v>
      </c>
      <c r="AN49" s="41">
        <v>20104.650000000001</v>
      </c>
      <c r="AO49" s="41">
        <v>20143.95</v>
      </c>
      <c r="AP49">
        <v>-86.5</v>
      </c>
      <c r="AQ49">
        <v>-0.43</v>
      </c>
      <c r="AR49">
        <v>0.3</v>
      </c>
      <c r="AS49">
        <v>60.76</v>
      </c>
      <c r="AT49" s="41">
        <v>20609.150000000001</v>
      </c>
      <c r="AU49" s="41">
        <v>15100</v>
      </c>
      <c r="AV49">
        <v>25.25</v>
      </c>
      <c r="AW49">
        <v>10.1</v>
      </c>
      <c r="AX49">
        <v>14.58</v>
      </c>
    </row>
    <row r="50" spans="1:50">
      <c r="A50">
        <v>12</v>
      </c>
      <c r="D50">
        <v>724.45</v>
      </c>
      <c r="I50">
        <f t="shared" si="35"/>
        <v>652.00500000000011</v>
      </c>
      <c r="J50">
        <f t="shared" si="30"/>
        <v>615.78250000000003</v>
      </c>
      <c r="K50">
        <f t="shared" si="30"/>
        <v>796.8950000000001</v>
      </c>
      <c r="L50">
        <f t="shared" si="30"/>
        <v>833.11749999999995</v>
      </c>
      <c r="M50" s="36">
        <v>44469</v>
      </c>
      <c r="N50" s="34"/>
      <c r="O50" s="34"/>
      <c r="P50" s="34"/>
      <c r="Q50" s="34"/>
      <c r="R50" s="34"/>
      <c r="S50" s="34">
        <v>-1</v>
      </c>
      <c r="T50" s="34">
        <v>0</v>
      </c>
      <c r="U50" s="34">
        <f t="shared" si="31"/>
        <v>0</v>
      </c>
      <c r="V50" s="34">
        <f t="shared" si="32"/>
        <v>0</v>
      </c>
      <c r="W50" s="34">
        <f t="shared" si="29"/>
        <v>0</v>
      </c>
      <c r="X50" s="35">
        <f t="shared" si="33"/>
        <v>0</v>
      </c>
      <c r="Y50" s="34">
        <f t="shared" ca="1" si="34"/>
        <v>0.78888888888888886</v>
      </c>
      <c r="Z50" s="34">
        <f t="shared" ca="1" si="27"/>
        <v>-287</v>
      </c>
      <c r="AA50" s="35">
        <f t="shared" ca="1" si="28"/>
        <v>0</v>
      </c>
      <c r="AK50" t="s">
        <v>425</v>
      </c>
      <c r="AL50">
        <v>4105.2</v>
      </c>
      <c r="AM50">
        <v>4135</v>
      </c>
      <c r="AN50">
        <v>4071.05</v>
      </c>
      <c r="AO50">
        <v>4083.7</v>
      </c>
      <c r="AP50">
        <v>-17.8</v>
      </c>
      <c r="AQ50">
        <v>-0.43</v>
      </c>
      <c r="AR50">
        <v>1.91</v>
      </c>
      <c r="AS50">
        <v>78.11</v>
      </c>
      <c r="AT50">
        <v>4153</v>
      </c>
      <c r="AU50">
        <v>3317.3</v>
      </c>
      <c r="AV50">
        <v>9.7899999999999991</v>
      </c>
      <c r="AW50">
        <v>11.72</v>
      </c>
      <c r="AX50">
        <v>8.4</v>
      </c>
    </row>
    <row r="51" spans="1:50">
      <c r="A51">
        <v>13</v>
      </c>
      <c r="D51">
        <v>1003.25</v>
      </c>
      <c r="I51">
        <f t="shared" si="35"/>
        <v>902.92500000000007</v>
      </c>
      <c r="J51">
        <f t="shared" si="30"/>
        <v>852.76249999999993</v>
      </c>
      <c r="K51">
        <f t="shared" si="30"/>
        <v>1103.575</v>
      </c>
      <c r="L51">
        <f t="shared" si="30"/>
        <v>1153.7375</v>
      </c>
      <c r="M51" s="36">
        <v>44469</v>
      </c>
      <c r="N51" s="34">
        <v>900</v>
      </c>
      <c r="O51" s="34">
        <v>900</v>
      </c>
      <c r="P51" s="34"/>
      <c r="Q51" s="34">
        <v>15</v>
      </c>
      <c r="R51" s="34"/>
      <c r="S51" s="34">
        <v>341637</v>
      </c>
      <c r="T51" s="34">
        <v>0</v>
      </c>
      <c r="U51" s="34">
        <f t="shared" si="31"/>
        <v>0</v>
      </c>
      <c r="V51" s="34">
        <f t="shared" si="32"/>
        <v>0</v>
      </c>
      <c r="W51" s="34">
        <f t="shared" si="29"/>
        <v>0</v>
      </c>
      <c r="X51" s="35">
        <f t="shared" si="33"/>
        <v>3.9515626234863321E-2</v>
      </c>
      <c r="Y51" s="34">
        <f t="shared" ca="1" si="34"/>
        <v>0.78888888888888886</v>
      </c>
      <c r="Z51" s="34">
        <f t="shared" ca="1" si="27"/>
        <v>-287</v>
      </c>
      <c r="AA51" s="35">
        <f t="shared" ca="1" si="28"/>
        <v>5.009023043855914E-2</v>
      </c>
      <c r="AK51" t="s">
        <v>370</v>
      </c>
      <c r="AL51">
        <v>494</v>
      </c>
      <c r="AM51">
        <v>494.95</v>
      </c>
      <c r="AN51">
        <v>488.1</v>
      </c>
      <c r="AO51">
        <v>490.6</v>
      </c>
      <c r="AP51">
        <v>-2.5</v>
      </c>
      <c r="AQ51">
        <v>-0.51</v>
      </c>
      <c r="AR51">
        <v>81.77</v>
      </c>
      <c r="AS51">
        <v>400.96</v>
      </c>
      <c r="AT51">
        <v>503</v>
      </c>
      <c r="AU51">
        <v>325</v>
      </c>
      <c r="AV51">
        <v>17.61</v>
      </c>
      <c r="AW51">
        <v>5.73</v>
      </c>
      <c r="AX51">
        <v>5.3</v>
      </c>
    </row>
    <row r="52" spans="1:50">
      <c r="A52">
        <v>14</v>
      </c>
      <c r="D52">
        <v>1700.5</v>
      </c>
      <c r="I52">
        <f t="shared" si="35"/>
        <v>1530.45</v>
      </c>
      <c r="J52">
        <f t="shared" si="30"/>
        <v>1445.425</v>
      </c>
      <c r="K52">
        <f t="shared" si="30"/>
        <v>1870.5500000000002</v>
      </c>
      <c r="L52">
        <f t="shared" si="30"/>
        <v>1955.5749999999998</v>
      </c>
      <c r="M52" s="36">
        <v>44469</v>
      </c>
      <c r="N52" s="34">
        <v>600</v>
      </c>
      <c r="O52" s="34">
        <v>1500</v>
      </c>
      <c r="P52" s="34"/>
      <c r="Q52" s="34">
        <v>6.3</v>
      </c>
      <c r="R52" s="34"/>
      <c r="S52" s="34">
        <v>100187</v>
      </c>
      <c r="T52" s="34">
        <v>0</v>
      </c>
      <c r="U52" s="34">
        <f t="shared" si="31"/>
        <v>0</v>
      </c>
      <c r="V52" s="34">
        <f t="shared" si="32"/>
        <v>0</v>
      </c>
      <c r="W52" s="34">
        <f t="shared" si="29"/>
        <v>0</v>
      </c>
      <c r="X52" s="35">
        <f t="shared" si="33"/>
        <v>3.7729445936099497E-2</v>
      </c>
      <c r="Y52" s="34">
        <f t="shared" ca="1" si="34"/>
        <v>0.78888888888888886</v>
      </c>
      <c r="Z52" s="34">
        <f t="shared" ca="1" si="27"/>
        <v>-287</v>
      </c>
      <c r="AA52" s="35">
        <f t="shared" ca="1" si="28"/>
        <v>4.782605822885852E-2</v>
      </c>
      <c r="AK52" t="s">
        <v>317</v>
      </c>
      <c r="AL52">
        <v>885</v>
      </c>
      <c r="AM52">
        <v>887.4</v>
      </c>
      <c r="AN52">
        <v>870.5</v>
      </c>
      <c r="AO52">
        <v>871.2</v>
      </c>
      <c r="AP52">
        <v>-10.1</v>
      </c>
      <c r="AQ52">
        <v>-1.1499999999999999</v>
      </c>
      <c r="AR52">
        <v>15.18</v>
      </c>
      <c r="AS52" s="41">
        <v>133.05000000000001</v>
      </c>
      <c r="AT52">
        <v>889</v>
      </c>
      <c r="AU52">
        <v>458.95</v>
      </c>
      <c r="AV52">
        <v>59.41</v>
      </c>
      <c r="AW52">
        <v>8.61</v>
      </c>
      <c r="AX52">
        <v>9.15</v>
      </c>
    </row>
    <row r="53" spans="1:50">
      <c r="A53">
        <v>15</v>
      </c>
      <c r="D53">
        <v>1790.5</v>
      </c>
      <c r="I53">
        <f t="shared" si="35"/>
        <v>1611.45</v>
      </c>
      <c r="J53">
        <f t="shared" si="30"/>
        <v>1521.925</v>
      </c>
      <c r="K53">
        <f t="shared" si="30"/>
        <v>1969.5500000000002</v>
      </c>
      <c r="L53">
        <f t="shared" si="30"/>
        <v>2059.0749999999998</v>
      </c>
      <c r="M53" s="36">
        <v>44469</v>
      </c>
      <c r="N53" s="34"/>
      <c r="O53" s="34"/>
      <c r="P53" s="34"/>
      <c r="Q53" s="34"/>
      <c r="R53" s="34"/>
      <c r="S53" s="34">
        <v>-1</v>
      </c>
      <c r="T53" s="34">
        <v>0</v>
      </c>
      <c r="U53" s="34">
        <f t="shared" si="31"/>
        <v>0</v>
      </c>
      <c r="V53" s="34">
        <f t="shared" si="32"/>
        <v>0</v>
      </c>
      <c r="W53" s="34">
        <f t="shared" si="29"/>
        <v>0</v>
      </c>
      <c r="X53" s="35">
        <f t="shared" si="33"/>
        <v>0</v>
      </c>
      <c r="Y53" s="34">
        <f t="shared" ca="1" si="34"/>
        <v>0.78888888888888886</v>
      </c>
      <c r="Z53" s="34">
        <f t="shared" ca="1" si="27"/>
        <v>-287</v>
      </c>
      <c r="AA53" s="35">
        <f t="shared" ca="1" si="28"/>
        <v>0</v>
      </c>
    </row>
    <row r="54" spans="1:50">
      <c r="A54">
        <v>16</v>
      </c>
      <c r="D54">
        <v>1174.0999999999999</v>
      </c>
      <c r="I54">
        <f t="shared" si="35"/>
        <v>1056.69</v>
      </c>
      <c r="J54">
        <f t="shared" si="30"/>
        <v>997.9849999999999</v>
      </c>
      <c r="K54">
        <f t="shared" si="30"/>
        <v>1291.51</v>
      </c>
      <c r="L54">
        <f t="shared" si="30"/>
        <v>1350.2149999999997</v>
      </c>
      <c r="M54" s="36">
        <v>44469</v>
      </c>
      <c r="N54" s="34">
        <v>600</v>
      </c>
      <c r="O54" s="34">
        <v>1000</v>
      </c>
      <c r="P54" s="34"/>
      <c r="Q54" s="34"/>
      <c r="R54" s="34"/>
      <c r="S54" s="34">
        <v>-1</v>
      </c>
      <c r="T54" s="34">
        <v>0</v>
      </c>
      <c r="U54" s="34">
        <f t="shared" si="31"/>
        <v>0</v>
      </c>
      <c r="V54" s="34">
        <f t="shared" si="32"/>
        <v>0</v>
      </c>
      <c r="W54" s="34">
        <f t="shared" si="29"/>
        <v>0</v>
      </c>
      <c r="X54" s="35">
        <f t="shared" si="33"/>
        <v>0</v>
      </c>
      <c r="Y54" s="34">
        <f t="shared" ca="1" si="34"/>
        <v>0.78888888888888886</v>
      </c>
      <c r="Z54" s="34">
        <f t="shared" ca="1" si="27"/>
        <v>-287</v>
      </c>
      <c r="AA54" s="35">
        <f t="shared" ca="1" si="28"/>
        <v>0</v>
      </c>
      <c r="AK54" t="s">
        <v>479</v>
      </c>
      <c r="AL54" t="s">
        <v>480</v>
      </c>
    </row>
    <row r="55" spans="1:50">
      <c r="A55">
        <v>17</v>
      </c>
      <c r="D55">
        <v>2392.1999999999998</v>
      </c>
      <c r="I55">
        <f t="shared" si="35"/>
        <v>2152.98</v>
      </c>
      <c r="J55">
        <f t="shared" si="30"/>
        <v>2033.37</v>
      </c>
      <c r="K55">
        <f t="shared" si="30"/>
        <v>2631.42</v>
      </c>
      <c r="L55">
        <f t="shared" si="30"/>
        <v>2751.0299999999997</v>
      </c>
      <c r="M55" s="36">
        <v>44469</v>
      </c>
      <c r="N55" s="34">
        <v>250</v>
      </c>
      <c r="O55" s="34">
        <v>2100</v>
      </c>
      <c r="P55" s="34"/>
      <c r="Q55" s="34">
        <v>14.65</v>
      </c>
      <c r="R55" s="34"/>
      <c r="S55" s="34">
        <v>74953</v>
      </c>
      <c r="T55" s="34">
        <v>1</v>
      </c>
      <c r="U55" s="34">
        <f t="shared" si="31"/>
        <v>3662.5</v>
      </c>
      <c r="V55" s="34">
        <f t="shared" si="32"/>
        <v>74953</v>
      </c>
      <c r="W55" s="34">
        <f t="shared" si="29"/>
        <v>525000</v>
      </c>
      <c r="X55" s="35">
        <f t="shared" si="33"/>
        <v>4.8863954744973515E-2</v>
      </c>
      <c r="Y55" s="34">
        <f t="shared" ca="1" si="34"/>
        <v>0.78888888888888886</v>
      </c>
      <c r="Z55" s="34">
        <f t="shared" ca="1" si="27"/>
        <v>-287</v>
      </c>
      <c r="AA55" s="38">
        <f t="shared" ca="1" si="28"/>
        <v>6.1940224324614317E-2</v>
      </c>
    </row>
    <row r="56" spans="1:50">
      <c r="A56">
        <v>18</v>
      </c>
      <c r="D56">
        <v>431.55</v>
      </c>
      <c r="I56">
        <f t="shared" si="35"/>
        <v>388.39500000000004</v>
      </c>
      <c r="J56">
        <f t="shared" si="30"/>
        <v>366.8175</v>
      </c>
      <c r="K56">
        <f t="shared" si="30"/>
        <v>474.70500000000004</v>
      </c>
      <c r="L56">
        <f t="shared" si="30"/>
        <v>496.28249999999997</v>
      </c>
      <c r="M56" s="36">
        <v>44469</v>
      </c>
      <c r="N56" s="34">
        <v>1500</v>
      </c>
      <c r="O56" s="34">
        <v>380</v>
      </c>
      <c r="P56" s="34"/>
      <c r="Q56" s="34">
        <v>3.45</v>
      </c>
      <c r="R56" s="34"/>
      <c r="S56" s="34">
        <v>145024</v>
      </c>
      <c r="T56" s="34">
        <v>0</v>
      </c>
      <c r="U56" s="34">
        <f t="shared" si="31"/>
        <v>0</v>
      </c>
      <c r="V56" s="34">
        <f t="shared" si="32"/>
        <v>0</v>
      </c>
      <c r="W56" s="34">
        <f t="shared" si="29"/>
        <v>0</v>
      </c>
      <c r="X56" s="35">
        <f t="shared" si="33"/>
        <v>3.5683748896734334E-2</v>
      </c>
      <c r="Y56" s="34">
        <f t="shared" ca="1" si="34"/>
        <v>0.78888888888888886</v>
      </c>
      <c r="Z56" s="34">
        <f t="shared" ca="1" si="27"/>
        <v>-287</v>
      </c>
      <c r="AA56" s="35">
        <f t="shared" ca="1" si="28"/>
        <v>4.5232921136705496E-2</v>
      </c>
    </row>
    <row r="57" spans="1:50">
      <c r="A57">
        <v>19</v>
      </c>
      <c r="D57">
        <v>3845.65</v>
      </c>
      <c r="I57">
        <f t="shared" si="35"/>
        <v>3461.085</v>
      </c>
      <c r="J57">
        <f t="shared" si="30"/>
        <v>3268.8024999999998</v>
      </c>
      <c r="K57">
        <f t="shared" si="30"/>
        <v>4230.2150000000001</v>
      </c>
      <c r="L57">
        <f t="shared" si="30"/>
        <v>4422.4974999999995</v>
      </c>
      <c r="M57" s="36">
        <v>44469</v>
      </c>
      <c r="N57" s="34">
        <v>300</v>
      </c>
      <c r="O57" s="34">
        <v>3400</v>
      </c>
      <c r="P57" s="34"/>
      <c r="Q57" s="34">
        <v>14.1</v>
      </c>
      <c r="R57" s="34"/>
      <c r="S57" s="34">
        <v>133676</v>
      </c>
      <c r="T57" s="34">
        <v>0</v>
      </c>
      <c r="U57" s="34">
        <f t="shared" si="31"/>
        <v>0</v>
      </c>
      <c r="V57" s="34">
        <f t="shared" si="32"/>
        <v>0</v>
      </c>
      <c r="W57" s="34">
        <f t="shared" si="29"/>
        <v>0</v>
      </c>
      <c r="X57" s="35">
        <f t="shared" si="33"/>
        <v>3.1643675753313984E-2</v>
      </c>
      <c r="Y57" s="34">
        <f t="shared" ca="1" si="34"/>
        <v>0.78888888888888886</v>
      </c>
      <c r="Z57" s="34">
        <f t="shared" ca="1" si="27"/>
        <v>-287</v>
      </c>
      <c r="AA57" s="35">
        <f t="shared" ca="1" si="28"/>
        <v>4.0111701659130403E-2</v>
      </c>
    </row>
    <row r="58" spans="1:50">
      <c r="A58">
        <v>20</v>
      </c>
      <c r="D58">
        <v>7926</v>
      </c>
      <c r="I58">
        <f t="shared" si="35"/>
        <v>7133.4000000000005</v>
      </c>
      <c r="J58">
        <f t="shared" si="30"/>
        <v>6737.0999999999995</v>
      </c>
      <c r="K58">
        <f t="shared" si="30"/>
        <v>8718.6</v>
      </c>
      <c r="L58">
        <f t="shared" si="30"/>
        <v>9114.9</v>
      </c>
      <c r="M58" s="36">
        <v>44469</v>
      </c>
      <c r="N58" s="34"/>
      <c r="O58" s="34"/>
      <c r="P58" s="34"/>
      <c r="Q58" s="34"/>
      <c r="R58" s="34"/>
      <c r="S58" s="34">
        <v>-1</v>
      </c>
      <c r="T58" s="34"/>
      <c r="U58" s="34">
        <f t="shared" si="31"/>
        <v>0</v>
      </c>
      <c r="V58" s="34">
        <f t="shared" si="32"/>
        <v>0</v>
      </c>
      <c r="W58" s="34">
        <f t="shared" si="29"/>
        <v>0</v>
      </c>
      <c r="X58" s="35">
        <f t="shared" si="33"/>
        <v>0</v>
      </c>
      <c r="Y58" s="34">
        <f t="shared" ca="1" si="34"/>
        <v>0.78888888888888886</v>
      </c>
      <c r="Z58" s="34">
        <f t="shared" ca="1" si="27"/>
        <v>-287</v>
      </c>
      <c r="AA58" s="35">
        <f t="shared" ca="1" si="28"/>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filterMode="1"/>
  <dimension ref="A1:CE434"/>
  <sheetViews>
    <sheetView tabSelected="1" zoomScale="85" zoomScaleNormal="85" workbookViewId="0">
      <pane ySplit="7" topLeftCell="A8" activePane="bottomLeft" state="frozen"/>
      <selection pane="bottomLeft" activeCell="M387" sqref="M387"/>
    </sheetView>
  </sheetViews>
  <sheetFormatPr defaultRowHeight="15.75"/>
  <cols>
    <col min="1" max="1" width="5.28515625" style="11" customWidth="1"/>
    <col min="2" max="2" width="13.85546875" style="11" bestFit="1" customWidth="1"/>
    <col min="3" max="4" width="5.5703125" style="22" customWidth="1"/>
    <col min="5" max="5" width="8" style="23" customWidth="1"/>
    <col min="6" max="6" width="13.28515625" style="11" customWidth="1"/>
    <col min="7" max="7" width="11.7109375" style="11" bestFit="1" customWidth="1"/>
    <col min="8" max="8" width="11.140625" style="11" customWidth="1"/>
    <col min="9" max="10" width="11.7109375" style="11" bestFit="1" customWidth="1"/>
    <col min="11" max="11" width="10.85546875" style="11" bestFit="1" customWidth="1"/>
    <col min="12" max="13" width="17.85546875" style="11" customWidth="1"/>
    <col min="14" max="14" width="15" style="11" hidden="1" customWidth="1"/>
    <col min="15" max="15" width="13.140625" style="11" bestFit="1" customWidth="1"/>
    <col min="16" max="16" width="14.42578125" style="11" bestFit="1" customWidth="1"/>
    <col min="17" max="17" width="14.5703125" style="11" bestFit="1" customWidth="1"/>
    <col min="18" max="18" width="15.42578125" style="11" customWidth="1"/>
    <col min="19" max="19" width="11.7109375" style="11" bestFit="1" customWidth="1"/>
    <col min="20" max="20" width="16.42578125" style="11" bestFit="1" customWidth="1"/>
    <col min="21" max="21" width="10.85546875" style="11" bestFit="1" customWidth="1"/>
    <col min="22" max="22" width="24" style="11" bestFit="1" customWidth="1"/>
    <col min="23" max="23" width="12.140625" style="11" bestFit="1" customWidth="1"/>
    <col min="24" max="24" width="14.42578125" style="11" bestFit="1" customWidth="1"/>
    <col min="25" max="25" width="14.42578125" style="11" customWidth="1"/>
    <col min="26" max="26" width="13.5703125" style="11" customWidth="1"/>
    <col min="27" max="27" width="12.28515625" style="11" customWidth="1"/>
    <col min="28" max="28" width="7.140625" style="11" customWidth="1"/>
    <col min="29" max="29" width="7.28515625" style="11" customWidth="1"/>
    <col min="30" max="30" width="11.7109375" style="11" customWidth="1"/>
    <col min="31" max="37" width="11.7109375" style="11" bestFit="1" customWidth="1"/>
    <col min="38" max="38" width="11.7109375" style="145" bestFit="1" customWidth="1"/>
    <col min="39" max="42" width="12.42578125" style="11" bestFit="1" customWidth="1"/>
    <col min="43" max="45" width="10.85546875" style="11" bestFit="1" customWidth="1"/>
    <col min="46" max="46" width="10.85546875" style="113" bestFit="1" customWidth="1"/>
    <col min="47" max="52" width="10.85546875" style="11" bestFit="1" customWidth="1"/>
    <col min="53" max="59" width="12.42578125" style="11" bestFit="1" customWidth="1"/>
    <col min="60" max="60" width="9.140625" style="11"/>
    <col min="61" max="61" width="21.140625" style="11" bestFit="1" customWidth="1"/>
    <col min="62" max="62" width="16.28515625" style="11" bestFit="1" customWidth="1"/>
    <col min="63" max="63" width="10.28515625" style="11" customWidth="1"/>
    <col min="64" max="64" width="9.28515625" style="11" customWidth="1"/>
    <col min="65" max="65" width="7.140625" style="11" customWidth="1"/>
    <col min="66" max="66" width="13.5703125" style="11" bestFit="1" customWidth="1"/>
    <col min="67" max="67" width="12.28515625" style="11" customWidth="1"/>
    <col min="68" max="68" width="10.28515625" style="11" customWidth="1"/>
    <col min="69" max="69" width="8.140625" style="11" customWidth="1"/>
    <col min="70" max="70" width="10.28515625" style="11" bestFit="1" customWidth="1"/>
    <col min="71" max="71" width="13.140625" style="11" bestFit="1" customWidth="1"/>
    <col min="72" max="72" width="12.28515625" style="11" bestFit="1" customWidth="1"/>
    <col min="73" max="73" width="11.28515625" style="11" bestFit="1" customWidth="1"/>
    <col min="74" max="16384" width="9.140625" style="11"/>
  </cols>
  <sheetData>
    <row r="1" spans="1:83">
      <c r="BI1"/>
      <c r="BJ1" s="185" t="s">
        <v>645</v>
      </c>
      <c r="BK1"/>
      <c r="BL1"/>
      <c r="BM1"/>
      <c r="BN1"/>
      <c r="BO1"/>
      <c r="BP1"/>
      <c r="BQ1"/>
      <c r="BR1"/>
      <c r="BS1"/>
      <c r="BT1"/>
      <c r="BU1"/>
    </row>
    <row r="2" spans="1:83" ht="30">
      <c r="B2" s="157">
        <f ca="1">TODAY()</f>
        <v>44757</v>
      </c>
      <c r="E2" s="196" t="s">
        <v>651</v>
      </c>
      <c r="F2" s="197"/>
      <c r="G2" s="135" t="s">
        <v>52</v>
      </c>
      <c r="H2" s="196" t="s">
        <v>604</v>
      </c>
      <c r="I2" s="197"/>
      <c r="J2" s="196" t="s">
        <v>611</v>
      </c>
      <c r="K2" s="197"/>
      <c r="L2" s="189" t="s">
        <v>117</v>
      </c>
      <c r="M2" s="189" t="s">
        <v>650</v>
      </c>
      <c r="O2" s="165" t="s">
        <v>629</v>
      </c>
      <c r="P2" s="165" t="s">
        <v>642</v>
      </c>
      <c r="R2" s="186" t="s">
        <v>649</v>
      </c>
      <c r="S2" s="187" t="str">
        <f>BJ2</f>
        <v>BANKNIFTY</v>
      </c>
      <c r="T2" s="187" t="str">
        <f t="shared" ref="T2:AF2" si="0">BK2</f>
        <v>IEX</v>
      </c>
      <c r="U2" s="187" t="str">
        <f t="shared" si="0"/>
        <v>NIFTY</v>
      </c>
      <c r="V2" s="187" t="str">
        <f t="shared" si="0"/>
        <v>SRF</v>
      </c>
      <c r="W2" s="187" t="str">
        <f t="shared" si="0"/>
        <v>TATAMOTORS</v>
      </c>
      <c r="X2" s="187" t="str">
        <f t="shared" si="0"/>
        <v>TATAPOWER</v>
      </c>
      <c r="Y2" s="187" t="str">
        <f t="shared" si="0"/>
        <v>TCS</v>
      </c>
      <c r="Z2" s="187" t="str">
        <f t="shared" si="0"/>
        <v>LT</v>
      </c>
      <c r="AA2" s="187" t="str">
        <f t="shared" si="0"/>
        <v>MINDTREE</v>
      </c>
      <c r="AB2" s="187" t="str">
        <f t="shared" si="0"/>
        <v>BALRAMCHIN</v>
      </c>
      <c r="AC2" s="187" t="str">
        <f t="shared" si="0"/>
        <v>HINDUNILVR</v>
      </c>
      <c r="AD2" s="187" t="str">
        <f t="shared" si="0"/>
        <v>Grand Total</v>
      </c>
      <c r="AE2" s="187">
        <f t="shared" si="0"/>
        <v>0</v>
      </c>
      <c r="AF2" s="187">
        <f t="shared" si="0"/>
        <v>0</v>
      </c>
      <c r="BI2"/>
      <c r="BJ2" t="s">
        <v>506</v>
      </c>
      <c r="BK2" t="s">
        <v>126</v>
      </c>
      <c r="BL2" t="s">
        <v>502</v>
      </c>
      <c r="BM2" t="s">
        <v>390</v>
      </c>
      <c r="BN2" t="s">
        <v>284</v>
      </c>
      <c r="BO2" t="s">
        <v>130</v>
      </c>
      <c r="BP2" t="s">
        <v>90</v>
      </c>
      <c r="BQ2" t="s">
        <v>399</v>
      </c>
      <c r="BR2" t="s">
        <v>381</v>
      </c>
      <c r="BS2" t="s">
        <v>682</v>
      </c>
      <c r="BT2" t="s">
        <v>104</v>
      </c>
      <c r="BU2" t="s">
        <v>646</v>
      </c>
    </row>
    <row r="3" spans="1:83">
      <c r="E3" s="198">
        <f ca="1">SUM(L8:L837)</f>
        <v>-31306.24999999984</v>
      </c>
      <c r="F3" s="199"/>
      <c r="G3" s="103">
        <f ca="1">E3/AVERAGEIF(P8:P837,"&gt;0",P8:P837)</f>
        <v>-0.10222532648441172</v>
      </c>
      <c r="H3" s="200">
        <f ca="1">J3+E3</f>
        <v>158338.75000000017</v>
      </c>
      <c r="I3" s="201"/>
      <c r="J3" s="200">
        <f ca="1">SUMIFS($P8:$P837,$C8:$C837,"S",$K8:$K837,0,$E8:$E837,"&lt;&gt;FUT")-SUMIFS($P8:$P837,$C8:$C837,"B",$K8:$K837,0,$E8:$E837,"&lt;&gt;FUT")</f>
        <v>189645</v>
      </c>
      <c r="K3" s="201"/>
      <c r="L3" s="188">
        <v>5861144.2199999997</v>
      </c>
      <c r="M3" s="188">
        <f ca="1">SUM(M8:M837)</f>
        <v>165071.49999999974</v>
      </c>
      <c r="O3" s="103">
        <f ca="1">J3/L3</f>
        <v>3.2356310113113032E-2</v>
      </c>
      <c r="P3" s="103">
        <f ca="1">H3/L3</f>
        <v>2.701498957485134E-2</v>
      </c>
      <c r="Q3" s="105"/>
      <c r="R3" s="12" t="s">
        <v>648</v>
      </c>
      <c r="S3" s="183">
        <f>BJ3/100000</f>
        <v>196.43199999999999</v>
      </c>
      <c r="T3" s="194">
        <f t="shared" ref="T3:AF3" si="1">BK3/100000</f>
        <v>95.124375000000001</v>
      </c>
      <c r="U3" s="194">
        <f t="shared" si="1"/>
        <v>220.68055000000001</v>
      </c>
      <c r="V3" s="194">
        <f t="shared" si="1"/>
        <v>9.2624999999999993</v>
      </c>
      <c r="W3" s="194">
        <f t="shared" si="1"/>
        <v>166.632375</v>
      </c>
      <c r="X3" s="194">
        <f t="shared" si="1"/>
        <v>441.142875</v>
      </c>
      <c r="Y3" s="194">
        <f t="shared" si="1"/>
        <v>52.348365000000001</v>
      </c>
      <c r="Z3" s="194">
        <f t="shared" si="1"/>
        <v>58.62818</v>
      </c>
      <c r="AA3" s="194">
        <f t="shared" si="1"/>
        <v>7.13</v>
      </c>
      <c r="AB3" s="194">
        <f t="shared" si="1"/>
        <v>12.592000000000001</v>
      </c>
      <c r="AC3" s="194">
        <f t="shared" si="1"/>
        <v>13.797000000000001</v>
      </c>
      <c r="AD3" s="194">
        <f t="shared" si="1"/>
        <v>1273.7702200000001</v>
      </c>
      <c r="AE3" s="194">
        <f t="shared" si="1"/>
        <v>0</v>
      </c>
      <c r="AF3" s="194">
        <f t="shared" si="1"/>
        <v>0</v>
      </c>
      <c r="BI3" t="s">
        <v>647</v>
      </c>
      <c r="BJ3" s="67">
        <v>19643200</v>
      </c>
      <c r="BK3" s="67">
        <v>9512437.5</v>
      </c>
      <c r="BL3" s="67">
        <v>22068055</v>
      </c>
      <c r="BM3" s="67">
        <v>926250</v>
      </c>
      <c r="BN3" s="67">
        <v>16663237.5</v>
      </c>
      <c r="BO3" s="67">
        <v>44114287.5</v>
      </c>
      <c r="BP3" s="67">
        <v>5234836.5</v>
      </c>
      <c r="BQ3" s="67">
        <v>5862818</v>
      </c>
      <c r="BR3" s="67">
        <v>713000</v>
      </c>
      <c r="BS3" s="67">
        <v>1259200</v>
      </c>
      <c r="BT3" s="67">
        <v>1379700</v>
      </c>
      <c r="BU3" s="67">
        <v>127377022</v>
      </c>
    </row>
    <row r="4" spans="1:83">
      <c r="P4" s="180"/>
      <c r="U4" s="159"/>
      <c r="V4" s="159"/>
      <c r="BI4"/>
      <c r="BJ4"/>
      <c r="BK4"/>
    </row>
    <row r="5" spans="1:83">
      <c r="H5" s="112"/>
      <c r="U5" s="30"/>
      <c r="V5" s="30"/>
      <c r="W5" s="30"/>
    </row>
    <row r="6" spans="1:83">
      <c r="D6" s="121">
        <f ca="1">IF(AND(MONTH($B$2)=MONTH(H6),K6=0),1,0)</f>
        <v>0</v>
      </c>
      <c r="O6" s="155">
        <v>0.25</v>
      </c>
      <c r="P6" s="155" t="e">
        <f ca="1">SUM(IF(ISERROR(P8:P216),"",P8:P216))</f>
        <v>#VALUE!</v>
      </c>
      <c r="Q6" s="155" t="e">
        <f ca="1">SUM(IF(ISERROR(Q8:Q500),"",Q8:Q50))</f>
        <v>#VALUE!</v>
      </c>
      <c r="R6" s="155" t="e">
        <f ca="1">SUM(IF(ISERROR(R8:R500),"",R8:R50))</f>
        <v>#VALUE!</v>
      </c>
      <c r="S6" s="11">
        <v>0.9</v>
      </c>
      <c r="X6" s="155">
        <f t="array" aca="1" ref="X6" ca="1">SUM(IF(ISERROR(X8:X15000),"",X8:X15000))</f>
        <v>13536191.800944936</v>
      </c>
      <c r="Y6" s="155"/>
      <c r="Z6" s="155">
        <f t="array" aca="1" ref="Z6" ca="1">SUM(IF(ISERROR(Z8:Z15000),"",Z8:Z15000))</f>
        <v>-2935.7357399673333</v>
      </c>
      <c r="AA6" s="155">
        <f t="array" aca="1" ref="AA6" ca="1">SUM(IF(ISERROR(AA8:AA15000),"",AA8:AA15000))</f>
        <v>9166.0988336698119</v>
      </c>
      <c r="AB6" s="155">
        <f t="array" aca="1" ref="AB6" ca="1">SUM(IF(ISERROR(AB8:AB15000),"",AB8:AB15000))</f>
        <v>0</v>
      </c>
      <c r="AC6" s="18">
        <v>0.2</v>
      </c>
    </row>
    <row r="7" spans="1:83">
      <c r="A7" s="123">
        <v>0</v>
      </c>
      <c r="B7" s="123" t="s">
        <v>19</v>
      </c>
      <c r="C7" s="123" t="s">
        <v>1</v>
      </c>
      <c r="D7" s="123" t="s">
        <v>643</v>
      </c>
      <c r="E7" s="12" t="s">
        <v>540</v>
      </c>
      <c r="F7" s="123" t="s">
        <v>21</v>
      </c>
      <c r="G7" s="135" t="s">
        <v>22</v>
      </c>
      <c r="H7" s="135" t="s">
        <v>78</v>
      </c>
      <c r="I7" s="135" t="s">
        <v>483</v>
      </c>
      <c r="J7" s="135" t="s">
        <v>23</v>
      </c>
      <c r="K7" s="135" t="s">
        <v>49</v>
      </c>
      <c r="L7" s="135" t="s">
        <v>651</v>
      </c>
      <c r="M7" s="189" t="s">
        <v>650</v>
      </c>
      <c r="N7" s="135" t="s">
        <v>50</v>
      </c>
      <c r="O7" s="163" t="s">
        <v>614</v>
      </c>
      <c r="P7" s="135" t="s">
        <v>20</v>
      </c>
      <c r="Q7" s="135" t="s">
        <v>626</v>
      </c>
      <c r="R7" s="12" t="s">
        <v>644</v>
      </c>
      <c r="S7" s="135" t="s">
        <v>628</v>
      </c>
      <c r="T7" s="135" t="s">
        <v>548</v>
      </c>
      <c r="U7" s="135" t="s">
        <v>505</v>
      </c>
      <c r="V7" s="172"/>
      <c r="W7" s="149" t="s">
        <v>487</v>
      </c>
      <c r="X7" s="135" t="s">
        <v>503</v>
      </c>
      <c r="Y7" s="195" t="s">
        <v>757</v>
      </c>
      <c r="Z7" s="135" t="s">
        <v>756</v>
      </c>
      <c r="AA7" s="135" t="s">
        <v>75</v>
      </c>
      <c r="AB7" s="135" t="s">
        <v>77</v>
      </c>
      <c r="AC7" s="135" t="s">
        <v>537</v>
      </c>
      <c r="AD7" s="12" t="s">
        <v>549</v>
      </c>
      <c r="AE7" s="135" t="s">
        <v>5</v>
      </c>
      <c r="AF7" s="135" t="s">
        <v>14</v>
      </c>
      <c r="AG7" s="135" t="s">
        <v>9</v>
      </c>
      <c r="AH7" s="135" t="s">
        <v>10</v>
      </c>
      <c r="AI7" s="135" t="s">
        <v>11</v>
      </c>
      <c r="AJ7" s="135" t="s">
        <v>12</v>
      </c>
      <c r="AK7" s="12" t="s">
        <v>53</v>
      </c>
      <c r="AL7" s="146" t="s">
        <v>564</v>
      </c>
      <c r="AM7" s="143">
        <v>-0.03</v>
      </c>
      <c r="AN7" s="144" t="e">
        <f>AM7+#REF!</f>
        <v>#REF!</v>
      </c>
      <c r="AO7" s="144" t="e">
        <f>AN7+#REF!</f>
        <v>#REF!</v>
      </c>
      <c r="AP7" s="144" t="e">
        <f>AO7+#REF!</f>
        <v>#REF!</v>
      </c>
      <c r="AQ7" s="144" t="e">
        <f>AP7+#REF!</f>
        <v>#REF!</v>
      </c>
      <c r="AR7" s="144" t="e">
        <f>AQ7+#REF!</f>
        <v>#REF!</v>
      </c>
      <c r="AS7" s="144" t="e">
        <f>AR7+#REF!</f>
        <v>#REF!</v>
      </c>
      <c r="AT7" s="144" t="e">
        <f>AS7+#REF!</f>
        <v>#REF!</v>
      </c>
      <c r="AU7" s="144" t="e">
        <f>AT7+#REF!</f>
        <v>#REF!</v>
      </c>
      <c r="AV7" s="144" t="e">
        <f>AU7+#REF!</f>
        <v>#REF!</v>
      </c>
      <c r="AW7" s="144" t="e">
        <f>AV7+#REF!</f>
        <v>#REF!</v>
      </c>
      <c r="AX7" s="144" t="e">
        <f>AW7+#REF!</f>
        <v>#REF!</v>
      </c>
      <c r="AY7" s="144" t="e">
        <f>AX7+#REF!</f>
        <v>#REF!</v>
      </c>
      <c r="AZ7" s="144" t="e">
        <f>AY7+#REF!</f>
        <v>#REF!</v>
      </c>
      <c r="BA7" s="144" t="e">
        <f>AZ7+#REF!</f>
        <v>#REF!</v>
      </c>
      <c r="BB7" s="144" t="e">
        <f>BA7+#REF!</f>
        <v>#REF!</v>
      </c>
      <c r="BC7" s="144" t="e">
        <f>BB7+#REF!</f>
        <v>#REF!</v>
      </c>
      <c r="BD7" s="144" t="e">
        <f>BC7+#REF!</f>
        <v>#REF!</v>
      </c>
      <c r="BE7" s="144" t="e">
        <f>BD7+#REF!</f>
        <v>#REF!</v>
      </c>
      <c r="BF7" s="144" t="e">
        <f>BE7+#REF!</f>
        <v>#REF!</v>
      </c>
      <c r="BG7" s="144" t="e">
        <f>BF7+#REF!</f>
        <v>#REF!</v>
      </c>
      <c r="BH7" s="141"/>
      <c r="BI7" s="141"/>
      <c r="BJ7" s="141"/>
    </row>
    <row r="8" spans="1:83" s="119" customFormat="1" ht="15" hidden="1" customHeight="1">
      <c r="A8" s="13">
        <f>A7+1</f>
        <v>1</v>
      </c>
      <c r="B8" s="128">
        <v>44585</v>
      </c>
      <c r="C8" s="121" t="s">
        <v>8</v>
      </c>
      <c r="D8" s="121">
        <v>1</v>
      </c>
      <c r="E8" s="120" t="s">
        <v>482</v>
      </c>
      <c r="F8" s="121" t="s">
        <v>502</v>
      </c>
      <c r="G8" s="120">
        <v>15300</v>
      </c>
      <c r="H8" s="122">
        <v>44616</v>
      </c>
      <c r="I8" s="120">
        <v>500</v>
      </c>
      <c r="J8" s="120">
        <v>36.409999999999997</v>
      </c>
      <c r="K8" s="120">
        <v>0.55000000000000004</v>
      </c>
      <c r="L8" s="124">
        <f ca="1">IF(AND(K8&lt;&gt;0,I8&lt;&gt;0),(IF(C8="B",1,-1))*(K8-J8)*I8-AK8*2,0)*$D8*IF(MONTH($B$2)=MONTH($H8),1,0)</f>
        <v>0</v>
      </c>
      <c r="M8" s="124">
        <f ca="1">IF(AND(K8&lt;&gt;0,I8&lt;&gt;0),(IF(C8="B",1,-1))*(K8-J8)*I8-AK8*2,0)*$D8</f>
        <v>17930</v>
      </c>
      <c r="N8" s="120">
        <f t="shared" ref="N8" ca="1" si="2">K8/$J8</f>
        <v>1.5105740181268885E-2</v>
      </c>
      <c r="O8" s="164">
        <f t="shared" ref="O8" ca="1" si="3">J8*(1+$O$6*IF(C8="B",-1,1))</f>
        <v>45.512499999999996</v>
      </c>
      <c r="P8" s="168">
        <f ca="1">$J8*$I8*$D8</f>
        <v>18205</v>
      </c>
      <c r="Q8" s="168" t="e">
        <f t="shared" ref="Q8" ca="1" si="4">(W8-J8)*I8*IF(C8="B",1,-1)*IF(K8=0,1,0)</f>
        <v>#N/A</v>
      </c>
      <c r="R8" s="184">
        <f ca="1">Z8*T8</f>
        <v>0</v>
      </c>
      <c r="S8" s="124">
        <f t="shared" ref="S8" ca="1" si="5">(1-$S$6)*J8</f>
        <v>3.6409999999999987</v>
      </c>
      <c r="T8" s="120">
        <f ca="1">VLOOKUP(TRIM($F8),Reference!B:C,2,0)</f>
        <v>15938.65</v>
      </c>
      <c r="U8" s="181">
        <f ca="1">AC8</f>
        <v>0</v>
      </c>
      <c r="V8" s="125" t="str">
        <f t="shared" ref="V8:V71" ca="1" si="6">TRIM(F8)&amp;TEXT(H8,"YY")&amp;UPPER(TEXT(H8,"MMM"))&amp;TRIM(G8)&amp;TRIM(E8)</f>
        <v>NIFTY22FEB15300PE</v>
      </c>
      <c r="W8" s="166" t="e">
        <f ca="1">VLOOKUP($V8,Reference!BA:BD,4,0)</f>
        <v>#N/A</v>
      </c>
      <c r="X8" s="168">
        <f t="shared" ref="X8:X71" ca="1" si="7">IF(OR($AD8&lt;0,$K8&lt;&gt;0),0,IF($E8="FUT",W8,OptionPrice(LEFT($E8),$T8,$G8,$AD8,RISKFREE_RATE,$U8,NIFTY_DIVYLD))*IF(C8="B",1,-1)*IF(I8=0,0,1)*IF(K8=0,1,0)*I8)</f>
        <v>0</v>
      </c>
      <c r="Y8" s="168">
        <f t="shared" ref="Y8:Y71" ca="1" si="8">IF(OR($AD8&lt;0,$K8&lt;&gt;0),0,IF($E8="FUT",1,OptionDelta(LEFT(E8),T8,G8,AD8,RISKFREE_RATE,U8,NIFTY_DIVYLD)))</f>
        <v>0</v>
      </c>
      <c r="Z8" s="168">
        <f ca="1">Y8*IF(C8="B",1,-1)*IF(I8=0,0,1)*IF(K8=0,1,0)*I8</f>
        <v>0</v>
      </c>
      <c r="AA8" s="168">
        <f t="shared" ref="AA8:AA71" ca="1" si="9">IF(OR($AD8&lt;0,$K8&lt;&gt;0),0,IF($E8="FUT",0,OptionTheta(LEFT(E8),T8,G8,AD8,RISKFREE_RATE,U8,NIFTY_DIVYLD))*IF(C8="B",1,-1)*IF(I8=0,0,1)*IF(K8=0,1,0)*I8)</f>
        <v>0</v>
      </c>
      <c r="AB8" s="168">
        <f t="shared" ref="AB8:AB71" ca="1" si="10">IF(OR($AD8&lt;0,$K8&lt;&gt;0),0,IF($E8="FUT",0,OptionGamma(T8,G8,AD8,RISKFREE_RATE,U8,NIFTY_DIVYLD))*IF(C8="B",1,-1)*IF(I8=0,0,1)*IF(K8=0,1,0))</f>
        <v>0</v>
      </c>
      <c r="AC8" s="124">
        <f t="shared" ref="AC8:AC71" ca="1" si="11">IF(OR($AD8&lt;0,$K8&lt;&gt;0),0,IF($E8="FUT",0,ImpliedVolatility(LEFT(E8),T8,G8,RISKFREE_RATE,AD8,NIFTY_DIVYLD,W8,$AC$6)))</f>
        <v>0</v>
      </c>
      <c r="AD8" s="120">
        <f t="shared" ref="AD8" ca="1" si="12">(H8-TODAY())/365</f>
        <v>-0.38630136986301372</v>
      </c>
      <c r="AE8" s="120">
        <f t="shared" ref="AE8" ca="1" si="13">IF(I8&lt;&gt;0,20,0)</f>
        <v>20</v>
      </c>
      <c r="AF8" s="120"/>
      <c r="AG8" s="120"/>
      <c r="AH8" s="120">
        <f t="shared" ref="AH8:AH86" ca="1" si="14">0.05%*$P8*(IF($C8="B",0,1))</f>
        <v>9.1025000000000009</v>
      </c>
      <c r="AI8" s="120"/>
      <c r="AJ8" s="120">
        <f t="shared" ref="AJ8:AJ86" ca="1" si="15">300/10000000*$P8*(IF($C8="B",1,0))</f>
        <v>0</v>
      </c>
      <c r="AK8" s="120"/>
      <c r="AL8" s="142">
        <v>1</v>
      </c>
      <c r="AM8" s="161"/>
      <c r="AN8" s="161"/>
      <c r="AO8" s="161"/>
      <c r="AP8" s="161"/>
      <c r="AQ8" s="161"/>
      <c r="AR8" s="161"/>
      <c r="AS8" s="161"/>
      <c r="AT8" s="161"/>
      <c r="AU8" s="161"/>
      <c r="AV8" s="161"/>
      <c r="AW8" s="161"/>
      <c r="AX8" s="161"/>
      <c r="AY8" s="161"/>
      <c r="AZ8" s="161"/>
      <c r="BA8" s="161"/>
      <c r="BB8" s="161"/>
      <c r="BC8" s="161"/>
      <c r="BD8" s="161"/>
      <c r="BE8" s="161"/>
      <c r="BF8" s="161"/>
      <c r="BG8" s="161"/>
      <c r="BS8" s="13"/>
      <c r="BT8" s="128"/>
      <c r="BU8" s="121"/>
      <c r="BV8" s="120"/>
      <c r="BW8" s="121"/>
      <c r="BX8" s="120"/>
      <c r="BY8" s="120"/>
      <c r="BZ8" s="120"/>
      <c r="CA8" s="124"/>
      <c r="CB8" s="120"/>
      <c r="CC8" s="120"/>
      <c r="CD8" s="120"/>
      <c r="CE8" s="124"/>
    </row>
    <row r="9" spans="1:83" hidden="1">
      <c r="A9" s="13">
        <f ca="1">A8+1</f>
        <v>2</v>
      </c>
      <c r="B9" s="128">
        <v>44593</v>
      </c>
      <c r="C9" s="121" t="s">
        <v>6</v>
      </c>
      <c r="D9" s="121">
        <v>1</v>
      </c>
      <c r="E9" s="120" t="s">
        <v>632</v>
      </c>
      <c r="F9" s="121" t="s">
        <v>130</v>
      </c>
      <c r="G9" s="120"/>
      <c r="H9" s="122">
        <v>44616</v>
      </c>
      <c r="I9" s="120">
        <v>6750</v>
      </c>
      <c r="J9" s="120">
        <v>255.6</v>
      </c>
      <c r="K9" s="120">
        <f ca="1">J9-49275/6750</f>
        <v>248.29999999999998</v>
      </c>
      <c r="L9" s="124">
        <f t="shared" ref="L9:L72" ca="1" si="16">IF(AND(K9&lt;&gt;0,I9&lt;&gt;0),(IF(C9="B",1,-1))*(K9-J9)*I9-AK9*2,0)*$D9*IF(MONTH($B$2)=MONTH($H9),1,0)</f>
        <v>0</v>
      </c>
      <c r="M9" s="124">
        <f t="shared" ref="M9:M72" ca="1" si="17">IF(AND(K9&lt;&gt;0,I9&lt;&gt;0),(IF(C9="B",1,-1))*(K9-J9)*I9-AK9*2,0)*$D9</f>
        <v>-49275.00000000008</v>
      </c>
      <c r="N9" s="120">
        <f t="shared" ref="N9" ca="1" si="18">K9/$J9</f>
        <v>0.97143974960876367</v>
      </c>
      <c r="O9" s="164">
        <f t="shared" ref="O9" ca="1" si="19">J9*(1+$O$6*IF(C9="B",-1,1))</f>
        <v>191.7</v>
      </c>
      <c r="P9" s="168">
        <f t="shared" ref="P9:P86" ca="1" si="20">$J9*$I9*$D9</f>
        <v>1725300</v>
      </c>
      <c r="Q9" s="168" t="e">
        <f t="shared" ref="Q9" ca="1" si="21">(W9-J9)*I9*IF(C9="B",1,-1)*IF(K9=0,1,0)</f>
        <v>#N/A</v>
      </c>
      <c r="R9" s="184">
        <f t="shared" ref="R9:R72" ca="1" si="22">Z9*T9</f>
        <v>0</v>
      </c>
      <c r="S9" s="124">
        <f t="shared" ref="S9" ca="1" si="23">(1-$S$6)*J9</f>
        <v>25.559999999999995</v>
      </c>
      <c r="T9" s="120">
        <f ca="1">VLOOKUP(TRIM($F9),Reference!B:C,2,0)</f>
        <v>221.6</v>
      </c>
      <c r="U9" s="181">
        <f t="shared" ref="U9:U25" ca="1" si="24">AC9</f>
        <v>0</v>
      </c>
      <c r="V9" s="125" t="str">
        <f t="shared" ca="1" si="6"/>
        <v>TATAPOWER22FEBFUT</v>
      </c>
      <c r="W9" s="166" t="e">
        <f ca="1">VLOOKUP($V9,Reference!BA:BD,4,0)</f>
        <v>#N/A</v>
      </c>
      <c r="X9" s="168">
        <f t="shared" ca="1" si="7"/>
        <v>0</v>
      </c>
      <c r="Y9" s="168">
        <f t="shared" ca="1" si="8"/>
        <v>0</v>
      </c>
      <c r="Z9" s="168">
        <f t="shared" ref="Z9:Z72" ca="1" si="25">Y9*IF(C9="B",1,-1)*IF(I9=0,0,1)*IF(K9=0,1,0)*I9</f>
        <v>0</v>
      </c>
      <c r="AA9" s="168">
        <f t="shared" ca="1" si="9"/>
        <v>0</v>
      </c>
      <c r="AB9" s="168">
        <f t="shared" ca="1" si="10"/>
        <v>0</v>
      </c>
      <c r="AC9" s="124">
        <f t="shared" ca="1" si="11"/>
        <v>0</v>
      </c>
      <c r="AD9" s="120">
        <f t="shared" ref="AD9" ca="1" si="26">(H9-TODAY())/365</f>
        <v>-0.38630136986301372</v>
      </c>
      <c r="AE9" s="120">
        <f t="shared" ref="AE9" ca="1" si="27">IF(I9&lt;&gt;0,20,0)</f>
        <v>20</v>
      </c>
      <c r="AF9" s="120"/>
      <c r="AG9" s="120"/>
      <c r="AH9" s="120">
        <f t="shared" ca="1" si="14"/>
        <v>0</v>
      </c>
      <c r="AI9" s="120"/>
      <c r="AJ9" s="120">
        <f t="shared" ca="1" si="15"/>
        <v>51.759</v>
      </c>
      <c r="AK9" s="120"/>
      <c r="AL9" s="147"/>
      <c r="AM9" s="160"/>
      <c r="AN9" s="160"/>
      <c r="AO9" s="160"/>
      <c r="AP9" s="160"/>
      <c r="AQ9" s="160"/>
      <c r="AR9" s="160"/>
      <c r="AS9" s="160"/>
      <c r="AT9" s="160"/>
      <c r="AU9" s="160"/>
      <c r="AV9" s="160"/>
      <c r="AW9" s="160"/>
      <c r="AX9" s="160"/>
      <c r="AY9" s="160"/>
      <c r="AZ9" s="160"/>
      <c r="BA9" s="160"/>
      <c r="BB9" s="160"/>
      <c r="BC9" s="160"/>
      <c r="BD9" s="160"/>
      <c r="BE9" s="160"/>
      <c r="BF9" s="160"/>
      <c r="BG9" s="160"/>
      <c r="BS9" s="13">
        <v>2</v>
      </c>
      <c r="BT9" s="128">
        <v>44491</v>
      </c>
      <c r="BU9" s="121" t="s">
        <v>8</v>
      </c>
      <c r="BV9" s="120" t="s">
        <v>482</v>
      </c>
      <c r="BW9" s="121" t="s">
        <v>502</v>
      </c>
      <c r="BX9" s="120">
        <v>18400</v>
      </c>
      <c r="BY9" s="120">
        <v>41.7</v>
      </c>
      <c r="BZ9" s="120">
        <v>47.945</v>
      </c>
      <c r="CA9" s="124">
        <v>-3216.6708800000001</v>
      </c>
      <c r="CB9" s="120">
        <v>1.1497601918465228</v>
      </c>
      <c r="CC9" s="120">
        <v>500</v>
      </c>
      <c r="CD9" s="120">
        <v>50</v>
      </c>
      <c r="CE9" s="124">
        <v>20850</v>
      </c>
    </row>
    <row r="10" spans="1:83" hidden="1">
      <c r="A10" s="13">
        <f t="shared" ref="A10:A86" ca="1" si="28">A9+1</f>
        <v>3</v>
      </c>
      <c r="B10" s="128">
        <v>44593</v>
      </c>
      <c r="C10" s="121" t="s">
        <v>8</v>
      </c>
      <c r="D10" s="121">
        <v>1</v>
      </c>
      <c r="E10" s="120" t="s">
        <v>632</v>
      </c>
      <c r="F10" s="121" t="s">
        <v>130</v>
      </c>
      <c r="G10" s="120"/>
      <c r="H10" s="122">
        <v>44651</v>
      </c>
      <c r="I10" s="120">
        <v>6750</v>
      </c>
      <c r="J10" s="120">
        <v>248.9</v>
      </c>
      <c r="K10" s="120">
        <v>251.35</v>
      </c>
      <c r="L10" s="124">
        <f t="shared" ca="1" si="16"/>
        <v>0</v>
      </c>
      <c r="M10" s="124">
        <f t="shared" ca="1" si="17"/>
        <v>-16537.499999999924</v>
      </c>
      <c r="N10" s="120">
        <f t="shared" ref="N10:N11" ca="1" si="29">K10/$J10</f>
        <v>1.0098433105664926</v>
      </c>
      <c r="O10" s="164">
        <f t="shared" ref="O10:O11" ca="1" si="30">J10*(1+$O$6*IF(C10="B",-1,1))</f>
        <v>311.125</v>
      </c>
      <c r="P10" s="168">
        <f t="shared" ca="1" si="20"/>
        <v>1680075</v>
      </c>
      <c r="Q10" s="168" t="e">
        <f t="shared" ref="Q10:Q11" ca="1" si="31">(W10-J10)*I10*IF(C10="B",1,-1)*IF(K10=0,1,0)</f>
        <v>#N/A</v>
      </c>
      <c r="R10" s="184">
        <f t="shared" ca="1" si="22"/>
        <v>0</v>
      </c>
      <c r="S10" s="124">
        <f t="shared" ref="S10:S11" ca="1" si="32">(1-$S$6)*J10</f>
        <v>24.889999999999993</v>
      </c>
      <c r="T10" s="120">
        <f ca="1">VLOOKUP(TRIM($F10),Reference!B:C,2,0)</f>
        <v>221.6</v>
      </c>
      <c r="U10" s="181">
        <f t="shared" ca="1" si="24"/>
        <v>0</v>
      </c>
      <c r="V10" s="125" t="str">
        <f t="shared" ca="1" si="6"/>
        <v>TATAPOWER22MARFUT</v>
      </c>
      <c r="W10" s="166" t="e">
        <f ca="1">VLOOKUP($V10,Reference!BA:BD,4,0)</f>
        <v>#N/A</v>
      </c>
      <c r="X10" s="168">
        <f t="shared" ca="1" si="7"/>
        <v>0</v>
      </c>
      <c r="Y10" s="168">
        <f t="shared" ca="1" si="8"/>
        <v>0</v>
      </c>
      <c r="Z10" s="168">
        <f t="shared" ca="1" si="25"/>
        <v>0</v>
      </c>
      <c r="AA10" s="168">
        <f t="shared" ca="1" si="9"/>
        <v>0</v>
      </c>
      <c r="AB10" s="168">
        <f t="shared" ca="1" si="10"/>
        <v>0</v>
      </c>
      <c r="AC10" s="124">
        <f t="shared" ca="1" si="11"/>
        <v>0</v>
      </c>
      <c r="AD10" s="120">
        <f t="shared" ref="AD10:AD11" ca="1" si="33">(H10-TODAY())/365</f>
        <v>-0.29041095890410956</v>
      </c>
      <c r="AE10" s="120">
        <f t="shared" ref="AE10:AE11" ca="1" si="34">IF(I10&lt;&gt;0,20,0)</f>
        <v>20</v>
      </c>
      <c r="AF10" s="120"/>
      <c r="AG10" s="120"/>
      <c r="AH10" s="120">
        <f t="shared" ca="1" si="14"/>
        <v>840.03750000000002</v>
      </c>
      <c r="AI10" s="120"/>
      <c r="AJ10" s="120">
        <f t="shared" ca="1" si="15"/>
        <v>0</v>
      </c>
      <c r="AK10" s="120"/>
      <c r="AL10" s="147"/>
      <c r="AM10" s="160"/>
      <c r="AN10" s="160"/>
      <c r="AO10" s="160"/>
      <c r="AP10" s="160"/>
      <c r="AQ10" s="160"/>
      <c r="AR10" s="160"/>
      <c r="AS10" s="160"/>
      <c r="AT10" s="160"/>
      <c r="AU10" s="160"/>
      <c r="AV10" s="160"/>
      <c r="AW10" s="160"/>
      <c r="AX10" s="160"/>
      <c r="AY10" s="160"/>
      <c r="AZ10" s="160"/>
      <c r="BA10" s="160"/>
      <c r="BB10" s="160"/>
      <c r="BC10" s="160"/>
      <c r="BD10" s="160"/>
      <c r="BE10" s="160"/>
      <c r="BF10" s="160"/>
      <c r="BG10" s="160"/>
      <c r="BS10" s="13">
        <v>2</v>
      </c>
      <c r="BT10" s="128">
        <v>44491</v>
      </c>
      <c r="BU10" s="121" t="s">
        <v>8</v>
      </c>
      <c r="BV10" s="120" t="s">
        <v>482</v>
      </c>
      <c r="BW10" s="121" t="s">
        <v>502</v>
      </c>
      <c r="BX10" s="120">
        <v>18400</v>
      </c>
      <c r="BY10" s="120">
        <v>41.7</v>
      </c>
      <c r="BZ10" s="120">
        <v>47.945</v>
      </c>
      <c r="CA10" s="124">
        <v>-3216.6708800000001</v>
      </c>
      <c r="CB10" s="120">
        <v>1.1497601918465228</v>
      </c>
      <c r="CC10" s="120">
        <v>500</v>
      </c>
      <c r="CD10" s="120">
        <v>50</v>
      </c>
      <c r="CE10" s="124">
        <v>20850</v>
      </c>
    </row>
    <row r="11" spans="1:83" hidden="1">
      <c r="A11" s="13">
        <f t="shared" ca="1" si="28"/>
        <v>4</v>
      </c>
      <c r="B11" s="128">
        <v>44593</v>
      </c>
      <c r="C11" s="121" t="s">
        <v>8</v>
      </c>
      <c r="D11" s="121">
        <v>1</v>
      </c>
      <c r="E11" s="120" t="s">
        <v>481</v>
      </c>
      <c r="F11" s="121" t="s">
        <v>130</v>
      </c>
      <c r="G11" s="120">
        <v>300</v>
      </c>
      <c r="H11" s="122">
        <v>44616</v>
      </c>
      <c r="I11" s="120">
        <v>13500</v>
      </c>
      <c r="J11" s="120">
        <v>3.02</v>
      </c>
      <c r="K11" s="120">
        <v>0.8</v>
      </c>
      <c r="L11" s="124">
        <f t="shared" ca="1" si="16"/>
        <v>0</v>
      </c>
      <c r="M11" s="124">
        <f t="shared" ca="1" si="17"/>
        <v>29969.999999999996</v>
      </c>
      <c r="N11" s="120">
        <f t="shared" ca="1" si="29"/>
        <v>0.26490066225165565</v>
      </c>
      <c r="O11" s="164">
        <f t="shared" ca="1" si="30"/>
        <v>3.7749999999999999</v>
      </c>
      <c r="P11" s="168">
        <f t="shared" ca="1" si="20"/>
        <v>40770</v>
      </c>
      <c r="Q11" s="168" t="e">
        <f t="shared" ca="1" si="31"/>
        <v>#N/A</v>
      </c>
      <c r="R11" s="184">
        <f t="shared" ca="1" si="22"/>
        <v>0</v>
      </c>
      <c r="S11" s="124">
        <f t="shared" ca="1" si="32"/>
        <v>0.30199999999999994</v>
      </c>
      <c r="T11" s="120">
        <f ca="1">VLOOKUP(TRIM($F11),Reference!B:C,2,0)</f>
        <v>221.6</v>
      </c>
      <c r="U11" s="181">
        <f t="shared" ca="1" si="24"/>
        <v>0</v>
      </c>
      <c r="V11" s="125" t="str">
        <f t="shared" ca="1" si="6"/>
        <v>TATAPOWER22FEB300CE</v>
      </c>
      <c r="W11" s="166" t="e">
        <f ca="1">VLOOKUP($V11,Reference!BA:BD,4,0)</f>
        <v>#N/A</v>
      </c>
      <c r="X11" s="168">
        <f t="shared" ca="1" si="7"/>
        <v>0</v>
      </c>
      <c r="Y11" s="168">
        <f t="shared" ca="1" si="8"/>
        <v>0</v>
      </c>
      <c r="Z11" s="168">
        <f t="shared" ca="1" si="25"/>
        <v>0</v>
      </c>
      <c r="AA11" s="168">
        <f t="shared" ca="1" si="9"/>
        <v>0</v>
      </c>
      <c r="AB11" s="168">
        <f t="shared" ca="1" si="10"/>
        <v>0</v>
      </c>
      <c r="AC11" s="124">
        <f t="shared" ca="1" si="11"/>
        <v>0</v>
      </c>
      <c r="AD11" s="120">
        <f t="shared" ca="1" si="33"/>
        <v>-0.38630136986301372</v>
      </c>
      <c r="AE11" s="120">
        <f t="shared" ca="1" si="34"/>
        <v>20</v>
      </c>
      <c r="AF11" s="120"/>
      <c r="AG11" s="120"/>
      <c r="AH11" s="120">
        <f t="shared" ca="1" si="14"/>
        <v>20.385000000000002</v>
      </c>
      <c r="AI11" s="120"/>
      <c r="AJ11" s="120">
        <f t="shared" ca="1" si="15"/>
        <v>0</v>
      </c>
      <c r="AK11" s="120"/>
      <c r="AL11" s="147"/>
      <c r="AM11" s="160"/>
      <c r="AN11" s="160"/>
      <c r="AO11" s="160"/>
      <c r="AP11" s="160"/>
      <c r="AQ11" s="160"/>
      <c r="AR11" s="160"/>
      <c r="AS11" s="160"/>
      <c r="AT11" s="160"/>
      <c r="AU11" s="160"/>
      <c r="AV11" s="160"/>
      <c r="AW11" s="160"/>
      <c r="AX11" s="160"/>
      <c r="AY11" s="160"/>
      <c r="AZ11" s="160"/>
      <c r="BA11" s="160"/>
      <c r="BB11" s="160"/>
      <c r="BC11" s="160"/>
      <c r="BD11" s="160"/>
      <c r="BE11" s="160"/>
      <c r="BF11" s="160"/>
      <c r="BG11" s="160"/>
      <c r="BS11" s="13">
        <v>2</v>
      </c>
      <c r="BT11" s="128">
        <v>44491</v>
      </c>
      <c r="BU11" s="121" t="s">
        <v>8</v>
      </c>
      <c r="BV11" s="120" t="s">
        <v>482</v>
      </c>
      <c r="BW11" s="121" t="s">
        <v>502</v>
      </c>
      <c r="BX11" s="120">
        <v>18400</v>
      </c>
      <c r="BY11" s="120">
        <v>41.7</v>
      </c>
      <c r="BZ11" s="120">
        <v>47.945</v>
      </c>
      <c r="CA11" s="124">
        <v>-3216.6708800000001</v>
      </c>
      <c r="CB11" s="120">
        <v>1.1497601918465228</v>
      </c>
      <c r="CC11" s="120">
        <v>500</v>
      </c>
      <c r="CD11" s="120">
        <v>50</v>
      </c>
      <c r="CE11" s="124">
        <v>20850</v>
      </c>
    </row>
    <row r="12" spans="1:83" hidden="1">
      <c r="A12" s="13">
        <f t="shared" ca="1" si="28"/>
        <v>5</v>
      </c>
      <c r="B12" s="128">
        <v>44593</v>
      </c>
      <c r="C12" s="121" t="s">
        <v>8</v>
      </c>
      <c r="D12" s="121">
        <v>1</v>
      </c>
      <c r="E12" s="120" t="s">
        <v>482</v>
      </c>
      <c r="F12" s="121" t="s">
        <v>130</v>
      </c>
      <c r="G12" s="120">
        <v>215</v>
      </c>
      <c r="H12" s="122">
        <v>44616</v>
      </c>
      <c r="I12" s="120">
        <v>13500</v>
      </c>
      <c r="J12" s="120">
        <v>2.33</v>
      </c>
      <c r="K12" s="120">
        <v>2.8</v>
      </c>
      <c r="L12" s="124">
        <f t="shared" ca="1" si="16"/>
        <v>0</v>
      </c>
      <c r="M12" s="124">
        <f t="shared" ca="1" si="17"/>
        <v>-6344.9999999999964</v>
      </c>
      <c r="N12" s="120">
        <f t="shared" ref="N12:N14" ca="1" si="35">K12/$J12</f>
        <v>1.2017167381974247</v>
      </c>
      <c r="O12" s="164">
        <f t="shared" ref="O12:O14" ca="1" si="36">J12*(1+$O$6*IF(C12="B",-1,1))</f>
        <v>2.9125000000000001</v>
      </c>
      <c r="P12" s="168">
        <f t="shared" ca="1" si="20"/>
        <v>31455</v>
      </c>
      <c r="Q12" s="168" t="e">
        <f t="shared" ref="Q12:Q14" ca="1" si="37">(W12-J12)*I12*IF(C12="B",1,-1)*IF(K12=0,1,0)</f>
        <v>#N/A</v>
      </c>
      <c r="R12" s="184">
        <f t="shared" ca="1" si="22"/>
        <v>0</v>
      </c>
      <c r="S12" s="124">
        <f t="shared" ref="S12:S14" ca="1" si="38">(1-$S$6)*J12</f>
        <v>0.23299999999999996</v>
      </c>
      <c r="T12" s="120">
        <f ca="1">VLOOKUP(TRIM($F12),Reference!B:C,2,0)</f>
        <v>221.6</v>
      </c>
      <c r="U12" s="181">
        <f t="shared" ca="1" si="24"/>
        <v>0</v>
      </c>
      <c r="V12" s="125" t="str">
        <f t="shared" ca="1" si="6"/>
        <v>TATAPOWER22FEB215PE</v>
      </c>
      <c r="W12" s="166" t="e">
        <f ca="1">VLOOKUP($V12,Reference!BA:BD,4,0)</f>
        <v>#N/A</v>
      </c>
      <c r="X12" s="168">
        <f t="shared" ca="1" si="7"/>
        <v>0</v>
      </c>
      <c r="Y12" s="168">
        <f t="shared" ca="1" si="8"/>
        <v>0</v>
      </c>
      <c r="Z12" s="168">
        <f t="shared" ca="1" si="25"/>
        <v>0</v>
      </c>
      <c r="AA12" s="168">
        <f t="shared" ca="1" si="9"/>
        <v>0</v>
      </c>
      <c r="AB12" s="168">
        <f t="shared" ca="1" si="10"/>
        <v>0</v>
      </c>
      <c r="AC12" s="124">
        <f t="shared" ca="1" si="11"/>
        <v>0</v>
      </c>
      <c r="AD12" s="120">
        <f t="shared" ref="AD12:AD14" ca="1" si="39">(H12-TODAY())/365</f>
        <v>-0.38630136986301372</v>
      </c>
      <c r="AE12" s="120">
        <f t="shared" ref="AE12:AE14" ca="1" si="40">IF(I12&lt;&gt;0,20,0)</f>
        <v>20</v>
      </c>
      <c r="AF12" s="120"/>
      <c r="AG12" s="120"/>
      <c r="AH12" s="120">
        <f t="shared" ca="1" si="14"/>
        <v>15.727500000000001</v>
      </c>
      <c r="AI12" s="120"/>
      <c r="AJ12" s="120">
        <f t="shared" ca="1" si="15"/>
        <v>0</v>
      </c>
      <c r="AK12" s="120"/>
      <c r="AL12" s="147"/>
      <c r="AM12" s="160"/>
      <c r="AN12" s="160"/>
      <c r="AO12" s="160"/>
      <c r="AP12" s="160"/>
      <c r="AQ12" s="160"/>
      <c r="AR12" s="160"/>
      <c r="AS12" s="160"/>
      <c r="AT12" s="160"/>
      <c r="AU12" s="160"/>
      <c r="AV12" s="160"/>
      <c r="AW12" s="160"/>
      <c r="AX12" s="160"/>
      <c r="AY12" s="160"/>
      <c r="AZ12" s="160"/>
      <c r="BA12" s="160"/>
      <c r="BB12" s="160"/>
      <c r="BC12" s="160"/>
      <c r="BD12" s="160"/>
      <c r="BE12" s="160"/>
      <c r="BF12" s="160"/>
      <c r="BG12" s="160"/>
      <c r="BS12" s="13">
        <v>2</v>
      </c>
      <c r="BT12" s="128">
        <v>44491</v>
      </c>
      <c r="BU12" s="121" t="s">
        <v>8</v>
      </c>
      <c r="BV12" s="120" t="s">
        <v>482</v>
      </c>
      <c r="BW12" s="121" t="s">
        <v>502</v>
      </c>
      <c r="BX12" s="120">
        <v>18400</v>
      </c>
      <c r="BY12" s="120">
        <v>41.7</v>
      </c>
      <c r="BZ12" s="120">
        <v>47.945</v>
      </c>
      <c r="CA12" s="124">
        <v>-3216.6708800000001</v>
      </c>
      <c r="CB12" s="120">
        <v>1.1497601918465228</v>
      </c>
      <c r="CC12" s="120">
        <v>500</v>
      </c>
      <c r="CD12" s="120">
        <v>50</v>
      </c>
      <c r="CE12" s="124">
        <v>20850</v>
      </c>
    </row>
    <row r="13" spans="1:83" hidden="1">
      <c r="A13" s="13">
        <f t="shared" ca="1" si="28"/>
        <v>6</v>
      </c>
      <c r="B13" s="128">
        <v>44593</v>
      </c>
      <c r="C13" s="121" t="s">
        <v>8</v>
      </c>
      <c r="D13" s="121">
        <v>1</v>
      </c>
      <c r="E13" s="120" t="s">
        <v>482</v>
      </c>
      <c r="F13" s="121" t="s">
        <v>130</v>
      </c>
      <c r="G13" s="120">
        <v>220</v>
      </c>
      <c r="H13" s="122">
        <v>44616</v>
      </c>
      <c r="I13" s="120">
        <v>6750</v>
      </c>
      <c r="J13" s="120">
        <v>2.25</v>
      </c>
      <c r="K13" s="120">
        <v>3.65</v>
      </c>
      <c r="L13" s="124">
        <f t="shared" ca="1" si="16"/>
        <v>0</v>
      </c>
      <c r="M13" s="124">
        <f t="shared" ca="1" si="17"/>
        <v>-9450</v>
      </c>
      <c r="N13" s="120">
        <f t="shared" ca="1" si="35"/>
        <v>1.6222222222222222</v>
      </c>
      <c r="O13" s="164">
        <f t="shared" ca="1" si="36"/>
        <v>2.8125</v>
      </c>
      <c r="P13" s="168">
        <f t="shared" ca="1" si="20"/>
        <v>15187.5</v>
      </c>
      <c r="Q13" s="168" t="e">
        <f t="shared" ca="1" si="37"/>
        <v>#N/A</v>
      </c>
      <c r="R13" s="184">
        <f t="shared" ca="1" si="22"/>
        <v>0</v>
      </c>
      <c r="S13" s="124">
        <f t="shared" ca="1" si="38"/>
        <v>0.22499999999999995</v>
      </c>
      <c r="T13" s="120">
        <f ca="1">VLOOKUP(TRIM($F13),Reference!B:C,2,0)</f>
        <v>221.6</v>
      </c>
      <c r="U13" s="181">
        <f t="shared" ca="1" si="24"/>
        <v>0</v>
      </c>
      <c r="V13" s="125" t="str">
        <f t="shared" ca="1" si="6"/>
        <v>TATAPOWER22FEB220PE</v>
      </c>
      <c r="W13" s="166" t="e">
        <f ca="1">VLOOKUP($V13,Reference!BA:BD,4,0)</f>
        <v>#N/A</v>
      </c>
      <c r="X13" s="168">
        <f t="shared" ca="1" si="7"/>
        <v>0</v>
      </c>
      <c r="Y13" s="168">
        <f t="shared" ca="1" si="8"/>
        <v>0</v>
      </c>
      <c r="Z13" s="168">
        <f t="shared" ca="1" si="25"/>
        <v>0</v>
      </c>
      <c r="AA13" s="168">
        <f t="shared" ca="1" si="9"/>
        <v>0</v>
      </c>
      <c r="AB13" s="168">
        <f t="shared" ca="1" si="10"/>
        <v>0</v>
      </c>
      <c r="AC13" s="124">
        <f t="shared" ca="1" si="11"/>
        <v>0</v>
      </c>
      <c r="AD13" s="120">
        <f t="shared" ca="1" si="39"/>
        <v>-0.38630136986301372</v>
      </c>
      <c r="AE13" s="120">
        <f t="shared" ca="1" si="40"/>
        <v>20</v>
      </c>
      <c r="AF13" s="120"/>
      <c r="AG13" s="120"/>
      <c r="AH13" s="120">
        <f t="shared" ca="1" si="14"/>
        <v>7.59375</v>
      </c>
      <c r="AI13" s="120"/>
      <c r="AJ13" s="120">
        <f t="shared" ca="1" si="15"/>
        <v>0</v>
      </c>
      <c r="AK13" s="120"/>
      <c r="AL13" s="147"/>
      <c r="AM13" s="160"/>
      <c r="AN13" s="160"/>
      <c r="AO13" s="160"/>
      <c r="AP13" s="160"/>
      <c r="AQ13" s="160"/>
      <c r="AR13" s="160"/>
      <c r="AS13" s="160"/>
      <c r="AT13" s="160"/>
      <c r="AU13" s="160"/>
      <c r="AV13" s="160"/>
      <c r="AW13" s="160"/>
      <c r="AX13" s="160"/>
      <c r="AY13" s="160"/>
      <c r="AZ13" s="160"/>
      <c r="BA13" s="160"/>
      <c r="BB13" s="160"/>
      <c r="BC13" s="160"/>
      <c r="BD13" s="160"/>
      <c r="BE13" s="160"/>
      <c r="BF13" s="160"/>
      <c r="BG13" s="160"/>
      <c r="BS13" s="13">
        <v>2</v>
      </c>
      <c r="BT13" s="128">
        <v>44491</v>
      </c>
      <c r="BU13" s="121" t="s">
        <v>8</v>
      </c>
      <c r="BV13" s="120" t="s">
        <v>482</v>
      </c>
      <c r="BW13" s="121" t="s">
        <v>502</v>
      </c>
      <c r="BX13" s="120">
        <v>18400</v>
      </c>
      <c r="BY13" s="120">
        <v>41.7</v>
      </c>
      <c r="BZ13" s="120">
        <v>47.945</v>
      </c>
      <c r="CA13" s="124">
        <v>-3216.6708800000001</v>
      </c>
      <c r="CB13" s="120">
        <v>1.1497601918465228</v>
      </c>
      <c r="CC13" s="120">
        <v>500</v>
      </c>
      <c r="CD13" s="120">
        <v>50</v>
      </c>
      <c r="CE13" s="124">
        <v>20850</v>
      </c>
    </row>
    <row r="14" spans="1:83" hidden="1">
      <c r="A14" s="13">
        <f t="shared" ca="1" si="28"/>
        <v>7</v>
      </c>
      <c r="B14" s="128">
        <v>44594</v>
      </c>
      <c r="C14" s="121" t="s">
        <v>8</v>
      </c>
      <c r="D14" s="121">
        <v>1</v>
      </c>
      <c r="E14" s="120" t="s">
        <v>481</v>
      </c>
      <c r="F14" s="121" t="s">
        <v>390</v>
      </c>
      <c r="G14" s="120">
        <v>2800</v>
      </c>
      <c r="H14" s="122">
        <v>44616</v>
      </c>
      <c r="I14" s="120">
        <v>750</v>
      </c>
      <c r="J14" s="120">
        <v>13.75</v>
      </c>
      <c r="K14" s="120">
        <v>14.55</v>
      </c>
      <c r="L14" s="124">
        <f t="shared" ca="1" si="16"/>
        <v>0</v>
      </c>
      <c r="M14" s="124">
        <f t="shared" ca="1" si="17"/>
        <v>-600.00000000000057</v>
      </c>
      <c r="N14" s="120">
        <f t="shared" ca="1" si="35"/>
        <v>1.0581818181818183</v>
      </c>
      <c r="O14" s="164">
        <f t="shared" ca="1" si="36"/>
        <v>17.1875</v>
      </c>
      <c r="P14" s="168">
        <f t="shared" ca="1" si="20"/>
        <v>10312.5</v>
      </c>
      <c r="Q14" s="168" t="e">
        <f t="shared" ca="1" si="37"/>
        <v>#N/A</v>
      </c>
      <c r="R14" s="184">
        <f t="shared" ca="1" si="22"/>
        <v>0</v>
      </c>
      <c r="S14" s="124">
        <f t="shared" ca="1" si="38"/>
        <v>1.3749999999999998</v>
      </c>
      <c r="T14" s="120">
        <f ca="1">VLOOKUP(TRIM($F14),Reference!B:C,2,0)</f>
        <v>2214</v>
      </c>
      <c r="U14" s="181">
        <f t="shared" ca="1" si="24"/>
        <v>0</v>
      </c>
      <c r="V14" s="125" t="str">
        <f t="shared" ca="1" si="6"/>
        <v>SRF22FEB2800CE</v>
      </c>
      <c r="W14" s="166" t="e">
        <f ca="1">VLOOKUP($V14,Reference!BA:BD,4,0)</f>
        <v>#N/A</v>
      </c>
      <c r="X14" s="168">
        <f t="shared" ca="1" si="7"/>
        <v>0</v>
      </c>
      <c r="Y14" s="168">
        <f t="shared" ca="1" si="8"/>
        <v>0</v>
      </c>
      <c r="Z14" s="168">
        <f t="shared" ca="1" si="25"/>
        <v>0</v>
      </c>
      <c r="AA14" s="168">
        <f t="shared" ca="1" si="9"/>
        <v>0</v>
      </c>
      <c r="AB14" s="168">
        <f t="shared" ca="1" si="10"/>
        <v>0</v>
      </c>
      <c r="AC14" s="124">
        <f t="shared" ca="1" si="11"/>
        <v>0</v>
      </c>
      <c r="AD14" s="120">
        <f t="shared" ca="1" si="39"/>
        <v>-0.38630136986301372</v>
      </c>
      <c r="AE14" s="120">
        <f t="shared" ca="1" si="40"/>
        <v>20</v>
      </c>
      <c r="AF14" s="120"/>
      <c r="AG14" s="120"/>
      <c r="AH14" s="120">
        <f t="shared" ca="1" si="14"/>
        <v>5.15625</v>
      </c>
      <c r="AI14" s="120"/>
      <c r="AJ14" s="120">
        <f t="shared" ca="1" si="15"/>
        <v>0</v>
      </c>
      <c r="AK14" s="120"/>
      <c r="AM14" s="161"/>
      <c r="AN14" s="161"/>
      <c r="AO14" s="161"/>
      <c r="AP14" s="161"/>
      <c r="AQ14" s="161"/>
      <c r="AR14" s="161"/>
      <c r="AS14" s="161"/>
      <c r="AT14" s="161"/>
      <c r="AU14" s="161"/>
      <c r="AV14" s="161"/>
      <c r="AW14" s="161"/>
      <c r="AX14" s="161"/>
      <c r="AY14" s="161"/>
      <c r="AZ14" s="161"/>
      <c r="BA14" s="161"/>
      <c r="BB14" s="161"/>
      <c r="BC14" s="161"/>
      <c r="BD14" s="161"/>
      <c r="BE14" s="161"/>
      <c r="BF14" s="161"/>
      <c r="BG14" s="161"/>
      <c r="BS14" s="13">
        <v>2</v>
      </c>
      <c r="BT14" s="128">
        <v>44491</v>
      </c>
      <c r="BU14" s="121" t="s">
        <v>8</v>
      </c>
      <c r="BV14" s="120" t="s">
        <v>482</v>
      </c>
      <c r="BW14" s="121" t="s">
        <v>502</v>
      </c>
      <c r="BX14" s="120">
        <v>18400</v>
      </c>
      <c r="BY14" s="120">
        <v>41.7</v>
      </c>
      <c r="BZ14" s="120">
        <v>47.945</v>
      </c>
      <c r="CA14" s="124">
        <v>-3216.6708800000001</v>
      </c>
      <c r="CB14" s="120">
        <v>1.1497601918465228</v>
      </c>
      <c r="CC14" s="120">
        <v>500</v>
      </c>
      <c r="CD14" s="120">
        <v>50</v>
      </c>
      <c r="CE14" s="124">
        <v>20850</v>
      </c>
    </row>
    <row r="15" spans="1:83" hidden="1">
      <c r="A15" s="13">
        <f t="shared" ca="1" si="28"/>
        <v>8</v>
      </c>
      <c r="B15" s="128">
        <v>44594</v>
      </c>
      <c r="C15" s="121" t="s">
        <v>8</v>
      </c>
      <c r="D15" s="121">
        <v>1</v>
      </c>
      <c r="E15" s="120" t="s">
        <v>482</v>
      </c>
      <c r="F15" s="121" t="s">
        <v>390</v>
      </c>
      <c r="G15" s="120">
        <v>2200</v>
      </c>
      <c r="H15" s="122">
        <v>44616</v>
      </c>
      <c r="I15" s="120">
        <v>750</v>
      </c>
      <c r="J15" s="120">
        <v>12.55</v>
      </c>
      <c r="K15" s="120">
        <v>12.7</v>
      </c>
      <c r="L15" s="124">
        <f t="shared" ca="1" si="16"/>
        <v>0</v>
      </c>
      <c r="M15" s="124">
        <f t="shared" ca="1" si="17"/>
        <v>-112.49999999999893</v>
      </c>
      <c r="N15" s="120">
        <f t="shared" ref="N15:N17" ca="1" si="41">K15/$J15</f>
        <v>1.0119521912350598</v>
      </c>
      <c r="O15" s="164">
        <f t="shared" ref="O15:O17" ca="1" si="42">J15*(1+$O$6*IF(C15="B",-1,1))</f>
        <v>15.6875</v>
      </c>
      <c r="P15" s="168">
        <f t="shared" ca="1" si="20"/>
        <v>9412.5</v>
      </c>
      <c r="Q15" s="168" t="e">
        <f t="shared" ref="Q15:Q17" ca="1" si="43">(W15-J15)*I15*IF(C15="B",1,-1)*IF(K15=0,1,0)</f>
        <v>#N/A</v>
      </c>
      <c r="R15" s="184">
        <f t="shared" ca="1" si="22"/>
        <v>0</v>
      </c>
      <c r="S15" s="124">
        <f t="shared" ref="S15:S17" ca="1" si="44">(1-$S$6)*J15</f>
        <v>1.2549999999999999</v>
      </c>
      <c r="T15" s="120">
        <f ca="1">VLOOKUP(TRIM($F15),Reference!B:C,2,0)</f>
        <v>2214</v>
      </c>
      <c r="U15" s="181">
        <f t="shared" ca="1" si="24"/>
        <v>0</v>
      </c>
      <c r="V15" s="125" t="str">
        <f t="shared" ca="1" si="6"/>
        <v>SRF22FEB2200PE</v>
      </c>
      <c r="W15" s="166" t="e">
        <f ca="1">VLOOKUP($V15,Reference!BA:BD,4,0)</f>
        <v>#N/A</v>
      </c>
      <c r="X15" s="168">
        <f t="shared" ca="1" si="7"/>
        <v>0</v>
      </c>
      <c r="Y15" s="168">
        <f t="shared" ca="1" si="8"/>
        <v>0</v>
      </c>
      <c r="Z15" s="168">
        <f t="shared" ca="1" si="25"/>
        <v>0</v>
      </c>
      <c r="AA15" s="168">
        <f t="shared" ca="1" si="9"/>
        <v>0</v>
      </c>
      <c r="AB15" s="168">
        <f t="shared" ca="1" si="10"/>
        <v>0</v>
      </c>
      <c r="AC15" s="124">
        <f t="shared" ca="1" si="11"/>
        <v>0</v>
      </c>
      <c r="AD15" s="120">
        <f t="shared" ref="AD15:AD17" ca="1" si="45">(H15-TODAY())/365</f>
        <v>-0.38630136986301372</v>
      </c>
      <c r="AE15" s="120">
        <f t="shared" ref="AE15:AE17" ca="1" si="46">IF(I15&lt;&gt;0,20,0)</f>
        <v>20</v>
      </c>
      <c r="AF15" s="120"/>
      <c r="AG15" s="120"/>
      <c r="AH15" s="120">
        <f t="shared" ca="1" si="14"/>
        <v>4.7062499999999998</v>
      </c>
      <c r="AI15" s="120"/>
      <c r="AJ15" s="120">
        <f t="shared" ca="1" si="15"/>
        <v>0</v>
      </c>
      <c r="AK15" s="120"/>
      <c r="AM15" s="161"/>
      <c r="AN15" s="161"/>
      <c r="AO15" s="161"/>
      <c r="AP15" s="161"/>
      <c r="AQ15" s="161"/>
      <c r="AR15" s="161"/>
      <c r="AS15" s="161"/>
      <c r="AT15" s="161"/>
      <c r="AU15" s="161"/>
      <c r="AV15" s="161"/>
      <c r="AW15" s="161"/>
      <c r="AX15" s="161"/>
      <c r="AY15" s="161"/>
      <c r="AZ15" s="161"/>
      <c r="BA15" s="161"/>
      <c r="BB15" s="161"/>
      <c r="BC15" s="161"/>
      <c r="BD15" s="161"/>
      <c r="BE15" s="161"/>
      <c r="BF15" s="161"/>
      <c r="BG15" s="161"/>
      <c r="BS15" s="13">
        <v>2</v>
      </c>
      <c r="BT15" s="128">
        <v>44491</v>
      </c>
      <c r="BU15" s="121" t="s">
        <v>8</v>
      </c>
      <c r="BV15" s="120" t="s">
        <v>482</v>
      </c>
      <c r="BW15" s="121" t="s">
        <v>502</v>
      </c>
      <c r="BX15" s="120">
        <v>18400</v>
      </c>
      <c r="BY15" s="120">
        <v>41.7</v>
      </c>
      <c r="BZ15" s="120">
        <v>47.945</v>
      </c>
      <c r="CA15" s="124">
        <v>-3216.6708800000001</v>
      </c>
      <c r="CB15" s="120">
        <v>1.1497601918465228</v>
      </c>
      <c r="CC15" s="120">
        <v>500</v>
      </c>
      <c r="CD15" s="120">
        <v>50</v>
      </c>
      <c r="CE15" s="124">
        <v>20850</v>
      </c>
    </row>
    <row r="16" spans="1:83" hidden="1">
      <c r="A16" s="13">
        <f t="shared" ca="1" si="28"/>
        <v>9</v>
      </c>
      <c r="B16" s="128">
        <v>44595</v>
      </c>
      <c r="C16" s="121" t="s">
        <v>8</v>
      </c>
      <c r="D16" s="121">
        <v>1</v>
      </c>
      <c r="E16" s="120" t="s">
        <v>481</v>
      </c>
      <c r="F16" s="121" t="s">
        <v>284</v>
      </c>
      <c r="G16" s="120">
        <v>570</v>
      </c>
      <c r="H16" s="122">
        <v>44616</v>
      </c>
      <c r="I16" s="120">
        <v>2850</v>
      </c>
      <c r="J16" s="120">
        <v>3.7</v>
      </c>
      <c r="K16" s="120">
        <v>1.8</v>
      </c>
      <c r="L16" s="124">
        <f t="shared" ca="1" si="16"/>
        <v>0</v>
      </c>
      <c r="M16" s="124">
        <f t="shared" ca="1" si="17"/>
        <v>5415</v>
      </c>
      <c r="N16" s="120">
        <f t="shared" ca="1" si="41"/>
        <v>0.48648648648648646</v>
      </c>
      <c r="O16" s="164">
        <f t="shared" ca="1" si="42"/>
        <v>4.625</v>
      </c>
      <c r="P16" s="168">
        <f t="shared" ca="1" si="20"/>
        <v>10545</v>
      </c>
      <c r="Q16" s="168" t="e">
        <f t="shared" ca="1" si="43"/>
        <v>#N/A</v>
      </c>
      <c r="R16" s="184">
        <f t="shared" ca="1" si="22"/>
        <v>0</v>
      </c>
      <c r="S16" s="124">
        <f t="shared" ca="1" si="44"/>
        <v>0.36999999999999994</v>
      </c>
      <c r="T16" s="120">
        <f ca="1">VLOOKUP(TRIM($F16),Reference!B:C,2,0)</f>
        <v>428</v>
      </c>
      <c r="U16" s="181">
        <f t="shared" ca="1" si="24"/>
        <v>0</v>
      </c>
      <c r="V16" s="125" t="str">
        <f t="shared" ca="1" si="6"/>
        <v>TATAMOTORS22FEB570CE</v>
      </c>
      <c r="W16" s="166" t="e">
        <f ca="1">VLOOKUP($V16,Reference!BA:BD,4,0)</f>
        <v>#N/A</v>
      </c>
      <c r="X16" s="168">
        <f t="shared" ca="1" si="7"/>
        <v>0</v>
      </c>
      <c r="Y16" s="168">
        <f t="shared" ca="1" si="8"/>
        <v>0</v>
      </c>
      <c r="Z16" s="168">
        <f t="shared" ca="1" si="25"/>
        <v>0</v>
      </c>
      <c r="AA16" s="168">
        <f t="shared" ca="1" si="9"/>
        <v>0</v>
      </c>
      <c r="AB16" s="168">
        <f t="shared" ca="1" si="10"/>
        <v>0</v>
      </c>
      <c r="AC16" s="124">
        <f t="shared" ca="1" si="11"/>
        <v>0</v>
      </c>
      <c r="AD16" s="120">
        <f t="shared" ca="1" si="45"/>
        <v>-0.38630136986301372</v>
      </c>
      <c r="AE16" s="120">
        <f t="shared" ca="1" si="46"/>
        <v>20</v>
      </c>
      <c r="AF16" s="120"/>
      <c r="AG16" s="120"/>
      <c r="AH16" s="120">
        <f t="shared" ca="1" si="14"/>
        <v>5.2725</v>
      </c>
      <c r="AI16" s="120"/>
      <c r="AJ16" s="120">
        <f t="shared" ca="1" si="15"/>
        <v>0</v>
      </c>
      <c r="AK16" s="120"/>
      <c r="AL16" s="147"/>
      <c r="AM16" s="160"/>
      <c r="AN16" s="160"/>
      <c r="AO16" s="160"/>
      <c r="AP16" s="160"/>
      <c r="AQ16" s="160"/>
      <c r="AR16" s="160"/>
      <c r="AS16" s="160"/>
      <c r="AT16" s="160"/>
      <c r="AU16" s="160"/>
      <c r="AV16" s="160"/>
      <c r="AW16" s="160"/>
      <c r="AX16" s="160"/>
      <c r="AY16" s="160"/>
      <c r="AZ16" s="160"/>
      <c r="BA16" s="160"/>
      <c r="BB16" s="160"/>
      <c r="BC16" s="160"/>
      <c r="BD16" s="160"/>
      <c r="BE16" s="160"/>
      <c r="BF16" s="160"/>
      <c r="BG16" s="160"/>
      <c r="BS16" s="13">
        <v>2</v>
      </c>
      <c r="BT16" s="128">
        <v>44491</v>
      </c>
      <c r="BU16" s="121" t="s">
        <v>8</v>
      </c>
      <c r="BV16" s="120" t="s">
        <v>482</v>
      </c>
      <c r="BW16" s="121" t="s">
        <v>502</v>
      </c>
      <c r="BX16" s="120">
        <v>18400</v>
      </c>
      <c r="BY16" s="120">
        <v>41.7</v>
      </c>
      <c r="BZ16" s="120">
        <v>47.945</v>
      </c>
      <c r="CA16" s="124">
        <v>-3216.6708800000001</v>
      </c>
      <c r="CB16" s="120">
        <v>1.1497601918465228</v>
      </c>
      <c r="CC16" s="120">
        <v>500</v>
      </c>
      <c r="CD16" s="120">
        <v>50</v>
      </c>
      <c r="CE16" s="124">
        <v>20850</v>
      </c>
    </row>
    <row r="17" spans="1:83" hidden="1">
      <c r="A17" s="13">
        <f t="shared" ca="1" si="28"/>
        <v>10</v>
      </c>
      <c r="B17" s="128">
        <v>44595</v>
      </c>
      <c r="C17" s="121" t="s">
        <v>8</v>
      </c>
      <c r="D17" s="121">
        <v>1</v>
      </c>
      <c r="E17" s="120" t="s">
        <v>482</v>
      </c>
      <c r="F17" s="121" t="s">
        <v>284</v>
      </c>
      <c r="G17" s="120">
        <v>450</v>
      </c>
      <c r="H17" s="122">
        <v>44616</v>
      </c>
      <c r="I17" s="120">
        <v>2850</v>
      </c>
      <c r="J17" s="120">
        <v>2.65</v>
      </c>
      <c r="K17" s="120">
        <v>2.5</v>
      </c>
      <c r="L17" s="124">
        <f t="shared" ca="1" si="16"/>
        <v>0</v>
      </c>
      <c r="M17" s="124">
        <f t="shared" ca="1" si="17"/>
        <v>427.49999999999977</v>
      </c>
      <c r="N17" s="120">
        <f t="shared" ca="1" si="41"/>
        <v>0.94339622641509435</v>
      </c>
      <c r="O17" s="164">
        <f t="shared" ca="1" si="42"/>
        <v>3.3125</v>
      </c>
      <c r="P17" s="168">
        <f t="shared" ca="1" si="20"/>
        <v>7552.5</v>
      </c>
      <c r="Q17" s="168" t="e">
        <f t="shared" ca="1" si="43"/>
        <v>#N/A</v>
      </c>
      <c r="R17" s="184">
        <f t="shared" ca="1" si="22"/>
        <v>0</v>
      </c>
      <c r="S17" s="124">
        <f t="shared" ca="1" si="44"/>
        <v>0.26499999999999996</v>
      </c>
      <c r="T17" s="120">
        <f ca="1">VLOOKUP(TRIM($F17),Reference!B:C,2,0)</f>
        <v>428</v>
      </c>
      <c r="U17" s="181">
        <f t="shared" ca="1" si="24"/>
        <v>0</v>
      </c>
      <c r="V17" s="125" t="str">
        <f t="shared" ca="1" si="6"/>
        <v>TATAMOTORS22FEB450PE</v>
      </c>
      <c r="W17" s="166" t="e">
        <f ca="1">VLOOKUP($V17,Reference!BA:BD,4,0)</f>
        <v>#N/A</v>
      </c>
      <c r="X17" s="168">
        <f t="shared" ca="1" si="7"/>
        <v>0</v>
      </c>
      <c r="Y17" s="168">
        <f t="shared" ca="1" si="8"/>
        <v>0</v>
      </c>
      <c r="Z17" s="168">
        <f t="shared" ca="1" si="25"/>
        <v>0</v>
      </c>
      <c r="AA17" s="168">
        <f t="shared" ca="1" si="9"/>
        <v>0</v>
      </c>
      <c r="AB17" s="168">
        <f t="shared" ca="1" si="10"/>
        <v>0</v>
      </c>
      <c r="AC17" s="124">
        <f t="shared" ca="1" si="11"/>
        <v>0</v>
      </c>
      <c r="AD17" s="120">
        <f t="shared" ca="1" si="45"/>
        <v>-0.38630136986301372</v>
      </c>
      <c r="AE17" s="120">
        <f t="shared" ca="1" si="46"/>
        <v>20</v>
      </c>
      <c r="AF17" s="120"/>
      <c r="AG17" s="120"/>
      <c r="AH17" s="120">
        <f t="shared" ca="1" si="14"/>
        <v>3.7762500000000001</v>
      </c>
      <c r="AI17" s="120"/>
      <c r="AJ17" s="120">
        <f t="shared" ca="1" si="15"/>
        <v>0</v>
      </c>
      <c r="AK17" s="120"/>
      <c r="AL17" s="147"/>
      <c r="AM17" s="160"/>
      <c r="AN17" s="160"/>
      <c r="AO17" s="160"/>
      <c r="AP17" s="160"/>
      <c r="AQ17" s="160"/>
      <c r="AR17" s="160"/>
      <c r="AS17" s="160"/>
      <c r="AT17" s="160"/>
      <c r="AU17" s="160"/>
      <c r="AV17" s="160"/>
      <c r="AW17" s="160"/>
      <c r="AX17" s="160"/>
      <c r="AY17" s="160"/>
      <c r="AZ17" s="160"/>
      <c r="BA17" s="160"/>
      <c r="BB17" s="160"/>
      <c r="BC17" s="160"/>
      <c r="BD17" s="160"/>
      <c r="BE17" s="160"/>
      <c r="BF17" s="160"/>
      <c r="BG17" s="160"/>
      <c r="BS17" s="13">
        <v>2</v>
      </c>
      <c r="BT17" s="128">
        <v>44491</v>
      </c>
      <c r="BU17" s="121" t="s">
        <v>8</v>
      </c>
      <c r="BV17" s="120" t="s">
        <v>482</v>
      </c>
      <c r="BW17" s="121" t="s">
        <v>502</v>
      </c>
      <c r="BX17" s="120">
        <v>18400</v>
      </c>
      <c r="BY17" s="120">
        <v>41.7</v>
      </c>
      <c r="BZ17" s="120">
        <v>47.945</v>
      </c>
      <c r="CA17" s="124">
        <v>-3216.6708800000001</v>
      </c>
      <c r="CB17" s="120">
        <v>1.1497601918465228</v>
      </c>
      <c r="CC17" s="120">
        <v>500</v>
      </c>
      <c r="CD17" s="120">
        <v>50</v>
      </c>
      <c r="CE17" s="124">
        <v>20850</v>
      </c>
    </row>
    <row r="18" spans="1:83" hidden="1">
      <c r="A18" s="13">
        <f t="shared" ca="1" si="28"/>
        <v>11</v>
      </c>
      <c r="B18" s="128">
        <v>44600</v>
      </c>
      <c r="C18" s="121" t="s">
        <v>8</v>
      </c>
      <c r="D18" s="121">
        <v>1</v>
      </c>
      <c r="E18" s="120" t="s">
        <v>482</v>
      </c>
      <c r="F18" s="121" t="s">
        <v>130</v>
      </c>
      <c r="G18" s="120">
        <v>220</v>
      </c>
      <c r="H18" s="122">
        <v>44616</v>
      </c>
      <c r="I18" s="120">
        <v>6750</v>
      </c>
      <c r="J18" s="120">
        <v>4.0999999999999996</v>
      </c>
      <c r="K18" s="120">
        <v>3.9</v>
      </c>
      <c r="L18" s="124">
        <f t="shared" ca="1" si="16"/>
        <v>0</v>
      </c>
      <c r="M18" s="124">
        <f t="shared" ca="1" si="17"/>
        <v>1349.9999999999982</v>
      </c>
      <c r="N18" s="120">
        <f t="shared" ref="N18:N21" ca="1" si="47">K18/$J18</f>
        <v>0.95121951219512202</v>
      </c>
      <c r="O18" s="164">
        <f t="shared" ref="O18:O21" ca="1" si="48">J18*(1+$O$6*IF(C18="B",-1,1))</f>
        <v>5.125</v>
      </c>
      <c r="P18" s="168">
        <f t="shared" ca="1" si="20"/>
        <v>27674.999999999996</v>
      </c>
      <c r="Q18" s="168" t="e">
        <f t="shared" ref="Q18:Q21" ca="1" si="49">(W18-J18)*I18*IF(C18="B",1,-1)*IF(K18=0,1,0)</f>
        <v>#N/A</v>
      </c>
      <c r="R18" s="184">
        <f t="shared" ca="1" si="22"/>
        <v>0</v>
      </c>
      <c r="S18" s="124">
        <f t="shared" ref="S18:S21" ca="1" si="50">(1-$S$6)*J18</f>
        <v>0.40999999999999986</v>
      </c>
      <c r="T18" s="120">
        <f ca="1">VLOOKUP(TRIM($F18),Reference!B:C,2,0)</f>
        <v>221.6</v>
      </c>
      <c r="U18" s="181">
        <f t="shared" ca="1" si="24"/>
        <v>0</v>
      </c>
      <c r="V18" s="125" t="str">
        <f t="shared" ca="1" si="6"/>
        <v>TATAPOWER22FEB220PE</v>
      </c>
      <c r="W18" s="166" t="e">
        <f ca="1">VLOOKUP($V18,Reference!BA:BD,4,0)</f>
        <v>#N/A</v>
      </c>
      <c r="X18" s="168">
        <f t="shared" ca="1" si="7"/>
        <v>0</v>
      </c>
      <c r="Y18" s="168">
        <f t="shared" ca="1" si="8"/>
        <v>0</v>
      </c>
      <c r="Z18" s="168">
        <f t="shared" ca="1" si="25"/>
        <v>0</v>
      </c>
      <c r="AA18" s="168">
        <f t="shared" ca="1" si="9"/>
        <v>0</v>
      </c>
      <c r="AB18" s="168">
        <f t="shared" ca="1" si="10"/>
        <v>0</v>
      </c>
      <c r="AC18" s="124">
        <f t="shared" ca="1" si="11"/>
        <v>0</v>
      </c>
      <c r="AD18" s="120">
        <f t="shared" ref="AD18:AD21" ca="1" si="51">(H18-TODAY())/365</f>
        <v>-0.38630136986301372</v>
      </c>
      <c r="AE18" s="120">
        <f t="shared" ref="AE18:AE21" ca="1" si="52">IF(I18&lt;&gt;0,20,0)</f>
        <v>20</v>
      </c>
      <c r="AF18" s="120"/>
      <c r="AG18" s="120"/>
      <c r="AH18" s="120">
        <f t="shared" ca="1" si="14"/>
        <v>13.837499999999999</v>
      </c>
      <c r="AI18" s="120"/>
      <c r="AJ18" s="120">
        <f t="shared" ca="1" si="15"/>
        <v>0</v>
      </c>
      <c r="AK18" s="120"/>
      <c r="AL18" s="147"/>
      <c r="AM18" s="160"/>
      <c r="AN18" s="160"/>
      <c r="AO18" s="160"/>
      <c r="AP18" s="160"/>
      <c r="AQ18" s="160"/>
      <c r="AR18" s="160"/>
      <c r="AS18" s="160"/>
      <c r="AT18" s="160"/>
      <c r="AU18" s="160"/>
      <c r="AV18" s="160"/>
      <c r="AW18" s="160"/>
      <c r="AX18" s="160"/>
      <c r="AY18" s="160"/>
      <c r="AZ18" s="160"/>
      <c r="BA18" s="160"/>
      <c r="BB18" s="160"/>
      <c r="BC18" s="160"/>
      <c r="BD18" s="160"/>
      <c r="BE18" s="160"/>
      <c r="BF18" s="160"/>
      <c r="BG18" s="160"/>
      <c r="BS18" s="13">
        <v>2</v>
      </c>
      <c r="BT18" s="128">
        <v>44491</v>
      </c>
      <c r="BU18" s="121" t="s">
        <v>8</v>
      </c>
      <c r="BV18" s="120" t="s">
        <v>482</v>
      </c>
      <c r="BW18" s="121" t="s">
        <v>502</v>
      </c>
      <c r="BX18" s="120">
        <v>18400</v>
      </c>
      <c r="BY18" s="120">
        <v>41.7</v>
      </c>
      <c r="BZ18" s="120">
        <v>47.945</v>
      </c>
      <c r="CA18" s="124">
        <v>-3216.6708800000001</v>
      </c>
      <c r="CB18" s="120">
        <v>1.1497601918465228</v>
      </c>
      <c r="CC18" s="120">
        <v>500</v>
      </c>
      <c r="CD18" s="120">
        <v>50</v>
      </c>
      <c r="CE18" s="124">
        <v>20850</v>
      </c>
    </row>
    <row r="19" spans="1:83" hidden="1">
      <c r="A19" s="13">
        <f t="shared" ca="1" si="28"/>
        <v>12</v>
      </c>
      <c r="B19" s="128">
        <v>44600</v>
      </c>
      <c r="C19" s="121" t="s">
        <v>8</v>
      </c>
      <c r="D19" s="121">
        <v>1</v>
      </c>
      <c r="E19" s="120" t="s">
        <v>481</v>
      </c>
      <c r="F19" s="121" t="s">
        <v>130</v>
      </c>
      <c r="G19" s="120">
        <v>270</v>
      </c>
      <c r="H19" s="122">
        <v>44616</v>
      </c>
      <c r="I19" s="120">
        <v>6750</v>
      </c>
      <c r="J19" s="120">
        <v>2.25</v>
      </c>
      <c r="K19" s="120">
        <v>2.25</v>
      </c>
      <c r="L19" s="124">
        <f t="shared" ca="1" si="16"/>
        <v>0</v>
      </c>
      <c r="M19" s="124">
        <f t="shared" ca="1" si="17"/>
        <v>0</v>
      </c>
      <c r="N19" s="120">
        <f t="shared" ca="1" si="47"/>
        <v>1</v>
      </c>
      <c r="O19" s="164">
        <f t="shared" ca="1" si="48"/>
        <v>2.8125</v>
      </c>
      <c r="P19" s="168">
        <f t="shared" ca="1" si="20"/>
        <v>15187.5</v>
      </c>
      <c r="Q19" s="168" t="e">
        <f t="shared" ca="1" si="49"/>
        <v>#N/A</v>
      </c>
      <c r="R19" s="184">
        <f t="shared" ca="1" si="22"/>
        <v>0</v>
      </c>
      <c r="S19" s="124">
        <f t="shared" ca="1" si="50"/>
        <v>0.22499999999999995</v>
      </c>
      <c r="T19" s="120">
        <f ca="1">VLOOKUP(TRIM($F19),Reference!B:C,2,0)</f>
        <v>221.6</v>
      </c>
      <c r="U19" s="181">
        <f t="shared" ca="1" si="24"/>
        <v>0</v>
      </c>
      <c r="V19" s="125" t="str">
        <f t="shared" ca="1" si="6"/>
        <v>TATAPOWER22FEB270CE</v>
      </c>
      <c r="W19" s="166" t="e">
        <f ca="1">VLOOKUP($V19,Reference!BA:BD,4,0)</f>
        <v>#N/A</v>
      </c>
      <c r="X19" s="168">
        <f t="shared" ca="1" si="7"/>
        <v>0</v>
      </c>
      <c r="Y19" s="168">
        <f t="shared" ca="1" si="8"/>
        <v>0</v>
      </c>
      <c r="Z19" s="168">
        <f t="shared" ca="1" si="25"/>
        <v>0</v>
      </c>
      <c r="AA19" s="168">
        <f t="shared" ca="1" si="9"/>
        <v>0</v>
      </c>
      <c r="AB19" s="168">
        <f t="shared" ca="1" si="10"/>
        <v>0</v>
      </c>
      <c r="AC19" s="124">
        <f t="shared" ca="1" si="11"/>
        <v>0</v>
      </c>
      <c r="AD19" s="120">
        <f t="shared" ca="1" si="51"/>
        <v>-0.38630136986301372</v>
      </c>
      <c r="AE19" s="120">
        <f t="shared" ca="1" si="52"/>
        <v>20</v>
      </c>
      <c r="AF19" s="120"/>
      <c r="AG19" s="120"/>
      <c r="AH19" s="120">
        <f t="shared" ca="1" si="14"/>
        <v>7.59375</v>
      </c>
      <c r="AI19" s="120"/>
      <c r="AJ19" s="120">
        <f t="shared" ca="1" si="15"/>
        <v>0</v>
      </c>
      <c r="AK19" s="120"/>
      <c r="AL19" s="147"/>
      <c r="AM19" s="160"/>
      <c r="AN19" s="160"/>
      <c r="AO19" s="160"/>
      <c r="AP19" s="160"/>
      <c r="AQ19" s="160"/>
      <c r="AR19" s="160"/>
      <c r="AS19" s="160"/>
      <c r="AT19" s="160"/>
      <c r="AU19" s="160"/>
      <c r="AV19" s="160"/>
      <c r="AW19" s="160"/>
      <c r="AX19" s="160"/>
      <c r="AY19" s="160"/>
      <c r="AZ19" s="160"/>
      <c r="BA19" s="160"/>
      <c r="BB19" s="160"/>
      <c r="BC19" s="160"/>
      <c r="BD19" s="160"/>
      <c r="BE19" s="160"/>
      <c r="BF19" s="160"/>
      <c r="BG19" s="160"/>
      <c r="BS19" s="13">
        <v>2</v>
      </c>
      <c r="BT19" s="128">
        <v>44491</v>
      </c>
      <c r="BU19" s="121" t="s">
        <v>8</v>
      </c>
      <c r="BV19" s="120" t="s">
        <v>482</v>
      </c>
      <c r="BW19" s="121" t="s">
        <v>502</v>
      </c>
      <c r="BX19" s="120">
        <v>18400</v>
      </c>
      <c r="BY19" s="120">
        <v>41.7</v>
      </c>
      <c r="BZ19" s="120">
        <v>47.945</v>
      </c>
      <c r="CA19" s="124">
        <v>-3216.6708800000001</v>
      </c>
      <c r="CB19" s="120">
        <v>1.1497601918465228</v>
      </c>
      <c r="CC19" s="120">
        <v>500</v>
      </c>
      <c r="CD19" s="120">
        <v>50</v>
      </c>
      <c r="CE19" s="124">
        <v>20850</v>
      </c>
    </row>
    <row r="20" spans="1:83" hidden="1">
      <c r="A20" s="13">
        <f t="shared" ca="1" si="28"/>
        <v>13</v>
      </c>
      <c r="B20" s="128">
        <v>44600</v>
      </c>
      <c r="C20" s="121" t="s">
        <v>8</v>
      </c>
      <c r="D20" s="121">
        <v>1</v>
      </c>
      <c r="E20" s="120" t="s">
        <v>482</v>
      </c>
      <c r="F20" s="121" t="s">
        <v>390</v>
      </c>
      <c r="G20" s="120">
        <v>2200</v>
      </c>
      <c r="H20" s="122">
        <v>44616</v>
      </c>
      <c r="I20" s="120">
        <v>750</v>
      </c>
      <c r="J20" s="120">
        <v>15</v>
      </c>
      <c r="K20" s="120">
        <v>5</v>
      </c>
      <c r="L20" s="124">
        <f t="shared" ca="1" si="16"/>
        <v>0</v>
      </c>
      <c r="M20" s="124">
        <f t="shared" ca="1" si="17"/>
        <v>7500</v>
      </c>
      <c r="N20" s="120">
        <f t="shared" ca="1" si="47"/>
        <v>0.33333333333333331</v>
      </c>
      <c r="O20" s="164">
        <f t="shared" ca="1" si="48"/>
        <v>18.75</v>
      </c>
      <c r="P20" s="168">
        <f t="shared" ca="1" si="20"/>
        <v>11250</v>
      </c>
      <c r="Q20" s="168" t="e">
        <f t="shared" ca="1" si="49"/>
        <v>#N/A</v>
      </c>
      <c r="R20" s="184">
        <f t="shared" ca="1" si="22"/>
        <v>0</v>
      </c>
      <c r="S20" s="124">
        <f t="shared" ca="1" si="50"/>
        <v>1.4999999999999996</v>
      </c>
      <c r="T20" s="120">
        <f ca="1">VLOOKUP(TRIM($F20),Reference!B:C,2,0)</f>
        <v>2214</v>
      </c>
      <c r="U20" s="181">
        <f t="shared" ca="1" si="24"/>
        <v>0</v>
      </c>
      <c r="V20" s="125" t="str">
        <f t="shared" ca="1" si="6"/>
        <v>SRF22FEB2200PE</v>
      </c>
      <c r="W20" s="166" t="e">
        <f ca="1">VLOOKUP($V20,Reference!BA:BD,4,0)</f>
        <v>#N/A</v>
      </c>
      <c r="X20" s="168">
        <f t="shared" ca="1" si="7"/>
        <v>0</v>
      </c>
      <c r="Y20" s="168">
        <f t="shared" ca="1" si="8"/>
        <v>0</v>
      </c>
      <c r="Z20" s="168">
        <f t="shared" ca="1" si="25"/>
        <v>0</v>
      </c>
      <c r="AA20" s="168">
        <f t="shared" ca="1" si="9"/>
        <v>0</v>
      </c>
      <c r="AB20" s="168">
        <f t="shared" ca="1" si="10"/>
        <v>0</v>
      </c>
      <c r="AC20" s="124">
        <f t="shared" ca="1" si="11"/>
        <v>0</v>
      </c>
      <c r="AD20" s="120">
        <f t="shared" ca="1" si="51"/>
        <v>-0.38630136986301372</v>
      </c>
      <c r="AE20" s="120">
        <f t="shared" ca="1" si="52"/>
        <v>20</v>
      </c>
      <c r="AF20" s="120"/>
      <c r="AG20" s="120"/>
      <c r="AH20" s="120">
        <f t="shared" ca="1" si="14"/>
        <v>5.625</v>
      </c>
      <c r="AI20" s="120"/>
      <c r="AJ20" s="120">
        <f t="shared" ca="1" si="15"/>
        <v>0</v>
      </c>
      <c r="AK20" s="120"/>
      <c r="AM20" s="161"/>
      <c r="AN20" s="161"/>
      <c r="AO20" s="161"/>
      <c r="AP20" s="161"/>
      <c r="AQ20" s="161"/>
      <c r="AR20" s="161"/>
      <c r="AS20" s="161"/>
      <c r="AT20" s="161"/>
      <c r="AU20" s="161"/>
      <c r="AV20" s="161"/>
      <c r="AW20" s="161"/>
      <c r="AX20" s="161"/>
      <c r="AY20" s="161"/>
      <c r="AZ20" s="161"/>
      <c r="BA20" s="161"/>
      <c r="BB20" s="161"/>
      <c r="BC20" s="161"/>
      <c r="BD20" s="161"/>
      <c r="BE20" s="161"/>
      <c r="BF20" s="161"/>
      <c r="BG20" s="161"/>
      <c r="BS20" s="13">
        <v>2</v>
      </c>
      <c r="BT20" s="128">
        <v>44491</v>
      </c>
      <c r="BU20" s="121" t="s">
        <v>8</v>
      </c>
      <c r="BV20" s="120" t="s">
        <v>482</v>
      </c>
      <c r="BW20" s="121" t="s">
        <v>502</v>
      </c>
      <c r="BX20" s="120">
        <v>18400</v>
      </c>
      <c r="BY20" s="120">
        <v>41.7</v>
      </c>
      <c r="BZ20" s="120">
        <v>47.945</v>
      </c>
      <c r="CA20" s="124">
        <v>-3216.6708800000001</v>
      </c>
      <c r="CB20" s="120">
        <v>1.1497601918465228</v>
      </c>
      <c r="CC20" s="120">
        <v>500</v>
      </c>
      <c r="CD20" s="120">
        <v>50</v>
      </c>
      <c r="CE20" s="124">
        <v>20850</v>
      </c>
    </row>
    <row r="21" spans="1:83" hidden="1">
      <c r="A21" s="13">
        <f t="shared" ca="1" si="28"/>
        <v>14</v>
      </c>
      <c r="B21" s="128">
        <v>44600</v>
      </c>
      <c r="C21" s="121" t="s">
        <v>6</v>
      </c>
      <c r="D21" s="121">
        <v>1</v>
      </c>
      <c r="E21" s="120" t="s">
        <v>632</v>
      </c>
      <c r="F21" s="121" t="s">
        <v>130</v>
      </c>
      <c r="G21" s="120"/>
      <c r="H21" s="122">
        <v>44616</v>
      </c>
      <c r="I21" s="120">
        <v>6750</v>
      </c>
      <c r="J21" s="120">
        <v>236.4</v>
      </c>
      <c r="K21" s="120">
        <v>236.7</v>
      </c>
      <c r="L21" s="124">
        <f t="shared" ca="1" si="16"/>
        <v>0</v>
      </c>
      <c r="M21" s="124">
        <f t="shared" ca="1" si="17"/>
        <v>2024.9999999998849</v>
      </c>
      <c r="N21" s="120">
        <f t="shared" ca="1" si="47"/>
        <v>1.001269035532995</v>
      </c>
      <c r="O21" s="164">
        <f t="shared" ca="1" si="48"/>
        <v>177.3</v>
      </c>
      <c r="P21" s="168">
        <f t="shared" ca="1" si="20"/>
        <v>1595700</v>
      </c>
      <c r="Q21" s="168" t="e">
        <f t="shared" ca="1" si="49"/>
        <v>#N/A</v>
      </c>
      <c r="R21" s="184">
        <f t="shared" ca="1" si="22"/>
        <v>0</v>
      </c>
      <c r="S21" s="124">
        <f t="shared" ca="1" si="50"/>
        <v>23.639999999999997</v>
      </c>
      <c r="T21" s="120">
        <f ca="1">VLOOKUP(TRIM($F21),Reference!B:C,2,0)</f>
        <v>221.6</v>
      </c>
      <c r="U21" s="181">
        <f t="shared" ca="1" si="24"/>
        <v>0</v>
      </c>
      <c r="V21" s="125" t="str">
        <f t="shared" ca="1" si="6"/>
        <v>TATAPOWER22FEBFUT</v>
      </c>
      <c r="W21" s="166" t="e">
        <f ca="1">VLOOKUP($V21,Reference!BA:BD,4,0)</f>
        <v>#N/A</v>
      </c>
      <c r="X21" s="168">
        <f t="shared" ca="1" si="7"/>
        <v>0</v>
      </c>
      <c r="Y21" s="168">
        <f t="shared" ca="1" si="8"/>
        <v>0</v>
      </c>
      <c r="Z21" s="168">
        <f t="shared" ca="1" si="25"/>
        <v>0</v>
      </c>
      <c r="AA21" s="168">
        <f t="shared" ca="1" si="9"/>
        <v>0</v>
      </c>
      <c r="AB21" s="168">
        <f t="shared" ca="1" si="10"/>
        <v>0</v>
      </c>
      <c r="AC21" s="124">
        <f t="shared" ca="1" si="11"/>
        <v>0</v>
      </c>
      <c r="AD21" s="120">
        <f t="shared" ca="1" si="51"/>
        <v>-0.38630136986301372</v>
      </c>
      <c r="AE21" s="120">
        <f t="shared" ca="1" si="52"/>
        <v>20</v>
      </c>
      <c r="AF21" s="120"/>
      <c r="AG21" s="120"/>
      <c r="AH21" s="120">
        <f t="shared" ca="1" si="14"/>
        <v>0</v>
      </c>
      <c r="AI21" s="120"/>
      <c r="AJ21" s="120">
        <f t="shared" ca="1" si="15"/>
        <v>47.871000000000002</v>
      </c>
      <c r="AK21" s="120"/>
      <c r="AL21" s="147"/>
      <c r="AM21" s="160"/>
      <c r="AN21" s="160"/>
      <c r="AO21" s="160"/>
      <c r="AP21" s="160"/>
      <c r="AQ21" s="160"/>
      <c r="AR21" s="160"/>
      <c r="AS21" s="160"/>
      <c r="AT21" s="160"/>
      <c r="AU21" s="160"/>
      <c r="AV21" s="160"/>
      <c r="AW21" s="160"/>
      <c r="AX21" s="160"/>
      <c r="AY21" s="160"/>
      <c r="AZ21" s="160"/>
      <c r="BA21" s="160"/>
      <c r="BB21" s="160"/>
      <c r="BC21" s="160"/>
      <c r="BD21" s="160"/>
      <c r="BE21" s="160"/>
      <c r="BF21" s="160"/>
      <c r="BG21" s="160"/>
      <c r="BS21" s="13">
        <v>2</v>
      </c>
      <c r="BT21" s="128">
        <v>44491</v>
      </c>
      <c r="BU21" s="121" t="s">
        <v>8</v>
      </c>
      <c r="BV21" s="120" t="s">
        <v>482</v>
      </c>
      <c r="BW21" s="121" t="s">
        <v>502</v>
      </c>
      <c r="BX21" s="120">
        <v>18400</v>
      </c>
      <c r="BY21" s="120">
        <v>41.7</v>
      </c>
      <c r="BZ21" s="120">
        <v>47.945</v>
      </c>
      <c r="CA21" s="124">
        <v>-3216.6708800000001</v>
      </c>
      <c r="CB21" s="120">
        <v>1.1497601918465228</v>
      </c>
      <c r="CC21" s="120">
        <v>500</v>
      </c>
      <c r="CD21" s="120">
        <v>50</v>
      </c>
      <c r="CE21" s="124">
        <v>20850</v>
      </c>
    </row>
    <row r="22" spans="1:83" hidden="1">
      <c r="A22" s="13">
        <f t="shared" ca="1" si="28"/>
        <v>15</v>
      </c>
      <c r="B22" s="128">
        <v>44602</v>
      </c>
      <c r="C22" s="121" t="s">
        <v>8</v>
      </c>
      <c r="D22" s="121">
        <v>1</v>
      </c>
      <c r="E22" s="120" t="s">
        <v>481</v>
      </c>
      <c r="F22" s="121" t="s">
        <v>284</v>
      </c>
      <c r="G22" s="120">
        <v>570</v>
      </c>
      <c r="H22" s="122">
        <v>44616</v>
      </c>
      <c r="I22" s="120">
        <v>2850</v>
      </c>
      <c r="J22" s="120">
        <v>1.7</v>
      </c>
      <c r="K22" s="120">
        <v>1.1499999999999999</v>
      </c>
      <c r="L22" s="124">
        <f t="shared" ca="1" si="16"/>
        <v>0</v>
      </c>
      <c r="M22" s="124">
        <f t="shared" ca="1" si="17"/>
        <v>1567.5000000000002</v>
      </c>
      <c r="N22" s="120">
        <f t="shared" ref="N22:N25" ca="1" si="53">K22/$J22</f>
        <v>0.67647058823529405</v>
      </c>
      <c r="O22" s="164">
        <f t="shared" ref="O22:O25" ca="1" si="54">J22*(1+$O$6*IF(C22="B",-1,1))</f>
        <v>2.125</v>
      </c>
      <c r="P22" s="168">
        <f t="shared" ca="1" si="20"/>
        <v>4845</v>
      </c>
      <c r="Q22" s="168" t="e">
        <f t="shared" ref="Q22:Q25" ca="1" si="55">(W22-J22)*I22*IF(C22="B",1,-1)*IF(K22=0,1,0)</f>
        <v>#N/A</v>
      </c>
      <c r="R22" s="184">
        <f t="shared" ca="1" si="22"/>
        <v>0</v>
      </c>
      <c r="S22" s="124">
        <f t="shared" ref="S22:S25" ca="1" si="56">(1-$S$6)*J22</f>
        <v>0.16999999999999996</v>
      </c>
      <c r="T22" s="120">
        <f ca="1">VLOOKUP(TRIM($F22),Reference!B:C,2,0)</f>
        <v>428</v>
      </c>
      <c r="U22" s="181">
        <f t="shared" ca="1" si="24"/>
        <v>0</v>
      </c>
      <c r="V22" s="125" t="str">
        <f t="shared" ca="1" si="6"/>
        <v>TATAMOTORS22FEB570CE</v>
      </c>
      <c r="W22" s="166" t="e">
        <f ca="1">VLOOKUP($V22,Reference!BA:BD,4,0)</f>
        <v>#N/A</v>
      </c>
      <c r="X22" s="168">
        <f t="shared" ca="1" si="7"/>
        <v>0</v>
      </c>
      <c r="Y22" s="168">
        <f t="shared" ca="1" si="8"/>
        <v>0</v>
      </c>
      <c r="Z22" s="168">
        <f t="shared" ca="1" si="25"/>
        <v>0</v>
      </c>
      <c r="AA22" s="168">
        <f t="shared" ca="1" si="9"/>
        <v>0</v>
      </c>
      <c r="AB22" s="168">
        <f t="shared" ca="1" si="10"/>
        <v>0</v>
      </c>
      <c r="AC22" s="124">
        <f t="shared" ca="1" si="11"/>
        <v>0</v>
      </c>
      <c r="AD22" s="120">
        <f t="shared" ref="AD22:AD25" ca="1" si="57">(H22-TODAY())/365</f>
        <v>-0.38630136986301372</v>
      </c>
      <c r="AE22" s="120">
        <f t="shared" ref="AE22:AE25" ca="1" si="58">IF(I22&lt;&gt;0,20,0)</f>
        <v>20</v>
      </c>
      <c r="AF22" s="120"/>
      <c r="AG22" s="120"/>
      <c r="AH22" s="120">
        <f t="shared" ca="1" si="14"/>
        <v>2.4224999999999999</v>
      </c>
      <c r="AI22" s="120"/>
      <c r="AJ22" s="120">
        <f t="shared" ca="1" si="15"/>
        <v>0</v>
      </c>
      <c r="AK22" s="120"/>
      <c r="AL22" s="147"/>
      <c r="AM22" s="160"/>
      <c r="AN22" s="160"/>
      <c r="AO22" s="160"/>
      <c r="AP22" s="160"/>
      <c r="AQ22" s="160"/>
      <c r="AR22" s="160"/>
      <c r="AS22" s="160"/>
      <c r="AT22" s="160"/>
      <c r="AU22" s="160"/>
      <c r="AV22" s="160"/>
      <c r="AW22" s="160"/>
      <c r="AX22" s="160"/>
      <c r="AY22" s="160"/>
      <c r="AZ22" s="160"/>
      <c r="BA22" s="160"/>
      <c r="BB22" s="160"/>
      <c r="BC22" s="160"/>
      <c r="BD22" s="160"/>
      <c r="BE22" s="160"/>
      <c r="BF22" s="160"/>
      <c r="BG22" s="160"/>
      <c r="BS22" s="13">
        <v>2</v>
      </c>
      <c r="BT22" s="128">
        <v>44491</v>
      </c>
      <c r="BU22" s="121" t="s">
        <v>8</v>
      </c>
      <c r="BV22" s="120" t="s">
        <v>482</v>
      </c>
      <c r="BW22" s="121" t="s">
        <v>502</v>
      </c>
      <c r="BX22" s="120">
        <v>18400</v>
      </c>
      <c r="BY22" s="120">
        <v>41.7</v>
      </c>
      <c r="BZ22" s="120">
        <v>47.945</v>
      </c>
      <c r="CA22" s="124">
        <v>-3216.6708800000001</v>
      </c>
      <c r="CB22" s="120">
        <v>1.1497601918465228</v>
      </c>
      <c r="CC22" s="120">
        <v>500</v>
      </c>
      <c r="CD22" s="120">
        <v>50</v>
      </c>
      <c r="CE22" s="124">
        <v>20850</v>
      </c>
    </row>
    <row r="23" spans="1:83" hidden="1">
      <c r="A23" s="13">
        <f t="shared" ca="1" si="28"/>
        <v>16</v>
      </c>
      <c r="B23" s="128">
        <v>44602</v>
      </c>
      <c r="C23" s="121" t="s">
        <v>8</v>
      </c>
      <c r="D23" s="121">
        <v>1</v>
      </c>
      <c r="E23" s="120" t="s">
        <v>482</v>
      </c>
      <c r="F23" s="121" t="s">
        <v>284</v>
      </c>
      <c r="G23" s="120">
        <v>450</v>
      </c>
      <c r="H23" s="122">
        <v>44616</v>
      </c>
      <c r="I23" s="120">
        <v>2850</v>
      </c>
      <c r="J23" s="120">
        <v>1.35</v>
      </c>
      <c r="K23" s="120">
        <v>3.75</v>
      </c>
      <c r="L23" s="124">
        <f t="shared" ca="1" si="16"/>
        <v>0</v>
      </c>
      <c r="M23" s="124">
        <f t="shared" ca="1" si="17"/>
        <v>-6840</v>
      </c>
      <c r="N23" s="120">
        <f t="shared" ca="1" si="53"/>
        <v>2.7777777777777777</v>
      </c>
      <c r="O23" s="164">
        <f t="shared" ca="1" si="54"/>
        <v>1.6875</v>
      </c>
      <c r="P23" s="168">
        <f t="shared" ca="1" si="20"/>
        <v>3847.5000000000005</v>
      </c>
      <c r="Q23" s="168" t="e">
        <f t="shared" ca="1" si="55"/>
        <v>#N/A</v>
      </c>
      <c r="R23" s="184">
        <f t="shared" ca="1" si="22"/>
        <v>0</v>
      </c>
      <c r="S23" s="124">
        <f t="shared" ca="1" si="56"/>
        <v>0.13499999999999998</v>
      </c>
      <c r="T23" s="120">
        <f ca="1">VLOOKUP(TRIM($F23),Reference!B:C,2,0)</f>
        <v>428</v>
      </c>
      <c r="U23" s="181">
        <f t="shared" ca="1" si="24"/>
        <v>0</v>
      </c>
      <c r="V23" s="125" t="str">
        <f t="shared" ca="1" si="6"/>
        <v>TATAMOTORS22FEB450PE</v>
      </c>
      <c r="W23" s="166" t="e">
        <f ca="1">VLOOKUP($V23,Reference!BA:BD,4,0)</f>
        <v>#N/A</v>
      </c>
      <c r="X23" s="168">
        <f t="shared" ca="1" si="7"/>
        <v>0</v>
      </c>
      <c r="Y23" s="168">
        <f t="shared" ca="1" si="8"/>
        <v>0</v>
      </c>
      <c r="Z23" s="168">
        <f t="shared" ca="1" si="25"/>
        <v>0</v>
      </c>
      <c r="AA23" s="168">
        <f t="shared" ca="1" si="9"/>
        <v>0</v>
      </c>
      <c r="AB23" s="168">
        <f t="shared" ca="1" si="10"/>
        <v>0</v>
      </c>
      <c r="AC23" s="124">
        <f t="shared" ca="1" si="11"/>
        <v>0</v>
      </c>
      <c r="AD23" s="120">
        <f t="shared" ca="1" si="57"/>
        <v>-0.38630136986301372</v>
      </c>
      <c r="AE23" s="120">
        <f t="shared" ca="1" si="58"/>
        <v>20</v>
      </c>
      <c r="AF23" s="120"/>
      <c r="AG23" s="120"/>
      <c r="AH23" s="120">
        <f t="shared" ca="1" si="14"/>
        <v>1.9237500000000003</v>
      </c>
      <c r="AI23" s="120"/>
      <c r="AJ23" s="120">
        <f t="shared" ca="1" si="15"/>
        <v>0</v>
      </c>
      <c r="AK23" s="120"/>
      <c r="AL23" s="147"/>
      <c r="AM23" s="160"/>
      <c r="AN23" s="160"/>
      <c r="AO23" s="160"/>
      <c r="AP23" s="160"/>
      <c r="AQ23" s="160"/>
      <c r="AR23" s="160"/>
      <c r="AS23" s="160"/>
      <c r="AT23" s="160"/>
      <c r="AU23" s="160"/>
      <c r="AV23" s="160"/>
      <c r="AW23" s="160"/>
      <c r="AX23" s="160"/>
      <c r="AY23" s="160"/>
      <c r="AZ23" s="160"/>
      <c r="BA23" s="160"/>
      <c r="BB23" s="160"/>
      <c r="BC23" s="160"/>
      <c r="BD23" s="160"/>
      <c r="BE23" s="160"/>
      <c r="BF23" s="160"/>
      <c r="BG23" s="160"/>
      <c r="BS23" s="13">
        <v>2</v>
      </c>
      <c r="BT23" s="128">
        <v>44491</v>
      </c>
      <c r="BU23" s="121" t="s">
        <v>8</v>
      </c>
      <c r="BV23" s="120" t="s">
        <v>482</v>
      </c>
      <c r="BW23" s="121" t="s">
        <v>502</v>
      </c>
      <c r="BX23" s="120">
        <v>18400</v>
      </c>
      <c r="BY23" s="120">
        <v>41.7</v>
      </c>
      <c r="BZ23" s="120">
        <v>47.945</v>
      </c>
      <c r="CA23" s="124">
        <v>-3216.6708800000001</v>
      </c>
      <c r="CB23" s="120">
        <v>1.1497601918465228</v>
      </c>
      <c r="CC23" s="120">
        <v>500</v>
      </c>
      <c r="CD23" s="120">
        <v>50</v>
      </c>
      <c r="CE23" s="124">
        <v>20850</v>
      </c>
    </row>
    <row r="24" spans="1:83" hidden="1">
      <c r="A24" s="13">
        <f t="shared" ca="1" si="28"/>
        <v>17</v>
      </c>
      <c r="B24" s="128">
        <v>44602</v>
      </c>
      <c r="C24" s="121" t="s">
        <v>6</v>
      </c>
      <c r="D24" s="121">
        <v>1</v>
      </c>
      <c r="E24" s="120" t="s">
        <v>632</v>
      </c>
      <c r="F24" s="121" t="s">
        <v>130</v>
      </c>
      <c r="G24" s="120"/>
      <c r="H24" s="122">
        <v>44616</v>
      </c>
      <c r="I24" s="120">
        <v>6750</v>
      </c>
      <c r="J24" s="120">
        <v>242.2</v>
      </c>
      <c r="K24" s="120">
        <v>234.2</v>
      </c>
      <c r="L24" s="124">
        <f t="shared" ca="1" si="16"/>
        <v>0</v>
      </c>
      <c r="M24" s="124">
        <f t="shared" ca="1" si="17"/>
        <v>-54000</v>
      </c>
      <c r="N24" s="120">
        <f t="shared" ca="1" si="53"/>
        <v>0.96696944673823282</v>
      </c>
      <c r="O24" s="164">
        <f t="shared" ca="1" si="54"/>
        <v>181.64999999999998</v>
      </c>
      <c r="P24" s="168">
        <f t="shared" ca="1" si="20"/>
        <v>1634850</v>
      </c>
      <c r="Q24" s="168" t="e">
        <f t="shared" ca="1" si="55"/>
        <v>#N/A</v>
      </c>
      <c r="R24" s="184">
        <f t="shared" ca="1" si="22"/>
        <v>0</v>
      </c>
      <c r="S24" s="124">
        <f t="shared" ca="1" si="56"/>
        <v>24.219999999999992</v>
      </c>
      <c r="T24" s="120">
        <f ca="1">VLOOKUP(TRIM($F24),Reference!B:C,2,0)</f>
        <v>221.6</v>
      </c>
      <c r="U24" s="181">
        <f t="shared" ca="1" si="24"/>
        <v>0</v>
      </c>
      <c r="V24" s="125" t="str">
        <f t="shared" ca="1" si="6"/>
        <v>TATAPOWER22FEBFUT</v>
      </c>
      <c r="W24" s="166" t="e">
        <f ca="1">VLOOKUP($V24,Reference!BA:BD,4,0)</f>
        <v>#N/A</v>
      </c>
      <c r="X24" s="168">
        <f t="shared" ca="1" si="7"/>
        <v>0</v>
      </c>
      <c r="Y24" s="168">
        <f t="shared" ca="1" si="8"/>
        <v>0</v>
      </c>
      <c r="Z24" s="168">
        <f t="shared" ca="1" si="25"/>
        <v>0</v>
      </c>
      <c r="AA24" s="168">
        <f t="shared" ca="1" si="9"/>
        <v>0</v>
      </c>
      <c r="AB24" s="168">
        <f t="shared" ca="1" si="10"/>
        <v>0</v>
      </c>
      <c r="AC24" s="124">
        <f t="shared" ca="1" si="11"/>
        <v>0</v>
      </c>
      <c r="AD24" s="120">
        <f t="shared" ca="1" si="57"/>
        <v>-0.38630136986301372</v>
      </c>
      <c r="AE24" s="120">
        <f t="shared" ca="1" si="58"/>
        <v>20</v>
      </c>
      <c r="AF24" s="120"/>
      <c r="AG24" s="120"/>
      <c r="AH24" s="120">
        <f t="shared" ca="1" si="14"/>
        <v>0</v>
      </c>
      <c r="AI24" s="120"/>
      <c r="AJ24" s="120">
        <f t="shared" ca="1" si="15"/>
        <v>49.045500000000004</v>
      </c>
      <c r="AK24" s="120"/>
      <c r="AL24" s="147"/>
      <c r="AM24" s="160"/>
      <c r="AN24" s="160"/>
      <c r="AO24" s="160"/>
      <c r="AP24" s="160"/>
      <c r="AQ24" s="160"/>
      <c r="AR24" s="160"/>
      <c r="AS24" s="160"/>
      <c r="AT24" s="160"/>
      <c r="AU24" s="160"/>
      <c r="AV24" s="160"/>
      <c r="AW24" s="160"/>
      <c r="AX24" s="160"/>
      <c r="AY24" s="160"/>
      <c r="AZ24" s="160"/>
      <c r="BA24" s="160"/>
      <c r="BB24" s="160"/>
      <c r="BC24" s="160"/>
      <c r="BD24" s="160"/>
      <c r="BE24" s="160"/>
      <c r="BF24" s="160"/>
      <c r="BG24" s="160"/>
      <c r="BS24" s="13">
        <v>2</v>
      </c>
      <c r="BT24" s="128">
        <v>44491</v>
      </c>
      <c r="BU24" s="121" t="s">
        <v>8</v>
      </c>
      <c r="BV24" s="120" t="s">
        <v>482</v>
      </c>
      <c r="BW24" s="121" t="s">
        <v>502</v>
      </c>
      <c r="BX24" s="120">
        <v>18400</v>
      </c>
      <c r="BY24" s="120">
        <v>41.7</v>
      </c>
      <c r="BZ24" s="120">
        <v>47.945</v>
      </c>
      <c r="CA24" s="124">
        <v>-3216.6708800000001</v>
      </c>
      <c r="CB24" s="120">
        <v>1.1497601918465228</v>
      </c>
      <c r="CC24" s="120">
        <v>500</v>
      </c>
      <c r="CD24" s="120">
        <v>50</v>
      </c>
      <c r="CE24" s="124">
        <v>20850</v>
      </c>
    </row>
    <row r="25" spans="1:83" hidden="1">
      <c r="A25" s="13">
        <f t="shared" ca="1" si="28"/>
        <v>18</v>
      </c>
      <c r="B25" s="128">
        <v>44602</v>
      </c>
      <c r="C25" s="121" t="s">
        <v>8</v>
      </c>
      <c r="D25" s="121">
        <v>1</v>
      </c>
      <c r="E25" s="120" t="s">
        <v>481</v>
      </c>
      <c r="F25" s="121" t="s">
        <v>130</v>
      </c>
      <c r="G25" s="120">
        <v>260</v>
      </c>
      <c r="H25" s="122">
        <v>44616</v>
      </c>
      <c r="I25" s="120">
        <v>20250</v>
      </c>
      <c r="J25" s="120">
        <v>2.4</v>
      </c>
      <c r="K25" s="120">
        <v>0.05</v>
      </c>
      <c r="L25" s="124">
        <f t="shared" ca="1" si="16"/>
        <v>0</v>
      </c>
      <c r="M25" s="124">
        <f t="shared" ca="1" si="17"/>
        <v>47587.5</v>
      </c>
      <c r="N25" s="120">
        <f t="shared" ca="1" si="53"/>
        <v>2.0833333333333336E-2</v>
      </c>
      <c r="O25" s="164">
        <f t="shared" ca="1" si="54"/>
        <v>3</v>
      </c>
      <c r="P25" s="168">
        <f t="shared" ca="1" si="20"/>
        <v>48600</v>
      </c>
      <c r="Q25" s="168" t="e">
        <f t="shared" ca="1" si="55"/>
        <v>#N/A</v>
      </c>
      <c r="R25" s="184">
        <f t="shared" ca="1" si="22"/>
        <v>0</v>
      </c>
      <c r="S25" s="124">
        <f t="shared" ca="1" si="56"/>
        <v>0.23999999999999994</v>
      </c>
      <c r="T25" s="120">
        <f ca="1">VLOOKUP(TRIM($F25),Reference!B:C,2,0)</f>
        <v>221.6</v>
      </c>
      <c r="U25" s="181">
        <f t="shared" ca="1" si="24"/>
        <v>0</v>
      </c>
      <c r="V25" s="125" t="str">
        <f t="shared" ca="1" si="6"/>
        <v>TATAPOWER22FEB260CE</v>
      </c>
      <c r="W25" s="166" t="e">
        <f ca="1">VLOOKUP($V25,Reference!BA:BD,4,0)</f>
        <v>#N/A</v>
      </c>
      <c r="X25" s="168">
        <f t="shared" ca="1" si="7"/>
        <v>0</v>
      </c>
      <c r="Y25" s="168">
        <f t="shared" ca="1" si="8"/>
        <v>0</v>
      </c>
      <c r="Z25" s="168">
        <f t="shared" ca="1" si="25"/>
        <v>0</v>
      </c>
      <c r="AA25" s="168">
        <f t="shared" ca="1" si="9"/>
        <v>0</v>
      </c>
      <c r="AB25" s="168">
        <f t="shared" ca="1" si="10"/>
        <v>0</v>
      </c>
      <c r="AC25" s="124">
        <f t="shared" ca="1" si="11"/>
        <v>0</v>
      </c>
      <c r="AD25" s="120">
        <f t="shared" ca="1" si="57"/>
        <v>-0.38630136986301372</v>
      </c>
      <c r="AE25" s="120">
        <f t="shared" ca="1" si="58"/>
        <v>20</v>
      </c>
      <c r="AF25" s="120"/>
      <c r="AG25" s="120"/>
      <c r="AH25" s="120">
        <f t="shared" ca="1" si="14"/>
        <v>24.3</v>
      </c>
      <c r="AI25" s="120"/>
      <c r="AJ25" s="120">
        <f t="shared" ca="1" si="15"/>
        <v>0</v>
      </c>
      <c r="AK25" s="120"/>
      <c r="AL25" s="147"/>
      <c r="AM25" s="160"/>
      <c r="AN25" s="160"/>
      <c r="AO25" s="160"/>
      <c r="AP25" s="160"/>
      <c r="AQ25" s="160"/>
      <c r="AR25" s="160"/>
      <c r="AS25" s="160"/>
      <c r="AT25" s="160"/>
      <c r="AU25" s="160"/>
      <c r="AV25" s="160"/>
      <c r="AW25" s="160"/>
      <c r="AX25" s="160"/>
      <c r="AY25" s="160"/>
      <c r="AZ25" s="160"/>
      <c r="BA25" s="160"/>
      <c r="BB25" s="160"/>
      <c r="BC25" s="160"/>
      <c r="BD25" s="160"/>
      <c r="BE25" s="160"/>
      <c r="BF25" s="160"/>
      <c r="BG25" s="160"/>
      <c r="BS25" s="13">
        <v>2</v>
      </c>
      <c r="BT25" s="128">
        <v>44491</v>
      </c>
      <c r="BU25" s="121" t="s">
        <v>8</v>
      </c>
      <c r="BV25" s="120" t="s">
        <v>482</v>
      </c>
      <c r="BW25" s="121" t="s">
        <v>502</v>
      </c>
      <c r="BX25" s="120">
        <v>18400</v>
      </c>
      <c r="BY25" s="120">
        <v>41.7</v>
      </c>
      <c r="BZ25" s="120">
        <v>47.945</v>
      </c>
      <c r="CA25" s="124">
        <v>-3216.6708800000001</v>
      </c>
      <c r="CB25" s="120">
        <v>1.1497601918465228</v>
      </c>
      <c r="CC25" s="120">
        <v>500</v>
      </c>
      <c r="CD25" s="120">
        <v>50</v>
      </c>
      <c r="CE25" s="124">
        <v>20850</v>
      </c>
    </row>
    <row r="26" spans="1:83" hidden="1">
      <c r="A26" s="13">
        <f t="shared" ca="1" si="28"/>
        <v>19</v>
      </c>
      <c r="B26" s="128">
        <v>44606</v>
      </c>
      <c r="C26" s="121" t="s">
        <v>6</v>
      </c>
      <c r="D26" s="121">
        <v>1</v>
      </c>
      <c r="E26" s="120" t="s">
        <v>632</v>
      </c>
      <c r="F26" s="121" t="s">
        <v>502</v>
      </c>
      <c r="G26" s="120"/>
      <c r="H26" s="122">
        <v>44651</v>
      </c>
      <c r="I26" s="120">
        <v>50</v>
      </c>
      <c r="J26" s="120">
        <v>17102</v>
      </c>
      <c r="K26" s="120">
        <v>17442.650000000001</v>
      </c>
      <c r="L26" s="124">
        <f t="shared" ca="1" si="16"/>
        <v>0</v>
      </c>
      <c r="M26" s="124">
        <f t="shared" ca="1" si="17"/>
        <v>17032.500000000073</v>
      </c>
      <c r="N26" s="120">
        <f t="shared" ref="N26" ca="1" si="59">K26/$J26</f>
        <v>1.0199187229563795</v>
      </c>
      <c r="O26" s="164">
        <f t="shared" ref="O26" ca="1" si="60">J26*(1+$O$6*IF(C26="B",-1,1))</f>
        <v>12826.5</v>
      </c>
      <c r="P26" s="168">
        <f t="shared" ca="1" si="20"/>
        <v>855100</v>
      </c>
      <c r="Q26" s="168" t="e">
        <f t="shared" ref="Q26" ca="1" si="61">(W26-J26)*I26*IF(C26="B",1,-1)*IF(K26=0,1,0)</f>
        <v>#N/A</v>
      </c>
      <c r="R26" s="184">
        <f t="shared" ca="1" si="22"/>
        <v>0</v>
      </c>
      <c r="S26" s="124">
        <f t="shared" ref="S26" ca="1" si="62">(1-$S$6)*J26</f>
        <v>1710.1999999999996</v>
      </c>
      <c r="T26" s="120">
        <f ca="1">VLOOKUP(TRIM($F26),Reference!B:C,2,0)</f>
        <v>15938.65</v>
      </c>
      <c r="U26" s="181">
        <f t="shared" ref="U26" ca="1" si="63">AC26</f>
        <v>0</v>
      </c>
      <c r="V26" s="125" t="str">
        <f t="shared" ca="1" si="6"/>
        <v>NIFTY22MARFUT</v>
      </c>
      <c r="W26" s="166" t="e">
        <f ca="1">VLOOKUP($V26,Reference!BA:BD,4,0)</f>
        <v>#N/A</v>
      </c>
      <c r="X26" s="168">
        <f t="shared" ca="1" si="7"/>
        <v>0</v>
      </c>
      <c r="Y26" s="168">
        <f t="shared" ca="1" si="8"/>
        <v>0</v>
      </c>
      <c r="Z26" s="168">
        <f t="shared" ca="1" si="25"/>
        <v>0</v>
      </c>
      <c r="AA26" s="168">
        <f t="shared" ca="1" si="9"/>
        <v>0</v>
      </c>
      <c r="AB26" s="168">
        <f t="shared" ca="1" si="10"/>
        <v>0</v>
      </c>
      <c r="AC26" s="124">
        <f t="shared" ca="1" si="11"/>
        <v>0</v>
      </c>
      <c r="AD26" s="120">
        <f t="shared" ref="AD26" ca="1" si="64">(H26-TODAY())/365</f>
        <v>-0.29041095890410956</v>
      </c>
      <c r="AE26" s="120">
        <f t="shared" ref="AE26" ca="1" si="65">IF(I26&lt;&gt;0,20,0)</f>
        <v>20</v>
      </c>
      <c r="AF26" s="120"/>
      <c r="AG26" s="120"/>
      <c r="AH26" s="120">
        <f t="shared" ca="1" si="14"/>
        <v>0</v>
      </c>
      <c r="AI26" s="120"/>
      <c r="AJ26" s="120">
        <f t="shared" ca="1" si="15"/>
        <v>25.653000000000002</v>
      </c>
      <c r="AK26" s="120"/>
      <c r="AL26" s="147"/>
      <c r="AM26" s="160"/>
      <c r="AN26" s="160"/>
      <c r="AO26" s="160"/>
      <c r="AP26" s="160"/>
      <c r="AQ26" s="160"/>
      <c r="AR26" s="160"/>
      <c r="AS26" s="160"/>
      <c r="AT26" s="160"/>
      <c r="AU26" s="160"/>
      <c r="AV26" s="160"/>
      <c r="AW26" s="160"/>
      <c r="AX26" s="160"/>
      <c r="AY26" s="160"/>
      <c r="AZ26" s="160"/>
      <c r="BA26" s="160"/>
      <c r="BB26" s="160"/>
      <c r="BC26" s="160"/>
      <c r="BD26" s="160"/>
      <c r="BE26" s="160"/>
      <c r="BF26" s="160"/>
      <c r="BG26" s="160"/>
      <c r="BS26" s="13">
        <v>2</v>
      </c>
      <c r="BT26" s="128">
        <v>44491</v>
      </c>
      <c r="BU26" s="121" t="s">
        <v>8</v>
      </c>
      <c r="BV26" s="120" t="s">
        <v>482</v>
      </c>
      <c r="BW26" s="121" t="s">
        <v>502</v>
      </c>
      <c r="BX26" s="120">
        <v>18400</v>
      </c>
      <c r="BY26" s="120">
        <v>41.7</v>
      </c>
      <c r="BZ26" s="120">
        <v>47.945</v>
      </c>
      <c r="CA26" s="124">
        <v>-3216.6708800000001</v>
      </c>
      <c r="CB26" s="120">
        <v>1.1497601918465228</v>
      </c>
      <c r="CC26" s="120">
        <v>500</v>
      </c>
      <c r="CD26" s="120">
        <v>50</v>
      </c>
      <c r="CE26" s="124">
        <v>20850</v>
      </c>
    </row>
    <row r="27" spans="1:83" hidden="1">
      <c r="A27" s="13">
        <f t="shared" ca="1" si="28"/>
        <v>20</v>
      </c>
      <c r="B27" s="128">
        <v>44607</v>
      </c>
      <c r="C27" s="121" t="s">
        <v>8</v>
      </c>
      <c r="D27" s="121">
        <v>1</v>
      </c>
      <c r="E27" s="120" t="s">
        <v>482</v>
      </c>
      <c r="F27" s="121" t="s">
        <v>502</v>
      </c>
      <c r="G27" s="120">
        <v>14500</v>
      </c>
      <c r="H27" s="122">
        <v>44651</v>
      </c>
      <c r="I27" s="120">
        <v>200</v>
      </c>
      <c r="J27" s="120">
        <v>36.92</v>
      </c>
      <c r="K27" s="120">
        <v>127.75</v>
      </c>
      <c r="L27" s="124">
        <f t="shared" ca="1" si="16"/>
        <v>0</v>
      </c>
      <c r="M27" s="124">
        <f t="shared" ca="1" si="17"/>
        <v>-18166</v>
      </c>
      <c r="N27" s="120">
        <f t="shared" ref="N27:N29" ca="1" si="66">K27/$J27</f>
        <v>3.4601841820151678</v>
      </c>
      <c r="O27" s="164">
        <f t="shared" ref="O27:O29" ca="1" si="67">J27*(1+$O$6*IF(C27="B",-1,1))</f>
        <v>46.150000000000006</v>
      </c>
      <c r="P27" s="168">
        <f t="shared" ca="1" si="20"/>
        <v>7384</v>
      </c>
      <c r="Q27" s="168" t="e">
        <f t="shared" ref="Q27:Q29" ca="1" si="68">(W27-J27)*I27*IF(C27="B",1,-1)*IF(K27=0,1,0)</f>
        <v>#N/A</v>
      </c>
      <c r="R27" s="184">
        <f t="shared" ca="1" si="22"/>
        <v>0</v>
      </c>
      <c r="S27" s="124">
        <f t="shared" ref="S27:S29" ca="1" si="69">(1-$S$6)*J27</f>
        <v>3.6919999999999993</v>
      </c>
      <c r="T27" s="120">
        <f ca="1">VLOOKUP(TRIM($F27),Reference!B:C,2,0)</f>
        <v>15938.65</v>
      </c>
      <c r="U27" s="125">
        <f t="shared" ref="U27:U29" ca="1" si="70">AC27</f>
        <v>0</v>
      </c>
      <c r="V27" s="125" t="str">
        <f t="shared" ca="1" si="6"/>
        <v>NIFTY22MAR14500PE</v>
      </c>
      <c r="W27" s="166" t="e">
        <f ca="1">VLOOKUP($V27,Reference!BA:BD,4,0)</f>
        <v>#N/A</v>
      </c>
      <c r="X27" s="168">
        <f t="shared" ca="1" si="7"/>
        <v>0</v>
      </c>
      <c r="Y27" s="168">
        <f t="shared" ca="1" si="8"/>
        <v>0</v>
      </c>
      <c r="Z27" s="168">
        <f t="shared" ca="1" si="25"/>
        <v>0</v>
      </c>
      <c r="AA27" s="168">
        <f t="shared" ca="1" si="9"/>
        <v>0</v>
      </c>
      <c r="AB27" s="168">
        <f t="shared" ca="1" si="10"/>
        <v>0</v>
      </c>
      <c r="AC27" s="124">
        <f t="shared" ca="1" si="11"/>
        <v>0</v>
      </c>
      <c r="AD27" s="120">
        <f t="shared" ref="AD27:AD29" ca="1" si="71">(H27-TODAY())/365</f>
        <v>-0.29041095890410956</v>
      </c>
      <c r="AE27" s="120">
        <f t="shared" ref="AE27:AE29" ca="1" si="72">IF(I27&lt;&gt;0,20,0)</f>
        <v>20</v>
      </c>
      <c r="AF27" s="120"/>
      <c r="AG27" s="120"/>
      <c r="AH27" s="120">
        <f t="shared" ca="1" si="14"/>
        <v>3.6920000000000002</v>
      </c>
      <c r="AI27" s="120"/>
      <c r="AJ27" s="120">
        <f t="shared" ca="1" si="15"/>
        <v>0</v>
      </c>
      <c r="AK27" s="120"/>
      <c r="AL27" s="145">
        <v>1</v>
      </c>
      <c r="AM27" s="161"/>
      <c r="AN27" s="161"/>
      <c r="AO27" s="161"/>
      <c r="AP27" s="161"/>
      <c r="AQ27" s="161"/>
      <c r="AR27" s="161"/>
      <c r="AS27" s="161"/>
      <c r="AT27" s="161"/>
      <c r="AU27" s="161"/>
      <c r="AV27" s="161"/>
      <c r="AW27" s="161"/>
      <c r="AX27" s="161"/>
      <c r="AY27" s="161"/>
      <c r="AZ27" s="161"/>
      <c r="BA27" s="161"/>
      <c r="BB27" s="161"/>
      <c r="BC27" s="161"/>
      <c r="BD27" s="161"/>
      <c r="BE27" s="161"/>
      <c r="BF27" s="161"/>
      <c r="BG27" s="161"/>
      <c r="BS27" s="11">
        <v>3</v>
      </c>
      <c r="BT27" s="11">
        <v>44491</v>
      </c>
      <c r="BU27" s="11" t="s">
        <v>8</v>
      </c>
      <c r="BV27" s="11" t="s">
        <v>481</v>
      </c>
      <c r="BW27" s="11" t="s">
        <v>502</v>
      </c>
      <c r="BX27" s="11">
        <v>18700</v>
      </c>
      <c r="BY27" s="11">
        <v>34.75</v>
      </c>
      <c r="BZ27" s="11">
        <v>0.05</v>
      </c>
      <c r="CA27" s="11">
        <v>17263.657599999999</v>
      </c>
      <c r="CB27" s="11">
        <v>1.4388489208633094E-3</v>
      </c>
      <c r="CC27" s="11">
        <v>500</v>
      </c>
      <c r="CD27" s="11">
        <v>50</v>
      </c>
      <c r="CE27" s="11">
        <v>17375</v>
      </c>
    </row>
    <row r="28" spans="1:83" hidden="1">
      <c r="A28" s="13">
        <f t="shared" ca="1" si="28"/>
        <v>21</v>
      </c>
      <c r="B28" s="128">
        <v>44607</v>
      </c>
      <c r="C28" s="121" t="s">
        <v>8</v>
      </c>
      <c r="D28" s="121">
        <v>1</v>
      </c>
      <c r="E28" s="120" t="s">
        <v>482</v>
      </c>
      <c r="F28" s="121" t="s">
        <v>502</v>
      </c>
      <c r="G28" s="120">
        <v>15000</v>
      </c>
      <c r="H28" s="122">
        <v>44651</v>
      </c>
      <c r="I28" s="120">
        <v>200</v>
      </c>
      <c r="J28" s="120">
        <v>59.27</v>
      </c>
      <c r="K28" s="120">
        <v>212.1</v>
      </c>
      <c r="L28" s="124">
        <f t="shared" ca="1" si="16"/>
        <v>0</v>
      </c>
      <c r="M28" s="124">
        <f t="shared" ca="1" si="17"/>
        <v>-30565.999999999996</v>
      </c>
      <c r="N28" s="120">
        <f t="shared" ca="1" si="66"/>
        <v>3.5785388898262189</v>
      </c>
      <c r="O28" s="164">
        <f t="shared" ca="1" si="67"/>
        <v>74.087500000000006</v>
      </c>
      <c r="P28" s="168">
        <f t="shared" ca="1" si="20"/>
        <v>11854</v>
      </c>
      <c r="Q28" s="168" t="e">
        <f t="shared" ca="1" si="68"/>
        <v>#N/A</v>
      </c>
      <c r="R28" s="184">
        <f t="shared" ca="1" si="22"/>
        <v>0</v>
      </c>
      <c r="S28" s="124">
        <f t="shared" ca="1" si="69"/>
        <v>5.9269999999999987</v>
      </c>
      <c r="T28" s="120">
        <f ca="1">VLOOKUP(TRIM($F28),Reference!B:C,2,0)</f>
        <v>15938.65</v>
      </c>
      <c r="U28" s="125">
        <f t="shared" ca="1" si="70"/>
        <v>0</v>
      </c>
      <c r="V28" s="125" t="str">
        <f t="shared" ca="1" si="6"/>
        <v>NIFTY22MAR15000PE</v>
      </c>
      <c r="W28" s="166" t="e">
        <f ca="1">VLOOKUP($V28,Reference!BA:BD,4,0)</f>
        <v>#N/A</v>
      </c>
      <c r="X28" s="168">
        <f t="shared" ca="1" si="7"/>
        <v>0</v>
      </c>
      <c r="Y28" s="168">
        <f t="shared" ca="1" si="8"/>
        <v>0</v>
      </c>
      <c r="Z28" s="168">
        <f t="shared" ca="1" si="25"/>
        <v>0</v>
      </c>
      <c r="AA28" s="168">
        <f t="shared" ca="1" si="9"/>
        <v>0</v>
      </c>
      <c r="AB28" s="168">
        <f t="shared" ca="1" si="10"/>
        <v>0</v>
      </c>
      <c r="AC28" s="124">
        <f t="shared" ca="1" si="11"/>
        <v>0</v>
      </c>
      <c r="AD28" s="120">
        <f t="shared" ca="1" si="71"/>
        <v>-0.29041095890410956</v>
      </c>
      <c r="AE28" s="120">
        <f t="shared" ca="1" si="72"/>
        <v>20</v>
      </c>
      <c r="AF28" s="120"/>
      <c r="AG28" s="120"/>
      <c r="AH28" s="120">
        <f t="shared" ca="1" si="14"/>
        <v>5.9270000000000005</v>
      </c>
      <c r="AI28" s="120"/>
      <c r="AJ28" s="120">
        <f t="shared" ca="1" si="15"/>
        <v>0</v>
      </c>
      <c r="AK28" s="120"/>
      <c r="AL28" s="145">
        <v>1</v>
      </c>
      <c r="AM28" s="161"/>
      <c r="AN28" s="161"/>
      <c r="AO28" s="161"/>
      <c r="AP28" s="161"/>
      <c r="AQ28" s="161"/>
      <c r="AR28" s="161"/>
      <c r="AS28" s="161"/>
      <c r="AT28" s="161"/>
      <c r="AU28" s="161"/>
      <c r="AV28" s="161"/>
      <c r="AW28" s="161"/>
      <c r="AX28" s="161"/>
      <c r="AY28" s="161"/>
      <c r="AZ28" s="161"/>
      <c r="BA28" s="161"/>
      <c r="BB28" s="161"/>
      <c r="BC28" s="161"/>
      <c r="BD28" s="161"/>
      <c r="BE28" s="161"/>
      <c r="BF28" s="161"/>
      <c r="BG28" s="161"/>
      <c r="BS28" s="11">
        <v>3</v>
      </c>
      <c r="BT28" s="11">
        <v>44491</v>
      </c>
      <c r="BU28" s="11" t="s">
        <v>8</v>
      </c>
      <c r="BV28" s="11" t="s">
        <v>481</v>
      </c>
      <c r="BW28" s="11" t="s">
        <v>502</v>
      </c>
      <c r="BX28" s="11">
        <v>18700</v>
      </c>
      <c r="BY28" s="11">
        <v>34.75</v>
      </c>
      <c r="BZ28" s="11">
        <v>0.05</v>
      </c>
      <c r="CA28" s="11">
        <v>17263.657599999999</v>
      </c>
      <c r="CB28" s="11">
        <v>1.4388489208633094E-3</v>
      </c>
      <c r="CC28" s="11">
        <v>500</v>
      </c>
      <c r="CD28" s="11">
        <v>50</v>
      </c>
      <c r="CE28" s="11">
        <v>17375</v>
      </c>
    </row>
    <row r="29" spans="1:83" hidden="1">
      <c r="A29" s="13">
        <f t="shared" ca="1" si="28"/>
        <v>22</v>
      </c>
      <c r="B29" s="128">
        <v>44607</v>
      </c>
      <c r="C29" s="121" t="s">
        <v>8</v>
      </c>
      <c r="D29" s="121">
        <v>1</v>
      </c>
      <c r="E29" s="120" t="s">
        <v>482</v>
      </c>
      <c r="F29" s="121" t="s">
        <v>284</v>
      </c>
      <c r="G29" s="120">
        <v>400</v>
      </c>
      <c r="H29" s="122">
        <v>44651</v>
      </c>
      <c r="I29" s="120">
        <v>2850</v>
      </c>
      <c r="J29" s="120">
        <v>6</v>
      </c>
      <c r="K29" s="120">
        <v>3.75</v>
      </c>
      <c r="L29" s="124">
        <f t="shared" ca="1" si="16"/>
        <v>0</v>
      </c>
      <c r="M29" s="124">
        <f t="shared" ca="1" si="17"/>
        <v>6412.5</v>
      </c>
      <c r="N29" s="120">
        <f t="shared" ca="1" si="66"/>
        <v>0.625</v>
      </c>
      <c r="O29" s="164">
        <f t="shared" ca="1" si="67"/>
        <v>7.5</v>
      </c>
      <c r="P29" s="168">
        <f t="shared" ca="1" si="20"/>
        <v>17100</v>
      </c>
      <c r="Q29" s="168" t="e">
        <f t="shared" ca="1" si="68"/>
        <v>#N/A</v>
      </c>
      <c r="R29" s="184">
        <f t="shared" ca="1" si="22"/>
        <v>0</v>
      </c>
      <c r="S29" s="124">
        <f t="shared" ca="1" si="69"/>
        <v>0.59999999999999987</v>
      </c>
      <c r="T29" s="120">
        <f ca="1">VLOOKUP(TRIM($F29),Reference!B:C,2,0)</f>
        <v>428</v>
      </c>
      <c r="U29" s="181">
        <f t="shared" ca="1" si="70"/>
        <v>0</v>
      </c>
      <c r="V29" s="125" t="str">
        <f t="shared" ca="1" si="6"/>
        <v>TATAMOTORS22MAR400PE</v>
      </c>
      <c r="W29" s="166" t="e">
        <f ca="1">VLOOKUP($V29,Reference!BA:BD,4,0)</f>
        <v>#N/A</v>
      </c>
      <c r="X29" s="168">
        <f t="shared" ca="1" si="7"/>
        <v>0</v>
      </c>
      <c r="Y29" s="168">
        <f t="shared" ca="1" si="8"/>
        <v>0</v>
      </c>
      <c r="Z29" s="168">
        <f t="shared" ca="1" si="25"/>
        <v>0</v>
      </c>
      <c r="AA29" s="168">
        <f t="shared" ca="1" si="9"/>
        <v>0</v>
      </c>
      <c r="AB29" s="168">
        <f t="shared" ca="1" si="10"/>
        <v>0</v>
      </c>
      <c r="AC29" s="124">
        <f t="shared" ca="1" si="11"/>
        <v>0</v>
      </c>
      <c r="AD29" s="120">
        <f t="shared" ca="1" si="71"/>
        <v>-0.29041095890410956</v>
      </c>
      <c r="AE29" s="120">
        <f t="shared" ca="1" si="72"/>
        <v>20</v>
      </c>
      <c r="AF29" s="120"/>
      <c r="AG29" s="120"/>
      <c r="AH29" s="120">
        <f t="shared" ca="1" si="14"/>
        <v>8.5500000000000007</v>
      </c>
      <c r="AI29" s="120"/>
      <c r="AJ29" s="120">
        <f t="shared" ca="1" si="15"/>
        <v>0</v>
      </c>
      <c r="AK29" s="120"/>
      <c r="AL29" s="147"/>
      <c r="AM29" s="160"/>
      <c r="AN29" s="160"/>
      <c r="AO29" s="160"/>
      <c r="AP29" s="160"/>
      <c r="AQ29" s="160"/>
      <c r="AR29" s="160"/>
      <c r="AS29" s="160"/>
      <c r="AT29" s="160"/>
      <c r="AU29" s="160"/>
      <c r="AV29" s="160"/>
      <c r="AW29" s="160"/>
      <c r="AX29" s="160"/>
      <c r="AY29" s="160"/>
      <c r="AZ29" s="160"/>
      <c r="BA29" s="160"/>
      <c r="BB29" s="160"/>
      <c r="BC29" s="160"/>
      <c r="BD29" s="160"/>
      <c r="BE29" s="160"/>
      <c r="BF29" s="160"/>
      <c r="BG29" s="160"/>
      <c r="BS29" s="13">
        <v>2</v>
      </c>
      <c r="BT29" s="128">
        <v>44491</v>
      </c>
      <c r="BU29" s="121" t="s">
        <v>8</v>
      </c>
      <c r="BV29" s="120" t="s">
        <v>482</v>
      </c>
      <c r="BW29" s="121" t="s">
        <v>502</v>
      </c>
      <c r="BX29" s="120">
        <v>18400</v>
      </c>
      <c r="BY29" s="120">
        <v>41.7</v>
      </c>
      <c r="BZ29" s="120">
        <v>47.945</v>
      </c>
      <c r="CA29" s="124">
        <v>-3216.6708800000001</v>
      </c>
      <c r="CB29" s="120">
        <v>1.1497601918465228</v>
      </c>
      <c r="CC29" s="120">
        <v>500</v>
      </c>
      <c r="CD29" s="120">
        <v>50</v>
      </c>
      <c r="CE29" s="124">
        <v>20850</v>
      </c>
    </row>
    <row r="30" spans="1:83" hidden="1">
      <c r="A30" s="13">
        <f t="shared" ca="1" si="28"/>
        <v>23</v>
      </c>
      <c r="B30" s="128">
        <v>44607</v>
      </c>
      <c r="C30" s="121" t="s">
        <v>6</v>
      </c>
      <c r="D30" s="121">
        <v>1</v>
      </c>
      <c r="E30" s="120" t="s">
        <v>632</v>
      </c>
      <c r="F30" s="121" t="s">
        <v>502</v>
      </c>
      <c r="G30" s="120"/>
      <c r="H30" s="122">
        <v>44651</v>
      </c>
      <c r="I30" s="120">
        <v>50</v>
      </c>
      <c r="J30" s="120">
        <v>17340</v>
      </c>
      <c r="K30" s="120">
        <v>17320</v>
      </c>
      <c r="L30" s="124">
        <f t="shared" ca="1" si="16"/>
        <v>0</v>
      </c>
      <c r="M30" s="124">
        <f t="shared" ca="1" si="17"/>
        <v>-1000</v>
      </c>
      <c r="N30" s="120">
        <f t="shared" ref="N30:N33" ca="1" si="73">K30/$J30</f>
        <v>0.99884659746251436</v>
      </c>
      <c r="O30" s="164">
        <f t="shared" ref="O30:O33" ca="1" si="74">J30*(1+$O$6*IF(C30="B",-1,1))</f>
        <v>13005</v>
      </c>
      <c r="P30" s="168">
        <f t="shared" ca="1" si="20"/>
        <v>867000</v>
      </c>
      <c r="Q30" s="168" t="e">
        <f t="shared" ref="Q30:Q33" ca="1" si="75">(W30-J30)*I30*IF(C30="B",1,-1)*IF(K30=0,1,0)</f>
        <v>#N/A</v>
      </c>
      <c r="R30" s="184">
        <f t="shared" ca="1" si="22"/>
        <v>0</v>
      </c>
      <c r="S30" s="124">
        <f t="shared" ref="S30:S33" ca="1" si="76">(1-$S$6)*J30</f>
        <v>1733.9999999999995</v>
      </c>
      <c r="T30" s="120">
        <f ca="1">VLOOKUP(TRIM($F30),Reference!B:C,2,0)</f>
        <v>15938.65</v>
      </c>
      <c r="U30" s="181">
        <f t="shared" ref="U30:U33" ca="1" si="77">AC30</f>
        <v>0</v>
      </c>
      <c r="V30" s="125" t="str">
        <f t="shared" ca="1" si="6"/>
        <v>NIFTY22MARFUT</v>
      </c>
      <c r="W30" s="166" t="e">
        <f ca="1">VLOOKUP($V30,Reference!BA:BD,4,0)</f>
        <v>#N/A</v>
      </c>
      <c r="X30" s="168">
        <f t="shared" ca="1" si="7"/>
        <v>0</v>
      </c>
      <c r="Y30" s="168">
        <f t="shared" ca="1" si="8"/>
        <v>0</v>
      </c>
      <c r="Z30" s="168">
        <f t="shared" ca="1" si="25"/>
        <v>0</v>
      </c>
      <c r="AA30" s="168">
        <f t="shared" ca="1" si="9"/>
        <v>0</v>
      </c>
      <c r="AB30" s="168">
        <f t="shared" ca="1" si="10"/>
        <v>0</v>
      </c>
      <c r="AC30" s="124">
        <f t="shared" ca="1" si="11"/>
        <v>0</v>
      </c>
      <c r="AD30" s="120">
        <f t="shared" ref="AD30:AD33" ca="1" si="78">(H30-TODAY())/365</f>
        <v>-0.29041095890410956</v>
      </c>
      <c r="AE30" s="120">
        <f t="shared" ref="AE30:AE33" ca="1" si="79">IF(I30&lt;&gt;0,20,0)</f>
        <v>20</v>
      </c>
      <c r="AF30" s="120"/>
      <c r="AG30" s="120"/>
      <c r="AH30" s="120">
        <f t="shared" ca="1" si="14"/>
        <v>0</v>
      </c>
      <c r="AI30" s="120"/>
      <c r="AJ30" s="120">
        <f t="shared" ca="1" si="15"/>
        <v>26.01</v>
      </c>
      <c r="AK30" s="120"/>
      <c r="AL30" s="147"/>
      <c r="AM30" s="160"/>
      <c r="AN30" s="160"/>
      <c r="AO30" s="160"/>
      <c r="AP30" s="160"/>
      <c r="AQ30" s="160"/>
      <c r="AR30" s="160"/>
      <c r="AS30" s="160"/>
      <c r="AT30" s="160"/>
      <c r="AU30" s="160"/>
      <c r="AV30" s="160"/>
      <c r="AW30" s="160"/>
      <c r="AX30" s="160"/>
      <c r="AY30" s="160"/>
      <c r="AZ30" s="160"/>
      <c r="BA30" s="160"/>
      <c r="BB30" s="160"/>
      <c r="BC30" s="160"/>
      <c r="BD30" s="160"/>
      <c r="BE30" s="160"/>
      <c r="BF30" s="160"/>
      <c r="BG30" s="160"/>
      <c r="BS30" s="13">
        <v>2</v>
      </c>
      <c r="BT30" s="128">
        <v>44491</v>
      </c>
      <c r="BU30" s="121" t="s">
        <v>8</v>
      </c>
      <c r="BV30" s="120" t="s">
        <v>482</v>
      </c>
      <c r="BW30" s="121" t="s">
        <v>502</v>
      </c>
      <c r="BX30" s="120">
        <v>18400</v>
      </c>
      <c r="BY30" s="120">
        <v>41.7</v>
      </c>
      <c r="BZ30" s="120">
        <v>47.945</v>
      </c>
      <c r="CA30" s="124">
        <v>-3216.6708800000001</v>
      </c>
      <c r="CB30" s="120">
        <v>1.1497601918465228</v>
      </c>
      <c r="CC30" s="120">
        <v>500</v>
      </c>
      <c r="CD30" s="120">
        <v>50</v>
      </c>
      <c r="CE30" s="124">
        <v>20850</v>
      </c>
    </row>
    <row r="31" spans="1:83" hidden="1">
      <c r="A31" s="13">
        <f t="shared" ca="1" si="28"/>
        <v>24</v>
      </c>
      <c r="B31" s="128">
        <v>44607</v>
      </c>
      <c r="C31" s="121" t="s">
        <v>6</v>
      </c>
      <c r="D31" s="121">
        <v>1</v>
      </c>
      <c r="E31" s="120" t="s">
        <v>632</v>
      </c>
      <c r="F31" s="121" t="s">
        <v>502</v>
      </c>
      <c r="G31" s="120"/>
      <c r="H31" s="122">
        <v>44651</v>
      </c>
      <c r="I31" s="120">
        <v>50</v>
      </c>
      <c r="J31" s="120">
        <v>17405</v>
      </c>
      <c r="K31" s="120">
        <v>17320</v>
      </c>
      <c r="L31" s="124">
        <f t="shared" ca="1" si="16"/>
        <v>0</v>
      </c>
      <c r="M31" s="124">
        <f t="shared" ca="1" si="17"/>
        <v>-4250</v>
      </c>
      <c r="N31" s="120">
        <f t="shared" ca="1" si="73"/>
        <v>0.99511634587762132</v>
      </c>
      <c r="O31" s="164">
        <f t="shared" ca="1" si="74"/>
        <v>13053.75</v>
      </c>
      <c r="P31" s="168">
        <f t="shared" ca="1" si="20"/>
        <v>870250</v>
      </c>
      <c r="Q31" s="168" t="e">
        <f t="shared" ca="1" si="75"/>
        <v>#N/A</v>
      </c>
      <c r="R31" s="184">
        <f t="shared" ca="1" si="22"/>
        <v>0</v>
      </c>
      <c r="S31" s="124">
        <f t="shared" ca="1" si="76"/>
        <v>1740.4999999999995</v>
      </c>
      <c r="T31" s="120">
        <f ca="1">VLOOKUP(TRIM($F31),Reference!B:C,2,0)</f>
        <v>15938.65</v>
      </c>
      <c r="U31" s="181">
        <f t="shared" ca="1" si="77"/>
        <v>0</v>
      </c>
      <c r="V31" s="125" t="str">
        <f t="shared" ca="1" si="6"/>
        <v>NIFTY22MARFUT</v>
      </c>
      <c r="W31" s="166" t="e">
        <f ca="1">VLOOKUP($V31,Reference!BA:BD,4,0)</f>
        <v>#N/A</v>
      </c>
      <c r="X31" s="168">
        <f t="shared" ca="1" si="7"/>
        <v>0</v>
      </c>
      <c r="Y31" s="168">
        <f t="shared" ca="1" si="8"/>
        <v>0</v>
      </c>
      <c r="Z31" s="168">
        <f t="shared" ca="1" si="25"/>
        <v>0</v>
      </c>
      <c r="AA31" s="168">
        <f t="shared" ca="1" si="9"/>
        <v>0</v>
      </c>
      <c r="AB31" s="168">
        <f t="shared" ca="1" si="10"/>
        <v>0</v>
      </c>
      <c r="AC31" s="124">
        <f t="shared" ca="1" si="11"/>
        <v>0</v>
      </c>
      <c r="AD31" s="120">
        <f t="shared" ca="1" si="78"/>
        <v>-0.29041095890410956</v>
      </c>
      <c r="AE31" s="120">
        <f t="shared" ca="1" si="79"/>
        <v>20</v>
      </c>
      <c r="AF31" s="120"/>
      <c r="AG31" s="120"/>
      <c r="AH31" s="120">
        <f t="shared" ca="1" si="14"/>
        <v>0</v>
      </c>
      <c r="AI31" s="120"/>
      <c r="AJ31" s="120">
        <f t="shared" ca="1" si="15"/>
        <v>26.107500000000002</v>
      </c>
      <c r="AK31" s="120"/>
      <c r="AL31" s="147"/>
      <c r="AM31" s="160"/>
      <c r="AN31" s="160"/>
      <c r="AO31" s="160"/>
      <c r="AP31" s="160"/>
      <c r="AQ31" s="160"/>
      <c r="AR31" s="160"/>
      <c r="AS31" s="160"/>
      <c r="AT31" s="160"/>
      <c r="AU31" s="160"/>
      <c r="AV31" s="160"/>
      <c r="AW31" s="160"/>
      <c r="AX31" s="160"/>
      <c r="AY31" s="160"/>
      <c r="AZ31" s="160"/>
      <c r="BA31" s="160"/>
      <c r="BB31" s="160"/>
      <c r="BC31" s="160"/>
      <c r="BD31" s="160"/>
      <c r="BE31" s="160"/>
      <c r="BF31" s="160"/>
      <c r="BG31" s="160"/>
      <c r="BS31" s="13">
        <v>2</v>
      </c>
      <c r="BT31" s="128">
        <v>44491</v>
      </c>
      <c r="BU31" s="121" t="s">
        <v>8</v>
      </c>
      <c r="BV31" s="120" t="s">
        <v>482</v>
      </c>
      <c r="BW31" s="121" t="s">
        <v>502</v>
      </c>
      <c r="BX31" s="120">
        <v>18400</v>
      </c>
      <c r="BY31" s="120">
        <v>41.7</v>
      </c>
      <c r="BZ31" s="120">
        <v>47.945</v>
      </c>
      <c r="CA31" s="124">
        <v>-3216.6708800000001</v>
      </c>
      <c r="CB31" s="120">
        <v>1.1497601918465228</v>
      </c>
      <c r="CC31" s="120">
        <v>500</v>
      </c>
      <c r="CD31" s="120">
        <v>50</v>
      </c>
      <c r="CE31" s="124">
        <v>20850</v>
      </c>
    </row>
    <row r="32" spans="1:83" hidden="1">
      <c r="A32" s="13">
        <f t="shared" ca="1" si="28"/>
        <v>25</v>
      </c>
      <c r="B32" s="128">
        <v>44607</v>
      </c>
      <c r="C32" s="121" t="s">
        <v>8</v>
      </c>
      <c r="D32" s="121">
        <v>1</v>
      </c>
      <c r="E32" s="120" t="s">
        <v>482</v>
      </c>
      <c r="F32" s="121" t="s">
        <v>284</v>
      </c>
      <c r="G32" s="120">
        <v>450</v>
      </c>
      <c r="H32" s="122">
        <v>44651</v>
      </c>
      <c r="I32" s="120">
        <v>2850</v>
      </c>
      <c r="J32" s="120">
        <v>7.1</v>
      </c>
      <c r="K32" s="120">
        <v>62.45</v>
      </c>
      <c r="L32" s="124">
        <f t="shared" ca="1" si="16"/>
        <v>0</v>
      </c>
      <c r="M32" s="124">
        <f t="shared" ca="1" si="17"/>
        <v>-157747.5</v>
      </c>
      <c r="N32" s="120">
        <f t="shared" ca="1" si="73"/>
        <v>8.795774647887324</v>
      </c>
      <c r="O32" s="164">
        <f t="shared" ca="1" si="74"/>
        <v>8.875</v>
      </c>
      <c r="P32" s="168">
        <f t="shared" ca="1" si="20"/>
        <v>20235</v>
      </c>
      <c r="Q32" s="168" t="e">
        <f t="shared" ca="1" si="75"/>
        <v>#N/A</v>
      </c>
      <c r="R32" s="184">
        <f t="shared" ca="1" si="22"/>
        <v>0</v>
      </c>
      <c r="S32" s="124">
        <f t="shared" ca="1" si="76"/>
        <v>0.70999999999999985</v>
      </c>
      <c r="T32" s="120">
        <f ca="1">VLOOKUP(TRIM($F32),Reference!B:C,2,0)</f>
        <v>428</v>
      </c>
      <c r="U32" s="181">
        <f t="shared" ca="1" si="77"/>
        <v>0</v>
      </c>
      <c r="V32" s="125" t="str">
        <f t="shared" ca="1" si="6"/>
        <v>TATAMOTORS22MAR450PE</v>
      </c>
      <c r="W32" s="166" t="e">
        <f ca="1">VLOOKUP($V32,Reference!BA:BD,4,0)</f>
        <v>#N/A</v>
      </c>
      <c r="X32" s="168">
        <f t="shared" ca="1" si="7"/>
        <v>0</v>
      </c>
      <c r="Y32" s="168">
        <f t="shared" ca="1" si="8"/>
        <v>0</v>
      </c>
      <c r="Z32" s="168">
        <f t="shared" ca="1" si="25"/>
        <v>0</v>
      </c>
      <c r="AA32" s="168">
        <f t="shared" ca="1" si="9"/>
        <v>0</v>
      </c>
      <c r="AB32" s="168">
        <f t="shared" ca="1" si="10"/>
        <v>0</v>
      </c>
      <c r="AC32" s="124">
        <f t="shared" ca="1" si="11"/>
        <v>0</v>
      </c>
      <c r="AD32" s="120">
        <f t="shared" ca="1" si="78"/>
        <v>-0.29041095890410956</v>
      </c>
      <c r="AE32" s="120">
        <f t="shared" ca="1" si="79"/>
        <v>20</v>
      </c>
      <c r="AF32" s="120"/>
      <c r="AG32" s="120"/>
      <c r="AH32" s="120">
        <f t="shared" ca="1" si="14"/>
        <v>10.1175</v>
      </c>
      <c r="AI32" s="120"/>
      <c r="AJ32" s="120">
        <f t="shared" ca="1" si="15"/>
        <v>0</v>
      </c>
      <c r="AK32" s="120"/>
      <c r="AL32" s="147"/>
      <c r="AM32" s="160"/>
      <c r="AN32" s="160"/>
      <c r="AO32" s="160"/>
      <c r="AP32" s="160"/>
      <c r="AQ32" s="160"/>
      <c r="AR32" s="160"/>
      <c r="AS32" s="160"/>
      <c r="AT32" s="160"/>
      <c r="AU32" s="160"/>
      <c r="AV32" s="160"/>
      <c r="AW32" s="160"/>
      <c r="AX32" s="160"/>
      <c r="AY32" s="160"/>
      <c r="AZ32" s="160"/>
      <c r="BA32" s="160"/>
      <c r="BB32" s="160"/>
      <c r="BC32" s="160"/>
      <c r="BD32" s="160"/>
      <c r="BE32" s="160"/>
      <c r="BF32" s="160"/>
      <c r="BG32" s="160"/>
      <c r="BS32" s="13">
        <v>2</v>
      </c>
      <c r="BT32" s="128">
        <v>44491</v>
      </c>
      <c r="BU32" s="121" t="s">
        <v>8</v>
      </c>
      <c r="BV32" s="120" t="s">
        <v>482</v>
      </c>
      <c r="BW32" s="121" t="s">
        <v>502</v>
      </c>
      <c r="BX32" s="120">
        <v>18400</v>
      </c>
      <c r="BY32" s="120">
        <v>41.7</v>
      </c>
      <c r="BZ32" s="120">
        <v>47.945</v>
      </c>
      <c r="CA32" s="124">
        <v>-3216.6708800000001</v>
      </c>
      <c r="CB32" s="120">
        <v>1.1497601918465228</v>
      </c>
      <c r="CC32" s="120">
        <v>500</v>
      </c>
      <c r="CD32" s="120">
        <v>50</v>
      </c>
      <c r="CE32" s="124">
        <v>20850</v>
      </c>
    </row>
    <row r="33" spans="1:83" hidden="1">
      <c r="A33" s="13">
        <f t="shared" ca="1" si="28"/>
        <v>26</v>
      </c>
      <c r="B33" s="128">
        <v>44608</v>
      </c>
      <c r="C33" s="121" t="s">
        <v>6</v>
      </c>
      <c r="D33" s="121">
        <v>1</v>
      </c>
      <c r="E33" s="120" t="s">
        <v>632</v>
      </c>
      <c r="F33" s="121" t="s">
        <v>130</v>
      </c>
      <c r="G33" s="120"/>
      <c r="H33" s="122">
        <v>44651</v>
      </c>
      <c r="I33" s="120">
        <v>6750</v>
      </c>
      <c r="J33" s="120">
        <v>234.5</v>
      </c>
      <c r="K33" s="120">
        <v>226.5</v>
      </c>
      <c r="L33" s="124">
        <f t="shared" ca="1" si="16"/>
        <v>0</v>
      </c>
      <c r="M33" s="124">
        <f t="shared" ca="1" si="17"/>
        <v>-54000</v>
      </c>
      <c r="N33" s="120">
        <f t="shared" ca="1" si="73"/>
        <v>0.9658848614072495</v>
      </c>
      <c r="O33" s="164">
        <f t="shared" ca="1" si="74"/>
        <v>175.875</v>
      </c>
      <c r="P33" s="168">
        <f t="shared" ca="1" si="20"/>
        <v>1582875</v>
      </c>
      <c r="Q33" s="168" t="e">
        <f t="shared" ca="1" si="75"/>
        <v>#N/A</v>
      </c>
      <c r="R33" s="184">
        <f t="shared" ca="1" si="22"/>
        <v>0</v>
      </c>
      <c r="S33" s="124">
        <f t="shared" ca="1" si="76"/>
        <v>23.449999999999996</v>
      </c>
      <c r="T33" s="120">
        <f ca="1">VLOOKUP(TRIM($F33),Reference!B:C,2,0)</f>
        <v>221.6</v>
      </c>
      <c r="U33" s="181">
        <f t="shared" ca="1" si="77"/>
        <v>0</v>
      </c>
      <c r="V33" s="125" t="str">
        <f t="shared" ca="1" si="6"/>
        <v>TATAPOWER22MARFUT</v>
      </c>
      <c r="W33" s="166" t="e">
        <f ca="1">VLOOKUP($V33,Reference!BA:BD,4,0)</f>
        <v>#N/A</v>
      </c>
      <c r="X33" s="168">
        <f t="shared" ca="1" si="7"/>
        <v>0</v>
      </c>
      <c r="Y33" s="168">
        <f t="shared" ca="1" si="8"/>
        <v>0</v>
      </c>
      <c r="Z33" s="168">
        <f t="shared" ca="1" si="25"/>
        <v>0</v>
      </c>
      <c r="AA33" s="168">
        <f t="shared" ca="1" si="9"/>
        <v>0</v>
      </c>
      <c r="AB33" s="168">
        <f t="shared" ca="1" si="10"/>
        <v>0</v>
      </c>
      <c r="AC33" s="124">
        <f t="shared" ca="1" si="11"/>
        <v>0</v>
      </c>
      <c r="AD33" s="120">
        <f t="shared" ca="1" si="78"/>
        <v>-0.29041095890410956</v>
      </c>
      <c r="AE33" s="120">
        <f t="shared" ca="1" si="79"/>
        <v>20</v>
      </c>
      <c r="AF33" s="120"/>
      <c r="AG33" s="120"/>
      <c r="AH33" s="120">
        <f t="shared" ca="1" si="14"/>
        <v>0</v>
      </c>
      <c r="AI33" s="120"/>
      <c r="AJ33" s="120">
        <f t="shared" ca="1" si="15"/>
        <v>47.486249999999998</v>
      </c>
      <c r="AK33" s="120"/>
      <c r="AL33" s="147"/>
      <c r="AM33" s="160"/>
      <c r="AN33" s="160"/>
      <c r="AO33" s="160"/>
      <c r="AP33" s="160"/>
      <c r="AQ33" s="160"/>
      <c r="AR33" s="160"/>
      <c r="AS33" s="160"/>
      <c r="AT33" s="160"/>
      <c r="AU33" s="160"/>
      <c r="AV33" s="160"/>
      <c r="AW33" s="160"/>
      <c r="AX33" s="160"/>
      <c r="AY33" s="160"/>
      <c r="AZ33" s="160"/>
      <c r="BA33" s="160"/>
      <c r="BB33" s="160"/>
      <c r="BC33" s="160"/>
      <c r="BD33" s="160"/>
      <c r="BE33" s="160"/>
      <c r="BF33" s="160"/>
      <c r="BG33" s="160"/>
      <c r="BS33" s="13">
        <v>2</v>
      </c>
      <c r="BT33" s="128">
        <v>44491</v>
      </c>
      <c r="BU33" s="121" t="s">
        <v>8</v>
      </c>
      <c r="BV33" s="120" t="s">
        <v>482</v>
      </c>
      <c r="BW33" s="121" t="s">
        <v>502</v>
      </c>
      <c r="BX33" s="120">
        <v>18400</v>
      </c>
      <c r="BY33" s="120">
        <v>41.7</v>
      </c>
      <c r="BZ33" s="120">
        <v>47.945</v>
      </c>
      <c r="CA33" s="124">
        <v>-3216.6708800000001</v>
      </c>
      <c r="CB33" s="120">
        <v>1.1497601918465228</v>
      </c>
      <c r="CC33" s="120">
        <v>500</v>
      </c>
      <c r="CD33" s="120">
        <v>50</v>
      </c>
      <c r="CE33" s="124">
        <v>20850</v>
      </c>
    </row>
    <row r="34" spans="1:83" hidden="1">
      <c r="A34" s="13">
        <f t="shared" ca="1" si="28"/>
        <v>27</v>
      </c>
      <c r="B34" s="128">
        <v>44608</v>
      </c>
      <c r="C34" s="121" t="s">
        <v>6</v>
      </c>
      <c r="D34" s="121">
        <v>1</v>
      </c>
      <c r="E34" s="120" t="s">
        <v>632</v>
      </c>
      <c r="F34" s="121" t="s">
        <v>502</v>
      </c>
      <c r="G34" s="120"/>
      <c r="H34" s="122">
        <v>44651</v>
      </c>
      <c r="I34" s="120">
        <v>50</v>
      </c>
      <c r="J34" s="120">
        <v>17441</v>
      </c>
      <c r="K34" s="120">
        <v>17442.650000000001</v>
      </c>
      <c r="L34" s="124">
        <f t="shared" ca="1" si="16"/>
        <v>0</v>
      </c>
      <c r="M34" s="124">
        <f t="shared" ca="1" si="17"/>
        <v>82.50000000007276</v>
      </c>
      <c r="N34" s="120">
        <f t="shared" ref="N34:N36" ca="1" si="80">K34/$J34</f>
        <v>1.0000946046671637</v>
      </c>
      <c r="O34" s="164">
        <f t="shared" ref="O34:O36" ca="1" si="81">J34*(1+$O$6*IF(C34="B",-1,1))</f>
        <v>13080.75</v>
      </c>
      <c r="P34" s="168">
        <f t="shared" ca="1" si="20"/>
        <v>872050</v>
      </c>
      <c r="Q34" s="168" t="e">
        <f t="shared" ref="Q34:Q36" ca="1" si="82">(W34-J34)*I34*IF(C34="B",1,-1)*IF(K34=0,1,0)</f>
        <v>#N/A</v>
      </c>
      <c r="R34" s="184">
        <f t="shared" ca="1" si="22"/>
        <v>0</v>
      </c>
      <c r="S34" s="124">
        <f t="shared" ref="S34:S36" ca="1" si="83">(1-$S$6)*J34</f>
        <v>1744.0999999999997</v>
      </c>
      <c r="T34" s="120">
        <f ca="1">VLOOKUP(TRIM($F34),Reference!B:C,2,0)</f>
        <v>15938.65</v>
      </c>
      <c r="U34" s="181">
        <f t="shared" ref="U34:U36" ca="1" si="84">AC34</f>
        <v>0</v>
      </c>
      <c r="V34" s="125" t="str">
        <f t="shared" ca="1" si="6"/>
        <v>NIFTY22MARFUT</v>
      </c>
      <c r="W34" s="166" t="e">
        <f ca="1">VLOOKUP($V34,Reference!BA:BD,4,0)</f>
        <v>#N/A</v>
      </c>
      <c r="X34" s="168">
        <f t="shared" ca="1" si="7"/>
        <v>0</v>
      </c>
      <c r="Y34" s="168">
        <f t="shared" ca="1" si="8"/>
        <v>0</v>
      </c>
      <c r="Z34" s="168">
        <f t="shared" ca="1" si="25"/>
        <v>0</v>
      </c>
      <c r="AA34" s="168">
        <f t="shared" ca="1" si="9"/>
        <v>0</v>
      </c>
      <c r="AB34" s="168">
        <f t="shared" ca="1" si="10"/>
        <v>0</v>
      </c>
      <c r="AC34" s="124">
        <f t="shared" ca="1" si="11"/>
        <v>0</v>
      </c>
      <c r="AD34" s="120">
        <f t="shared" ref="AD34:AD36" ca="1" si="85">(H34-TODAY())/365</f>
        <v>-0.29041095890410956</v>
      </c>
      <c r="AE34" s="120">
        <f t="shared" ref="AE34:AE36" ca="1" si="86">IF(I34&lt;&gt;0,20,0)</f>
        <v>20</v>
      </c>
      <c r="AF34" s="120"/>
      <c r="AG34" s="120"/>
      <c r="AH34" s="120">
        <f t="shared" ca="1" si="14"/>
        <v>0</v>
      </c>
      <c r="AI34" s="120"/>
      <c r="AJ34" s="120">
        <f t="shared" ca="1" si="15"/>
        <v>26.1615</v>
      </c>
      <c r="AK34" s="120"/>
      <c r="AL34" s="147"/>
      <c r="AM34" s="160"/>
      <c r="AN34" s="160"/>
      <c r="AO34" s="160"/>
      <c r="AP34" s="160"/>
      <c r="AQ34" s="160"/>
      <c r="AR34" s="160"/>
      <c r="AS34" s="160"/>
      <c r="AT34" s="160"/>
      <c r="AU34" s="160"/>
      <c r="AV34" s="160"/>
      <c r="AW34" s="160"/>
      <c r="AX34" s="160"/>
      <c r="AY34" s="160"/>
      <c r="AZ34" s="160"/>
      <c r="BA34" s="160"/>
      <c r="BB34" s="160"/>
      <c r="BC34" s="160"/>
      <c r="BD34" s="160"/>
      <c r="BE34" s="160"/>
      <c r="BF34" s="160"/>
      <c r="BG34" s="160"/>
      <c r="BS34" s="13">
        <v>2</v>
      </c>
      <c r="BT34" s="128">
        <v>44491</v>
      </c>
      <c r="BU34" s="121" t="s">
        <v>8</v>
      </c>
      <c r="BV34" s="120" t="s">
        <v>482</v>
      </c>
      <c r="BW34" s="121" t="s">
        <v>502</v>
      </c>
      <c r="BX34" s="120">
        <v>18400</v>
      </c>
      <c r="BY34" s="120">
        <v>41.7</v>
      </c>
      <c r="BZ34" s="120">
        <v>47.945</v>
      </c>
      <c r="CA34" s="124">
        <v>-3216.6708800000001</v>
      </c>
      <c r="CB34" s="120">
        <v>1.1497601918465228</v>
      </c>
      <c r="CC34" s="120">
        <v>500</v>
      </c>
      <c r="CD34" s="120">
        <v>50</v>
      </c>
      <c r="CE34" s="124">
        <v>20850</v>
      </c>
    </row>
    <row r="35" spans="1:83" hidden="1">
      <c r="A35" s="13">
        <f t="shared" ca="1" si="28"/>
        <v>28</v>
      </c>
      <c r="B35" s="128">
        <v>44613</v>
      </c>
      <c r="C35" s="121" t="s">
        <v>8</v>
      </c>
      <c r="D35" s="121">
        <v>1</v>
      </c>
      <c r="E35" s="120" t="s">
        <v>481</v>
      </c>
      <c r="F35" s="121" t="s">
        <v>126</v>
      </c>
      <c r="G35" s="120">
        <v>250</v>
      </c>
      <c r="H35" s="122">
        <v>44651</v>
      </c>
      <c r="I35" s="120">
        <v>3750</v>
      </c>
      <c r="J35" s="120">
        <v>2.5</v>
      </c>
      <c r="K35" s="120">
        <v>1.5</v>
      </c>
      <c r="L35" s="124">
        <f t="shared" ca="1" si="16"/>
        <v>0</v>
      </c>
      <c r="M35" s="124">
        <f t="shared" ca="1" si="17"/>
        <v>3750</v>
      </c>
      <c r="N35" s="120">
        <f t="shared" ca="1" si="80"/>
        <v>0.6</v>
      </c>
      <c r="O35" s="164">
        <f t="shared" ca="1" si="81"/>
        <v>3.125</v>
      </c>
      <c r="P35" s="168">
        <f t="shared" ca="1" si="20"/>
        <v>9375</v>
      </c>
      <c r="Q35" s="168" t="e">
        <f t="shared" ca="1" si="82"/>
        <v>#N/A</v>
      </c>
      <c r="R35" s="184">
        <f t="shared" ca="1" si="22"/>
        <v>0</v>
      </c>
      <c r="S35" s="124">
        <f t="shared" ca="1" si="83"/>
        <v>0.24999999999999994</v>
      </c>
      <c r="T35" s="120">
        <f ca="1">VLOOKUP(TRIM($F35),Reference!B:C,2,0)</f>
        <v>162.15</v>
      </c>
      <c r="U35" s="181">
        <f t="shared" ca="1" si="84"/>
        <v>0</v>
      </c>
      <c r="V35" s="125" t="str">
        <f t="shared" ca="1" si="6"/>
        <v>IEX22MAR250CE</v>
      </c>
      <c r="W35" s="166" t="e">
        <f ca="1">VLOOKUP($V35,Reference!BA:BD,4,0)</f>
        <v>#N/A</v>
      </c>
      <c r="X35" s="168">
        <f t="shared" ca="1" si="7"/>
        <v>0</v>
      </c>
      <c r="Y35" s="168">
        <f t="shared" ca="1" si="8"/>
        <v>0</v>
      </c>
      <c r="Z35" s="168">
        <f t="shared" ca="1" si="25"/>
        <v>0</v>
      </c>
      <c r="AA35" s="168">
        <f t="shared" ca="1" si="9"/>
        <v>0</v>
      </c>
      <c r="AB35" s="168">
        <f t="shared" ca="1" si="10"/>
        <v>0</v>
      </c>
      <c r="AC35" s="124">
        <f t="shared" ca="1" si="11"/>
        <v>0</v>
      </c>
      <c r="AD35" s="120">
        <f t="shared" ca="1" si="85"/>
        <v>-0.29041095890410956</v>
      </c>
      <c r="AE35" s="120">
        <f t="shared" ca="1" si="86"/>
        <v>20</v>
      </c>
      <c r="AF35" s="120"/>
      <c r="AG35" s="120"/>
      <c r="AH35" s="120">
        <f t="shared" ca="1" si="14"/>
        <v>4.6875</v>
      </c>
      <c r="AI35" s="120"/>
      <c r="AJ35" s="120">
        <f t="shared" ca="1" si="15"/>
        <v>0</v>
      </c>
      <c r="AK35" s="120"/>
      <c r="AL35" s="147"/>
      <c r="AM35" s="160"/>
      <c r="AN35" s="160"/>
      <c r="AO35" s="160"/>
      <c r="AP35" s="160"/>
      <c r="AQ35" s="160"/>
      <c r="AR35" s="160"/>
      <c r="AS35" s="160"/>
      <c r="AT35" s="160"/>
      <c r="AU35" s="160"/>
      <c r="AV35" s="160"/>
      <c r="AW35" s="160"/>
      <c r="AX35" s="160"/>
      <c r="AY35" s="160"/>
      <c r="AZ35" s="160"/>
      <c r="BA35" s="160"/>
      <c r="BB35" s="160"/>
      <c r="BC35" s="160"/>
      <c r="BD35" s="160"/>
      <c r="BE35" s="160"/>
      <c r="BF35" s="160"/>
      <c r="BG35" s="160"/>
      <c r="BS35" s="13">
        <v>2</v>
      </c>
      <c r="BT35" s="128">
        <v>44491</v>
      </c>
      <c r="BU35" s="121" t="s">
        <v>8</v>
      </c>
      <c r="BV35" s="120" t="s">
        <v>482</v>
      </c>
      <c r="BW35" s="121" t="s">
        <v>502</v>
      </c>
      <c r="BX35" s="120">
        <v>18400</v>
      </c>
      <c r="BY35" s="120">
        <v>41.7</v>
      </c>
      <c r="BZ35" s="120">
        <v>47.945</v>
      </c>
      <c r="CA35" s="124">
        <v>-3216.6708800000001</v>
      </c>
      <c r="CB35" s="120">
        <v>1.1497601918465228</v>
      </c>
      <c r="CC35" s="120">
        <v>500</v>
      </c>
      <c r="CD35" s="120">
        <v>50</v>
      </c>
      <c r="CE35" s="124">
        <v>20850</v>
      </c>
    </row>
    <row r="36" spans="1:83" hidden="1">
      <c r="A36" s="13">
        <f t="shared" ca="1" si="28"/>
        <v>29</v>
      </c>
      <c r="B36" s="128">
        <v>44613</v>
      </c>
      <c r="C36" s="121" t="s">
        <v>8</v>
      </c>
      <c r="D36" s="121">
        <v>1</v>
      </c>
      <c r="E36" s="120" t="s">
        <v>482</v>
      </c>
      <c r="F36" s="121" t="s">
        <v>126</v>
      </c>
      <c r="G36" s="120">
        <v>190</v>
      </c>
      <c r="H36" s="122">
        <v>44651</v>
      </c>
      <c r="I36" s="120">
        <v>3750</v>
      </c>
      <c r="J36" s="120">
        <v>3.85</v>
      </c>
      <c r="K36" s="120">
        <v>3.1</v>
      </c>
      <c r="L36" s="124">
        <f t="shared" ca="1" si="16"/>
        <v>0</v>
      </c>
      <c r="M36" s="124">
        <f t="shared" ca="1" si="17"/>
        <v>2812.5</v>
      </c>
      <c r="N36" s="120">
        <f t="shared" ca="1" si="80"/>
        <v>0.80519480519480524</v>
      </c>
      <c r="O36" s="164">
        <f t="shared" ca="1" si="81"/>
        <v>4.8125</v>
      </c>
      <c r="P36" s="168">
        <f t="shared" ca="1" si="20"/>
        <v>14437.5</v>
      </c>
      <c r="Q36" s="168" t="e">
        <f t="shared" ca="1" si="82"/>
        <v>#N/A</v>
      </c>
      <c r="R36" s="184">
        <f t="shared" ca="1" si="22"/>
        <v>0</v>
      </c>
      <c r="S36" s="124">
        <f t="shared" ca="1" si="83"/>
        <v>0.3849999999999999</v>
      </c>
      <c r="T36" s="120">
        <f ca="1">VLOOKUP(TRIM($F36),Reference!B:C,2,0)</f>
        <v>162.15</v>
      </c>
      <c r="U36" s="181">
        <f t="shared" ca="1" si="84"/>
        <v>0</v>
      </c>
      <c r="V36" s="125" t="str">
        <f t="shared" ca="1" si="6"/>
        <v>IEX22MAR190PE</v>
      </c>
      <c r="W36" s="166" t="e">
        <f ca="1">VLOOKUP($V36,Reference!BA:BD,4,0)</f>
        <v>#N/A</v>
      </c>
      <c r="X36" s="168">
        <f t="shared" ca="1" si="7"/>
        <v>0</v>
      </c>
      <c r="Y36" s="168">
        <f t="shared" ca="1" si="8"/>
        <v>0</v>
      </c>
      <c r="Z36" s="168">
        <f t="shared" ca="1" si="25"/>
        <v>0</v>
      </c>
      <c r="AA36" s="168">
        <f t="shared" ca="1" si="9"/>
        <v>0</v>
      </c>
      <c r="AB36" s="168">
        <f t="shared" ca="1" si="10"/>
        <v>0</v>
      </c>
      <c r="AC36" s="124">
        <f t="shared" ca="1" si="11"/>
        <v>0</v>
      </c>
      <c r="AD36" s="120">
        <f t="shared" ca="1" si="85"/>
        <v>-0.29041095890410956</v>
      </c>
      <c r="AE36" s="120">
        <f t="shared" ca="1" si="86"/>
        <v>20</v>
      </c>
      <c r="AF36" s="120"/>
      <c r="AG36" s="120"/>
      <c r="AH36" s="120">
        <f t="shared" ca="1" si="14"/>
        <v>7.21875</v>
      </c>
      <c r="AI36" s="120"/>
      <c r="AJ36" s="120">
        <f t="shared" ca="1" si="15"/>
        <v>0</v>
      </c>
      <c r="AK36" s="120"/>
      <c r="AL36" s="147"/>
      <c r="AM36" s="160"/>
      <c r="AN36" s="160"/>
      <c r="AO36" s="160"/>
      <c r="AP36" s="160"/>
      <c r="AQ36" s="160"/>
      <c r="AR36" s="160"/>
      <c r="AS36" s="160"/>
      <c r="AT36" s="160"/>
      <c r="AU36" s="160"/>
      <c r="AV36" s="160"/>
      <c r="AW36" s="160"/>
      <c r="AX36" s="160"/>
      <c r="AY36" s="160"/>
      <c r="AZ36" s="160"/>
      <c r="BA36" s="160"/>
      <c r="BB36" s="160"/>
      <c r="BC36" s="160"/>
      <c r="BD36" s="160"/>
      <c r="BE36" s="160"/>
      <c r="BF36" s="160"/>
      <c r="BG36" s="160"/>
      <c r="BS36" s="13">
        <v>2</v>
      </c>
      <c r="BT36" s="128">
        <v>44491</v>
      </c>
      <c r="BU36" s="121" t="s">
        <v>8</v>
      </c>
      <c r="BV36" s="120" t="s">
        <v>482</v>
      </c>
      <c r="BW36" s="121" t="s">
        <v>502</v>
      </c>
      <c r="BX36" s="120">
        <v>18400</v>
      </c>
      <c r="BY36" s="120">
        <v>41.7</v>
      </c>
      <c r="BZ36" s="120">
        <v>47.945</v>
      </c>
      <c r="CA36" s="124">
        <v>-3216.6708800000001</v>
      </c>
      <c r="CB36" s="120">
        <v>1.1497601918465228</v>
      </c>
      <c r="CC36" s="120">
        <v>500</v>
      </c>
      <c r="CD36" s="120">
        <v>50</v>
      </c>
      <c r="CE36" s="124">
        <v>20850</v>
      </c>
    </row>
    <row r="37" spans="1:83" hidden="1">
      <c r="A37" s="13">
        <f t="shared" ca="1" si="28"/>
        <v>30</v>
      </c>
      <c r="B37" s="128">
        <v>44613</v>
      </c>
      <c r="C37" s="121" t="s">
        <v>8</v>
      </c>
      <c r="D37" s="121">
        <v>1</v>
      </c>
      <c r="E37" s="120" t="s">
        <v>482</v>
      </c>
      <c r="F37" s="121" t="s">
        <v>126</v>
      </c>
      <c r="G37" s="120">
        <v>190</v>
      </c>
      <c r="H37" s="122">
        <v>44651</v>
      </c>
      <c r="I37" s="120">
        <v>3750</v>
      </c>
      <c r="J37" s="120">
        <v>3.5</v>
      </c>
      <c r="K37" s="120">
        <v>4.0999999999999996</v>
      </c>
      <c r="L37" s="124">
        <f t="shared" ca="1" si="16"/>
        <v>0</v>
      </c>
      <c r="M37" s="124">
        <f t="shared" ca="1" si="17"/>
        <v>-2249.9999999999986</v>
      </c>
      <c r="N37" s="120">
        <f t="shared" ref="N37" ca="1" si="87">K37/$J37</f>
        <v>1.1714285714285713</v>
      </c>
      <c r="O37" s="164">
        <f t="shared" ref="O37" ca="1" si="88">J37*(1+$O$6*IF(C37="B",-1,1))</f>
        <v>4.375</v>
      </c>
      <c r="P37" s="168">
        <f t="shared" ca="1" si="20"/>
        <v>13125</v>
      </c>
      <c r="Q37" s="168" t="e">
        <f t="shared" ref="Q37" ca="1" si="89">(W37-J37)*I37*IF(C37="B",1,-1)*IF(K37=0,1,0)</f>
        <v>#N/A</v>
      </c>
      <c r="R37" s="184">
        <f t="shared" ca="1" si="22"/>
        <v>0</v>
      </c>
      <c r="S37" s="124">
        <f t="shared" ref="S37" ca="1" si="90">(1-$S$6)*J37</f>
        <v>0.34999999999999992</v>
      </c>
      <c r="T37" s="120">
        <f ca="1">VLOOKUP(TRIM($F37),Reference!B:C,2,0)</f>
        <v>162.15</v>
      </c>
      <c r="U37" s="181">
        <f t="shared" ref="U37" ca="1" si="91">AC37</f>
        <v>0</v>
      </c>
      <c r="V37" s="125" t="str">
        <f t="shared" ca="1" si="6"/>
        <v>IEX22MAR190PE</v>
      </c>
      <c r="W37" s="166" t="e">
        <f ca="1">VLOOKUP($V37,Reference!BA:BD,4,0)</f>
        <v>#N/A</v>
      </c>
      <c r="X37" s="168">
        <f t="shared" ca="1" si="7"/>
        <v>0</v>
      </c>
      <c r="Y37" s="168">
        <f t="shared" ca="1" si="8"/>
        <v>0</v>
      </c>
      <c r="Z37" s="168">
        <f t="shared" ca="1" si="25"/>
        <v>0</v>
      </c>
      <c r="AA37" s="168">
        <f t="shared" ca="1" si="9"/>
        <v>0</v>
      </c>
      <c r="AB37" s="168">
        <f t="shared" ca="1" si="10"/>
        <v>0</v>
      </c>
      <c r="AC37" s="124">
        <f t="shared" ca="1" si="11"/>
        <v>0</v>
      </c>
      <c r="AD37" s="120">
        <f t="shared" ref="AD37" ca="1" si="92">(H37-TODAY())/365</f>
        <v>-0.29041095890410956</v>
      </c>
      <c r="AE37" s="120">
        <f t="shared" ref="AE37" ca="1" si="93">IF(I37&lt;&gt;0,20,0)</f>
        <v>20</v>
      </c>
      <c r="AF37" s="120"/>
      <c r="AG37" s="120"/>
      <c r="AH37" s="120">
        <f t="shared" ca="1" si="14"/>
        <v>6.5625</v>
      </c>
      <c r="AI37" s="120"/>
      <c r="AJ37" s="120">
        <f t="shared" ca="1" si="15"/>
        <v>0</v>
      </c>
      <c r="AK37" s="120"/>
      <c r="AL37" s="147"/>
      <c r="AM37" s="160"/>
      <c r="AN37" s="160"/>
      <c r="AO37" s="160"/>
      <c r="AP37" s="160"/>
      <c r="AQ37" s="160"/>
      <c r="AR37" s="160"/>
      <c r="AS37" s="160"/>
      <c r="AT37" s="160"/>
      <c r="AU37" s="160"/>
      <c r="AV37" s="160"/>
      <c r="AW37" s="160"/>
      <c r="AX37" s="160"/>
      <c r="AY37" s="160"/>
      <c r="AZ37" s="160"/>
      <c r="BA37" s="160"/>
      <c r="BB37" s="160"/>
      <c r="BC37" s="160"/>
      <c r="BD37" s="160"/>
      <c r="BE37" s="160"/>
      <c r="BF37" s="160"/>
      <c r="BG37" s="160"/>
      <c r="BS37" s="13">
        <v>2</v>
      </c>
      <c r="BT37" s="128">
        <v>44491</v>
      </c>
      <c r="BU37" s="121" t="s">
        <v>8</v>
      </c>
      <c r="BV37" s="120" t="s">
        <v>482</v>
      </c>
      <c r="BW37" s="121" t="s">
        <v>502</v>
      </c>
      <c r="BX37" s="120">
        <v>18400</v>
      </c>
      <c r="BY37" s="120">
        <v>41.7</v>
      </c>
      <c r="BZ37" s="120">
        <v>47.945</v>
      </c>
      <c r="CA37" s="124">
        <v>-3216.6708800000001</v>
      </c>
      <c r="CB37" s="120">
        <v>1.1497601918465228</v>
      </c>
      <c r="CC37" s="120">
        <v>500</v>
      </c>
      <c r="CD37" s="120">
        <v>50</v>
      </c>
      <c r="CE37" s="124">
        <v>20850</v>
      </c>
    </row>
    <row r="38" spans="1:83" hidden="1">
      <c r="A38" s="13">
        <f t="shared" ca="1" si="28"/>
        <v>31</v>
      </c>
      <c r="B38" s="128">
        <v>44615</v>
      </c>
      <c r="C38" s="121" t="s">
        <v>8</v>
      </c>
      <c r="D38" s="121">
        <v>1</v>
      </c>
      <c r="E38" s="120" t="s">
        <v>481</v>
      </c>
      <c r="F38" s="121" t="s">
        <v>130</v>
      </c>
      <c r="G38" s="120">
        <v>250</v>
      </c>
      <c r="H38" s="122">
        <v>44651</v>
      </c>
      <c r="I38" s="120">
        <v>6750</v>
      </c>
      <c r="J38" s="120">
        <v>2.8</v>
      </c>
      <c r="K38" s="120">
        <v>2</v>
      </c>
      <c r="L38" s="124">
        <f t="shared" ca="1" si="16"/>
        <v>0</v>
      </c>
      <c r="M38" s="124">
        <f t="shared" ca="1" si="17"/>
        <v>5399.9999999999991</v>
      </c>
      <c r="N38" s="120">
        <f t="shared" ref="N38:N42" ca="1" si="94">K38/$J38</f>
        <v>0.7142857142857143</v>
      </c>
      <c r="O38" s="164">
        <f t="shared" ref="O38:O42" ca="1" si="95">J38*(1+$O$6*IF(C38="B",-1,1))</f>
        <v>3.5</v>
      </c>
      <c r="P38" s="168">
        <f t="shared" ca="1" si="20"/>
        <v>18900</v>
      </c>
      <c r="Q38" s="168" t="e">
        <f t="shared" ref="Q38:Q42" ca="1" si="96">(W38-J38)*I38*IF(C38="B",1,-1)*IF(K38=0,1,0)</f>
        <v>#N/A</v>
      </c>
      <c r="R38" s="184">
        <f t="shared" ca="1" si="22"/>
        <v>0</v>
      </c>
      <c r="S38" s="124">
        <f t="shared" ref="S38:S42" ca="1" si="97">(1-$S$6)*J38</f>
        <v>0.27999999999999992</v>
      </c>
      <c r="T38" s="120">
        <f ca="1">VLOOKUP(TRIM($F38),Reference!B:C,2,0)</f>
        <v>221.6</v>
      </c>
      <c r="U38" s="181">
        <f t="shared" ref="U38:U42" ca="1" si="98">AC38</f>
        <v>0</v>
      </c>
      <c r="V38" s="125" t="str">
        <f t="shared" ca="1" si="6"/>
        <v>TATAPOWER22MAR250CE</v>
      </c>
      <c r="W38" s="166" t="e">
        <f ca="1">VLOOKUP($V38,Reference!BA:BD,4,0)</f>
        <v>#N/A</v>
      </c>
      <c r="X38" s="168">
        <f t="shared" ca="1" si="7"/>
        <v>0</v>
      </c>
      <c r="Y38" s="168">
        <f t="shared" ca="1" si="8"/>
        <v>0</v>
      </c>
      <c r="Z38" s="168">
        <f t="shared" ca="1" si="25"/>
        <v>0</v>
      </c>
      <c r="AA38" s="168">
        <f t="shared" ca="1" si="9"/>
        <v>0</v>
      </c>
      <c r="AB38" s="168">
        <f t="shared" ca="1" si="10"/>
        <v>0</v>
      </c>
      <c r="AC38" s="124">
        <f t="shared" ca="1" si="11"/>
        <v>0</v>
      </c>
      <c r="AD38" s="120">
        <f t="shared" ref="AD38:AD42" ca="1" si="99">(H38-TODAY())/365</f>
        <v>-0.29041095890410956</v>
      </c>
      <c r="AE38" s="120">
        <f t="shared" ref="AE38:AE42" ca="1" si="100">IF(I38&lt;&gt;0,20,0)</f>
        <v>20</v>
      </c>
      <c r="AF38" s="120"/>
      <c r="AG38" s="120"/>
      <c r="AH38" s="120">
        <f t="shared" ca="1" si="14"/>
        <v>9.4500000000000011</v>
      </c>
      <c r="AI38" s="120"/>
      <c r="AJ38" s="120">
        <f t="shared" ca="1" si="15"/>
        <v>0</v>
      </c>
      <c r="AK38" s="120"/>
      <c r="AL38" s="147"/>
      <c r="AM38" s="160"/>
      <c r="AN38" s="160"/>
      <c r="AO38" s="160"/>
      <c r="AP38" s="160"/>
      <c r="AQ38" s="160"/>
      <c r="AR38" s="160"/>
      <c r="AS38" s="160"/>
      <c r="AT38" s="160"/>
      <c r="AU38" s="160"/>
      <c r="AV38" s="160"/>
      <c r="AW38" s="160"/>
      <c r="AX38" s="160"/>
      <c r="AY38" s="160"/>
      <c r="AZ38" s="160"/>
      <c r="BA38" s="160"/>
      <c r="BB38" s="160"/>
      <c r="BC38" s="160"/>
      <c r="BD38" s="160"/>
      <c r="BE38" s="160"/>
      <c r="BF38" s="160"/>
      <c r="BG38" s="160"/>
      <c r="BS38" s="13">
        <v>2</v>
      </c>
      <c r="BT38" s="128">
        <v>44491</v>
      </c>
      <c r="BU38" s="121" t="s">
        <v>8</v>
      </c>
      <c r="BV38" s="120" t="s">
        <v>482</v>
      </c>
      <c r="BW38" s="121" t="s">
        <v>502</v>
      </c>
      <c r="BX38" s="120">
        <v>18400</v>
      </c>
      <c r="BY38" s="120">
        <v>41.7</v>
      </c>
      <c r="BZ38" s="120">
        <v>47.945</v>
      </c>
      <c r="CA38" s="124">
        <v>-3216.6708800000001</v>
      </c>
      <c r="CB38" s="120">
        <v>1.1497601918465228</v>
      </c>
      <c r="CC38" s="120">
        <v>500</v>
      </c>
      <c r="CD38" s="120">
        <v>50</v>
      </c>
      <c r="CE38" s="124">
        <v>20850</v>
      </c>
    </row>
    <row r="39" spans="1:83" hidden="1">
      <c r="A39" s="13">
        <f t="shared" ca="1" si="28"/>
        <v>32</v>
      </c>
      <c r="B39" s="128">
        <v>44615</v>
      </c>
      <c r="C39" s="121" t="s">
        <v>8</v>
      </c>
      <c r="D39" s="121">
        <v>1</v>
      </c>
      <c r="E39" s="120" t="s">
        <v>482</v>
      </c>
      <c r="F39" s="121" t="s">
        <v>506</v>
      </c>
      <c r="G39" s="120">
        <v>32000</v>
      </c>
      <c r="H39" s="122">
        <v>44651</v>
      </c>
      <c r="I39" s="120">
        <v>25</v>
      </c>
      <c r="J39" s="120">
        <v>163.5</v>
      </c>
      <c r="K39" s="120">
        <v>3.3</v>
      </c>
      <c r="L39" s="124">
        <f t="shared" ca="1" si="16"/>
        <v>0</v>
      </c>
      <c r="M39" s="124">
        <f t="shared" ca="1" si="17"/>
        <v>4004.9999999999995</v>
      </c>
      <c r="N39" s="120">
        <f t="shared" ca="1" si="94"/>
        <v>2.0183486238532108E-2</v>
      </c>
      <c r="O39" s="164">
        <f t="shared" ca="1" si="95"/>
        <v>204.375</v>
      </c>
      <c r="P39" s="168">
        <f t="shared" ca="1" si="20"/>
        <v>4087.5</v>
      </c>
      <c r="Q39" s="168" t="e">
        <f t="shared" ca="1" si="96"/>
        <v>#N/A</v>
      </c>
      <c r="R39" s="184">
        <f t="shared" ca="1" si="22"/>
        <v>0</v>
      </c>
      <c r="S39" s="124">
        <f t="shared" ca="1" si="97"/>
        <v>16.349999999999998</v>
      </c>
      <c r="T39" s="120">
        <f ca="1">VLOOKUP(TRIM($F39),Reference!B:C,2,0)</f>
        <v>34651.199999999997</v>
      </c>
      <c r="U39" s="125">
        <f t="shared" ca="1" si="98"/>
        <v>0</v>
      </c>
      <c r="V39" s="125" t="str">
        <f t="shared" ca="1" si="6"/>
        <v>BANKNIFTY22MAR32000PE</v>
      </c>
      <c r="W39" s="166" t="e">
        <f ca="1">VLOOKUP($V39,Reference!BA:BD,4,0)</f>
        <v>#N/A</v>
      </c>
      <c r="X39" s="168">
        <f t="shared" ca="1" si="7"/>
        <v>0</v>
      </c>
      <c r="Y39" s="168">
        <f t="shared" ca="1" si="8"/>
        <v>0</v>
      </c>
      <c r="Z39" s="168">
        <f t="shared" ca="1" si="25"/>
        <v>0</v>
      </c>
      <c r="AA39" s="168">
        <f t="shared" ca="1" si="9"/>
        <v>0</v>
      </c>
      <c r="AB39" s="168">
        <f t="shared" ca="1" si="10"/>
        <v>0</v>
      </c>
      <c r="AC39" s="124">
        <f t="shared" ca="1" si="11"/>
        <v>0</v>
      </c>
      <c r="AD39" s="120">
        <f t="shared" ca="1" si="99"/>
        <v>-0.29041095890410956</v>
      </c>
      <c r="AE39" s="120">
        <f t="shared" ca="1" si="100"/>
        <v>20</v>
      </c>
      <c r="AF39" s="120"/>
      <c r="AG39" s="120"/>
      <c r="AH39" s="120">
        <f t="shared" ca="1" si="14"/>
        <v>2.0437500000000002</v>
      </c>
      <c r="AI39" s="120"/>
      <c r="AJ39" s="120">
        <f t="shared" ca="1" si="15"/>
        <v>0</v>
      </c>
      <c r="AK39" s="120"/>
      <c r="AM39" s="161"/>
      <c r="AN39" s="161"/>
      <c r="AO39" s="161"/>
      <c r="AP39" s="161"/>
      <c r="AQ39" s="161"/>
      <c r="AR39" s="161"/>
      <c r="AS39" s="161"/>
      <c r="AT39" s="161"/>
      <c r="AU39" s="161"/>
      <c r="AV39" s="161"/>
      <c r="AW39" s="161"/>
      <c r="AX39" s="161"/>
      <c r="AY39" s="161"/>
      <c r="AZ39" s="161"/>
      <c r="BA39" s="161"/>
      <c r="BB39" s="161"/>
      <c r="BC39" s="161"/>
      <c r="BD39" s="161"/>
      <c r="BE39" s="161"/>
      <c r="BF39" s="161"/>
      <c r="BG39" s="161"/>
      <c r="BS39" s="11">
        <v>2</v>
      </c>
      <c r="BT39" s="11">
        <v>44491</v>
      </c>
      <c r="BU39" s="11" t="s">
        <v>8</v>
      </c>
      <c r="BV39" s="11" t="s">
        <v>482</v>
      </c>
      <c r="BW39" s="11" t="s">
        <v>502</v>
      </c>
      <c r="BX39" s="11">
        <v>18400</v>
      </c>
      <c r="BY39" s="11">
        <v>41.7</v>
      </c>
      <c r="BZ39" s="11">
        <v>47.945</v>
      </c>
      <c r="CA39" s="11">
        <v>-3216.6708800000001</v>
      </c>
      <c r="CB39" s="11">
        <v>1.1497601918465228</v>
      </c>
      <c r="CC39" s="11">
        <v>500</v>
      </c>
      <c r="CD39" s="11">
        <v>50</v>
      </c>
      <c r="CE39" s="11">
        <v>20850</v>
      </c>
    </row>
    <row r="40" spans="1:83" hidden="1">
      <c r="A40" s="13">
        <f t="shared" ca="1" si="28"/>
        <v>33</v>
      </c>
      <c r="B40" s="128">
        <v>44615</v>
      </c>
      <c r="C40" s="121" t="s">
        <v>8</v>
      </c>
      <c r="D40" s="121">
        <v>1</v>
      </c>
      <c r="E40" s="120" t="s">
        <v>482</v>
      </c>
      <c r="F40" s="121" t="s">
        <v>506</v>
      </c>
      <c r="G40" s="120">
        <v>33000</v>
      </c>
      <c r="H40" s="122">
        <v>44651</v>
      </c>
      <c r="I40" s="120">
        <v>25</v>
      </c>
      <c r="J40" s="120">
        <v>235</v>
      </c>
      <c r="K40" s="120">
        <v>1650.6</v>
      </c>
      <c r="L40" s="124">
        <f t="shared" ca="1" si="16"/>
        <v>0</v>
      </c>
      <c r="M40" s="124">
        <f t="shared" ca="1" si="17"/>
        <v>-35390</v>
      </c>
      <c r="N40" s="120">
        <f t="shared" ca="1" si="94"/>
        <v>7.0238297872340425</v>
      </c>
      <c r="O40" s="164">
        <f t="shared" ca="1" si="95"/>
        <v>293.75</v>
      </c>
      <c r="P40" s="168">
        <f t="shared" ca="1" si="20"/>
        <v>5875</v>
      </c>
      <c r="Q40" s="168" t="e">
        <f t="shared" ca="1" si="96"/>
        <v>#N/A</v>
      </c>
      <c r="R40" s="184">
        <f t="shared" ca="1" si="22"/>
        <v>0</v>
      </c>
      <c r="S40" s="124">
        <f t="shared" ca="1" si="97"/>
        <v>23.499999999999996</v>
      </c>
      <c r="T40" s="120">
        <f ca="1">VLOOKUP(TRIM($F40),Reference!B:C,2,0)</f>
        <v>34651.199999999997</v>
      </c>
      <c r="U40" s="125">
        <f t="shared" ca="1" si="98"/>
        <v>0</v>
      </c>
      <c r="V40" s="125" t="str">
        <f t="shared" ca="1" si="6"/>
        <v>BANKNIFTY22MAR33000PE</v>
      </c>
      <c r="W40" s="166" t="e">
        <f ca="1">VLOOKUP($V40,Reference!BA:BD,4,0)</f>
        <v>#N/A</v>
      </c>
      <c r="X40" s="168">
        <f t="shared" ca="1" si="7"/>
        <v>0</v>
      </c>
      <c r="Y40" s="168">
        <f t="shared" ca="1" si="8"/>
        <v>0</v>
      </c>
      <c r="Z40" s="168">
        <f t="shared" ca="1" si="25"/>
        <v>0</v>
      </c>
      <c r="AA40" s="168">
        <f t="shared" ca="1" si="9"/>
        <v>0</v>
      </c>
      <c r="AB40" s="168">
        <f t="shared" ca="1" si="10"/>
        <v>0</v>
      </c>
      <c r="AC40" s="124">
        <f t="shared" ca="1" si="11"/>
        <v>0</v>
      </c>
      <c r="AD40" s="120">
        <f t="shared" ca="1" si="99"/>
        <v>-0.29041095890410956</v>
      </c>
      <c r="AE40" s="120">
        <f t="shared" ca="1" si="100"/>
        <v>20</v>
      </c>
      <c r="AF40" s="120"/>
      <c r="AG40" s="120"/>
      <c r="AH40" s="120">
        <f t="shared" ca="1" si="14"/>
        <v>2.9375</v>
      </c>
      <c r="AI40" s="120"/>
      <c r="AJ40" s="120">
        <f t="shared" ca="1" si="15"/>
        <v>0</v>
      </c>
      <c r="AK40" s="120"/>
      <c r="AM40" s="161"/>
      <c r="AN40" s="161"/>
      <c r="AO40" s="161"/>
      <c r="AP40" s="161"/>
      <c r="AQ40" s="161"/>
      <c r="AR40" s="161"/>
      <c r="AS40" s="161"/>
      <c r="AT40" s="161"/>
      <c r="AU40" s="161"/>
      <c r="AV40" s="161"/>
      <c r="AW40" s="161"/>
      <c r="AX40" s="161"/>
      <c r="AY40" s="161"/>
      <c r="AZ40" s="161"/>
      <c r="BA40" s="161"/>
      <c r="BB40" s="161"/>
      <c r="BC40" s="161"/>
      <c r="BD40" s="161"/>
      <c r="BE40" s="161"/>
      <c r="BF40" s="161"/>
      <c r="BG40" s="161"/>
      <c r="BS40" s="11">
        <v>2</v>
      </c>
      <c r="BT40" s="11">
        <v>44491</v>
      </c>
      <c r="BU40" s="11" t="s">
        <v>8</v>
      </c>
      <c r="BV40" s="11" t="s">
        <v>482</v>
      </c>
      <c r="BW40" s="11" t="s">
        <v>502</v>
      </c>
      <c r="BX40" s="11">
        <v>18400</v>
      </c>
      <c r="BY40" s="11">
        <v>41.7</v>
      </c>
      <c r="BZ40" s="11">
        <v>47.945</v>
      </c>
      <c r="CA40" s="11">
        <v>-3216.6708800000001</v>
      </c>
      <c r="CB40" s="11">
        <v>1.1497601918465228</v>
      </c>
      <c r="CC40" s="11">
        <v>500</v>
      </c>
      <c r="CD40" s="11">
        <v>50</v>
      </c>
      <c r="CE40" s="11">
        <v>20850</v>
      </c>
    </row>
    <row r="41" spans="1:83" hidden="1">
      <c r="A41" s="13">
        <f t="shared" ca="1" si="28"/>
        <v>34</v>
      </c>
      <c r="B41" s="128">
        <v>44615</v>
      </c>
      <c r="C41" s="121" t="s">
        <v>8</v>
      </c>
      <c r="D41" s="121">
        <v>1</v>
      </c>
      <c r="E41" s="120" t="s">
        <v>482</v>
      </c>
      <c r="F41" s="121" t="s">
        <v>502</v>
      </c>
      <c r="G41" s="120">
        <v>14000</v>
      </c>
      <c r="H41" s="122">
        <v>44651</v>
      </c>
      <c r="I41" s="120">
        <v>150</v>
      </c>
      <c r="J41" s="120">
        <v>27.92</v>
      </c>
      <c r="K41" s="120">
        <v>1.7</v>
      </c>
      <c r="L41" s="124">
        <f t="shared" ca="1" si="16"/>
        <v>0</v>
      </c>
      <c r="M41" s="124">
        <f t="shared" ca="1" si="17"/>
        <v>3933.0000000000005</v>
      </c>
      <c r="N41" s="120">
        <f t="shared" ca="1" si="94"/>
        <v>6.0888252148997131E-2</v>
      </c>
      <c r="O41" s="164">
        <f t="shared" ca="1" si="95"/>
        <v>34.900000000000006</v>
      </c>
      <c r="P41" s="168">
        <f t="shared" ca="1" si="20"/>
        <v>4188</v>
      </c>
      <c r="Q41" s="168" t="e">
        <f t="shared" ca="1" si="96"/>
        <v>#N/A</v>
      </c>
      <c r="R41" s="184">
        <f t="shared" ca="1" si="22"/>
        <v>0</v>
      </c>
      <c r="S41" s="124">
        <f t="shared" ca="1" si="97"/>
        <v>2.7919999999999994</v>
      </c>
      <c r="T41" s="120">
        <f ca="1">VLOOKUP(TRIM($F41),Reference!B:C,2,0)</f>
        <v>15938.65</v>
      </c>
      <c r="U41" s="125">
        <f t="shared" ca="1" si="98"/>
        <v>0</v>
      </c>
      <c r="V41" s="125" t="str">
        <f t="shared" ca="1" si="6"/>
        <v>NIFTY22MAR14000PE</v>
      </c>
      <c r="W41" s="166" t="e">
        <f ca="1">VLOOKUP($V41,Reference!BA:BD,4,0)</f>
        <v>#N/A</v>
      </c>
      <c r="X41" s="168">
        <f t="shared" ca="1" si="7"/>
        <v>0</v>
      </c>
      <c r="Y41" s="168">
        <f t="shared" ca="1" si="8"/>
        <v>0</v>
      </c>
      <c r="Z41" s="168">
        <f t="shared" ca="1" si="25"/>
        <v>0</v>
      </c>
      <c r="AA41" s="168">
        <f t="shared" ca="1" si="9"/>
        <v>0</v>
      </c>
      <c r="AB41" s="168">
        <f t="shared" ca="1" si="10"/>
        <v>0</v>
      </c>
      <c r="AC41" s="124">
        <f t="shared" ca="1" si="11"/>
        <v>0</v>
      </c>
      <c r="AD41" s="120">
        <f t="shared" ca="1" si="99"/>
        <v>-0.29041095890410956</v>
      </c>
      <c r="AE41" s="120">
        <f t="shared" ca="1" si="100"/>
        <v>20</v>
      </c>
      <c r="AF41" s="120"/>
      <c r="AG41" s="120"/>
      <c r="AH41" s="120">
        <f t="shared" ca="1" si="14"/>
        <v>2.0939999999999999</v>
      </c>
      <c r="AI41" s="120"/>
      <c r="AJ41" s="120">
        <f t="shared" ca="1" si="15"/>
        <v>0</v>
      </c>
      <c r="AK41" s="120"/>
      <c r="AL41" s="145">
        <v>1</v>
      </c>
      <c r="AM41" s="161"/>
      <c r="AN41" s="161"/>
      <c r="AO41" s="161"/>
      <c r="AP41" s="161"/>
      <c r="AQ41" s="161"/>
      <c r="AR41" s="161"/>
      <c r="AS41" s="161"/>
      <c r="AT41" s="161"/>
      <c r="AU41" s="161"/>
      <c r="AV41" s="161"/>
      <c r="AW41" s="161"/>
      <c r="AX41" s="161"/>
      <c r="AY41" s="161"/>
      <c r="AZ41" s="161"/>
      <c r="BA41" s="161"/>
      <c r="BB41" s="161"/>
      <c r="BC41" s="161"/>
      <c r="BD41" s="161"/>
      <c r="BE41" s="161"/>
      <c r="BF41" s="161"/>
      <c r="BG41" s="161"/>
      <c r="BS41" s="11">
        <v>3</v>
      </c>
      <c r="BT41" s="11">
        <v>44491</v>
      </c>
      <c r="BU41" s="11" t="s">
        <v>8</v>
      </c>
      <c r="BV41" s="11" t="s">
        <v>481</v>
      </c>
      <c r="BW41" s="11" t="s">
        <v>502</v>
      </c>
      <c r="BX41" s="11">
        <v>18700</v>
      </c>
      <c r="BY41" s="11">
        <v>34.75</v>
      </c>
      <c r="BZ41" s="11">
        <v>0.05</v>
      </c>
      <c r="CA41" s="11">
        <v>17263.657599999999</v>
      </c>
      <c r="CB41" s="11">
        <v>1.4388489208633094E-3</v>
      </c>
      <c r="CC41" s="11">
        <v>500</v>
      </c>
      <c r="CD41" s="11">
        <v>50</v>
      </c>
      <c r="CE41" s="11">
        <v>17375</v>
      </c>
    </row>
    <row r="42" spans="1:83" hidden="1">
      <c r="A42" s="13">
        <f t="shared" ca="1" si="28"/>
        <v>35</v>
      </c>
      <c r="B42" s="128">
        <v>44615</v>
      </c>
      <c r="C42" s="121" t="s">
        <v>8</v>
      </c>
      <c r="D42" s="121">
        <v>1</v>
      </c>
      <c r="E42" s="120" t="s">
        <v>481</v>
      </c>
      <c r="F42" s="121" t="s">
        <v>502</v>
      </c>
      <c r="G42" s="120">
        <v>18500</v>
      </c>
      <c r="H42" s="122">
        <v>44651</v>
      </c>
      <c r="I42" s="120">
        <v>150</v>
      </c>
      <c r="J42" s="120">
        <v>69.55</v>
      </c>
      <c r="K42" s="120">
        <v>10.1</v>
      </c>
      <c r="L42" s="124">
        <f t="shared" ca="1" si="16"/>
        <v>0</v>
      </c>
      <c r="M42" s="124">
        <f t="shared" ca="1" si="17"/>
        <v>8917.5</v>
      </c>
      <c r="N42" s="120">
        <f t="shared" ca="1" si="94"/>
        <v>0.14521926671459381</v>
      </c>
      <c r="O42" s="164">
        <f t="shared" ca="1" si="95"/>
        <v>86.9375</v>
      </c>
      <c r="P42" s="168">
        <f t="shared" ca="1" si="20"/>
        <v>10432.5</v>
      </c>
      <c r="Q42" s="168" t="e">
        <f t="shared" ca="1" si="96"/>
        <v>#N/A</v>
      </c>
      <c r="R42" s="184">
        <f t="shared" ca="1" si="22"/>
        <v>0</v>
      </c>
      <c r="S42" s="124">
        <f t="shared" ca="1" si="97"/>
        <v>6.9549999999999983</v>
      </c>
      <c r="T42" s="120">
        <f ca="1">VLOOKUP(TRIM($F42),Reference!B:C,2,0)</f>
        <v>15938.65</v>
      </c>
      <c r="U42" s="125">
        <f t="shared" ca="1" si="98"/>
        <v>0</v>
      </c>
      <c r="V42" s="125" t="str">
        <f t="shared" ca="1" si="6"/>
        <v>NIFTY22MAR18500CE</v>
      </c>
      <c r="W42" s="166" t="e">
        <f ca="1">VLOOKUP($V42,Reference!BA:BD,4,0)</f>
        <v>#N/A</v>
      </c>
      <c r="X42" s="168">
        <f t="shared" ca="1" si="7"/>
        <v>0</v>
      </c>
      <c r="Y42" s="168">
        <f t="shared" ca="1" si="8"/>
        <v>0</v>
      </c>
      <c r="Z42" s="168">
        <f t="shared" ca="1" si="25"/>
        <v>0</v>
      </c>
      <c r="AA42" s="168">
        <f t="shared" ca="1" si="9"/>
        <v>0</v>
      </c>
      <c r="AB42" s="168">
        <f t="shared" ca="1" si="10"/>
        <v>0</v>
      </c>
      <c r="AC42" s="124">
        <f t="shared" ca="1" si="11"/>
        <v>0</v>
      </c>
      <c r="AD42" s="120">
        <f t="shared" ca="1" si="99"/>
        <v>-0.29041095890410956</v>
      </c>
      <c r="AE42" s="120">
        <f t="shared" ca="1" si="100"/>
        <v>20</v>
      </c>
      <c r="AF42" s="120"/>
      <c r="AG42" s="120"/>
      <c r="AH42" s="120">
        <f t="shared" ca="1" si="14"/>
        <v>5.2162500000000005</v>
      </c>
      <c r="AI42" s="120"/>
      <c r="AJ42" s="120">
        <f t="shared" ca="1" si="15"/>
        <v>0</v>
      </c>
      <c r="AK42" s="120"/>
      <c r="AL42" s="145">
        <v>1</v>
      </c>
      <c r="AM42" s="161"/>
      <c r="AN42" s="161"/>
      <c r="AO42" s="161"/>
      <c r="AP42" s="161"/>
      <c r="AQ42" s="161"/>
      <c r="AR42" s="161"/>
      <c r="AS42" s="161"/>
      <c r="AT42" s="161"/>
      <c r="AU42" s="161"/>
      <c r="AV42" s="161"/>
      <c r="AW42" s="161"/>
      <c r="AX42" s="161"/>
      <c r="AY42" s="161"/>
      <c r="AZ42" s="161"/>
      <c r="BA42" s="161"/>
      <c r="BB42" s="161"/>
      <c r="BC42" s="161"/>
      <c r="BD42" s="161"/>
      <c r="BE42" s="161"/>
      <c r="BF42" s="161"/>
      <c r="BG42" s="161"/>
      <c r="BS42" s="11">
        <v>3</v>
      </c>
      <c r="BT42" s="11">
        <v>44491</v>
      </c>
      <c r="BU42" s="11" t="s">
        <v>8</v>
      </c>
      <c r="BV42" s="11" t="s">
        <v>481</v>
      </c>
      <c r="BW42" s="11" t="s">
        <v>502</v>
      </c>
      <c r="BX42" s="11">
        <v>18700</v>
      </c>
      <c r="BY42" s="11">
        <v>34.75</v>
      </c>
      <c r="BZ42" s="11">
        <v>0.05</v>
      </c>
      <c r="CA42" s="11">
        <v>17263.657599999999</v>
      </c>
      <c r="CB42" s="11">
        <v>1.4388489208633094E-3</v>
      </c>
      <c r="CC42" s="11">
        <v>500</v>
      </c>
      <c r="CD42" s="11">
        <v>50</v>
      </c>
      <c r="CE42" s="11">
        <v>17375</v>
      </c>
    </row>
    <row r="43" spans="1:83" hidden="1">
      <c r="A43" s="13">
        <f t="shared" ca="1" si="28"/>
        <v>36</v>
      </c>
      <c r="B43" s="128">
        <v>44615</v>
      </c>
      <c r="C43" s="121" t="s">
        <v>8</v>
      </c>
      <c r="D43" s="121">
        <v>1</v>
      </c>
      <c r="E43" s="120" t="s">
        <v>482</v>
      </c>
      <c r="F43" s="121" t="s">
        <v>506</v>
      </c>
      <c r="G43" s="120">
        <v>34000</v>
      </c>
      <c r="H43" s="122">
        <v>44651</v>
      </c>
      <c r="I43" s="120">
        <v>50</v>
      </c>
      <c r="J43" s="120">
        <v>254</v>
      </c>
      <c r="K43" s="120">
        <v>6.3</v>
      </c>
      <c r="L43" s="124">
        <f t="shared" ca="1" si="16"/>
        <v>0</v>
      </c>
      <c r="M43" s="124">
        <f t="shared" ca="1" si="17"/>
        <v>12385</v>
      </c>
      <c r="N43" s="120">
        <f t="shared" ref="N43:N45" ca="1" si="101">K43/$J43</f>
        <v>2.4803149606299212E-2</v>
      </c>
      <c r="O43" s="164">
        <f t="shared" ref="O43:O45" ca="1" si="102">J43*(1+$O$6*IF(C43="B",-1,1))</f>
        <v>317.5</v>
      </c>
      <c r="P43" s="168">
        <f t="shared" ca="1" si="20"/>
        <v>12700</v>
      </c>
      <c r="Q43" s="168" t="e">
        <f t="shared" ref="Q43:Q44" ca="1" si="103">(W43-J43)*I43*IF(C43="B",1,-1)*IF(K43=0,1,0)</f>
        <v>#N/A</v>
      </c>
      <c r="R43" s="184">
        <f t="shared" ca="1" si="22"/>
        <v>0</v>
      </c>
      <c r="S43" s="124">
        <f t="shared" ref="S43:S45" ca="1" si="104">(1-$S$6)*J43</f>
        <v>25.399999999999995</v>
      </c>
      <c r="T43" s="120">
        <f ca="1">VLOOKUP(TRIM($F43),Reference!B:C,2,0)</f>
        <v>34651.199999999997</v>
      </c>
      <c r="U43" s="125">
        <f t="shared" ref="U43:U45" ca="1" si="105">AC43</f>
        <v>0</v>
      </c>
      <c r="V43" s="125" t="str">
        <f t="shared" ca="1" si="6"/>
        <v>BANKNIFTY22MAR34000PE</v>
      </c>
      <c r="W43" s="166" t="e">
        <f ca="1">VLOOKUP($V43,Reference!BA:BD,4,0)</f>
        <v>#N/A</v>
      </c>
      <c r="X43" s="168">
        <f t="shared" ca="1" si="7"/>
        <v>0</v>
      </c>
      <c r="Y43" s="168">
        <f t="shared" ca="1" si="8"/>
        <v>0</v>
      </c>
      <c r="Z43" s="168">
        <f t="shared" ca="1" si="25"/>
        <v>0</v>
      </c>
      <c r="AA43" s="168">
        <f t="shared" ca="1" si="9"/>
        <v>0</v>
      </c>
      <c r="AB43" s="168">
        <f t="shared" ca="1" si="10"/>
        <v>0</v>
      </c>
      <c r="AC43" s="124">
        <f t="shared" ca="1" si="11"/>
        <v>0</v>
      </c>
      <c r="AD43" s="120">
        <f t="shared" ref="AD43:AD45" ca="1" si="106">(H43-TODAY())/365</f>
        <v>-0.29041095890410956</v>
      </c>
      <c r="AE43" s="120">
        <f t="shared" ref="AE43:AE45" ca="1" si="107">IF(I43&lt;&gt;0,20,0)</f>
        <v>20</v>
      </c>
      <c r="AF43" s="120"/>
      <c r="AG43" s="120"/>
      <c r="AH43" s="120">
        <f t="shared" ca="1" si="14"/>
        <v>6.3500000000000005</v>
      </c>
      <c r="AI43" s="120"/>
      <c r="AJ43" s="120">
        <f t="shared" ca="1" si="15"/>
        <v>0</v>
      </c>
      <c r="AK43" s="120"/>
      <c r="AM43" s="161"/>
      <c r="AN43" s="161"/>
      <c r="AO43" s="161"/>
      <c r="AP43" s="161"/>
      <c r="AQ43" s="161"/>
      <c r="AR43" s="161"/>
      <c r="AS43" s="161"/>
      <c r="AT43" s="161"/>
      <c r="AU43" s="161"/>
      <c r="AV43" s="161"/>
      <c r="AW43" s="161"/>
      <c r="AX43" s="161"/>
      <c r="AY43" s="161"/>
      <c r="AZ43" s="161"/>
      <c r="BA43" s="161"/>
      <c r="BB43" s="161"/>
      <c r="BC43" s="161"/>
      <c r="BD43" s="161"/>
      <c r="BE43" s="161"/>
      <c r="BF43" s="161"/>
      <c r="BG43" s="161"/>
      <c r="BS43" s="11">
        <v>2</v>
      </c>
      <c r="BT43" s="11">
        <v>44491</v>
      </c>
      <c r="BU43" s="11" t="s">
        <v>8</v>
      </c>
      <c r="BV43" s="11" t="s">
        <v>482</v>
      </c>
      <c r="BW43" s="11" t="s">
        <v>502</v>
      </c>
      <c r="BX43" s="11">
        <v>18400</v>
      </c>
      <c r="BY43" s="11">
        <v>41.7</v>
      </c>
      <c r="BZ43" s="11">
        <v>47.945</v>
      </c>
      <c r="CA43" s="11">
        <v>-3216.6708800000001</v>
      </c>
      <c r="CB43" s="11">
        <v>1.1497601918465228</v>
      </c>
      <c r="CC43" s="11">
        <v>500</v>
      </c>
      <c r="CD43" s="11">
        <v>50</v>
      </c>
      <c r="CE43" s="11">
        <v>20850</v>
      </c>
    </row>
    <row r="44" spans="1:83" hidden="1">
      <c r="A44" s="13">
        <f t="shared" ca="1" si="28"/>
        <v>37</v>
      </c>
      <c r="B44" s="128">
        <v>44616</v>
      </c>
      <c r="C44" s="121" t="s">
        <v>6</v>
      </c>
      <c r="D44" s="121">
        <v>1</v>
      </c>
      <c r="E44" s="120" t="s">
        <v>632</v>
      </c>
      <c r="F44" s="121" t="s">
        <v>502</v>
      </c>
      <c r="G44" s="120"/>
      <c r="H44" s="122">
        <v>44651</v>
      </c>
      <c r="I44" s="120">
        <v>50</v>
      </c>
      <c r="J44" s="120">
        <v>16595</v>
      </c>
      <c r="K44" s="120">
        <v>17442.650000000001</v>
      </c>
      <c r="L44" s="124">
        <f t="shared" ca="1" si="16"/>
        <v>0</v>
      </c>
      <c r="M44" s="124">
        <f t="shared" ca="1" si="17"/>
        <v>42382.500000000073</v>
      </c>
      <c r="N44" s="120">
        <f t="shared" ca="1" si="101"/>
        <v>1.0510786381440194</v>
      </c>
      <c r="O44" s="164">
        <f t="shared" ca="1" si="102"/>
        <v>12446.25</v>
      </c>
      <c r="P44" s="168">
        <f t="shared" ca="1" si="20"/>
        <v>829750</v>
      </c>
      <c r="Q44" s="168" t="e">
        <f t="shared" ca="1" si="103"/>
        <v>#N/A</v>
      </c>
      <c r="R44" s="184">
        <f t="shared" ca="1" si="22"/>
        <v>0</v>
      </c>
      <c r="S44" s="124">
        <f t="shared" ca="1" si="104"/>
        <v>1659.4999999999995</v>
      </c>
      <c r="T44" s="120">
        <f ca="1">VLOOKUP(TRIM($F44),Reference!B:C,2,0)</f>
        <v>15938.65</v>
      </c>
      <c r="U44" s="181">
        <f t="shared" ca="1" si="105"/>
        <v>0</v>
      </c>
      <c r="V44" s="125" t="str">
        <f t="shared" ca="1" si="6"/>
        <v>NIFTY22MARFUT</v>
      </c>
      <c r="W44" s="166" t="e">
        <f ca="1">VLOOKUP($V44,Reference!BA:BD,4,0)</f>
        <v>#N/A</v>
      </c>
      <c r="X44" s="168">
        <f t="shared" ca="1" si="7"/>
        <v>0</v>
      </c>
      <c r="Y44" s="168">
        <f t="shared" ca="1" si="8"/>
        <v>0</v>
      </c>
      <c r="Z44" s="168">
        <f t="shared" ca="1" si="25"/>
        <v>0</v>
      </c>
      <c r="AA44" s="168">
        <f t="shared" ca="1" si="9"/>
        <v>0</v>
      </c>
      <c r="AB44" s="168">
        <f t="shared" ca="1" si="10"/>
        <v>0</v>
      </c>
      <c r="AC44" s="124">
        <f t="shared" ca="1" si="11"/>
        <v>0</v>
      </c>
      <c r="AD44" s="120">
        <f t="shared" ca="1" si="106"/>
        <v>-0.29041095890410956</v>
      </c>
      <c r="AE44" s="120">
        <f t="shared" ca="1" si="107"/>
        <v>20</v>
      </c>
      <c r="AF44" s="120"/>
      <c r="AG44" s="120"/>
      <c r="AH44" s="120">
        <f t="shared" ca="1" si="14"/>
        <v>0</v>
      </c>
      <c r="AI44" s="120"/>
      <c r="AJ44" s="120">
        <f t="shared" ca="1" si="15"/>
        <v>24.892500000000002</v>
      </c>
      <c r="AK44" s="120"/>
      <c r="AL44" s="147"/>
      <c r="AM44" s="160"/>
      <c r="AN44" s="160"/>
      <c r="AO44" s="160"/>
      <c r="AP44" s="160"/>
      <c r="AQ44" s="160"/>
      <c r="AR44" s="160"/>
      <c r="AS44" s="160"/>
      <c r="AT44" s="160"/>
      <c r="AU44" s="160"/>
      <c r="AV44" s="160"/>
      <c r="AW44" s="160"/>
      <c r="AX44" s="160"/>
      <c r="AY44" s="160"/>
      <c r="AZ44" s="160"/>
      <c r="BA44" s="160"/>
      <c r="BB44" s="160"/>
      <c r="BC44" s="160"/>
      <c r="BD44" s="160"/>
      <c r="BE44" s="160"/>
      <c r="BF44" s="160"/>
      <c r="BG44" s="160"/>
      <c r="BS44" s="13">
        <v>2</v>
      </c>
      <c r="BT44" s="128">
        <v>44491</v>
      </c>
      <c r="BU44" s="121" t="s">
        <v>8</v>
      </c>
      <c r="BV44" s="120" t="s">
        <v>482</v>
      </c>
      <c r="BW44" s="121" t="s">
        <v>502</v>
      </c>
      <c r="BX44" s="120">
        <v>18400</v>
      </c>
      <c r="BY44" s="120">
        <v>41.7</v>
      </c>
      <c r="BZ44" s="120">
        <v>47.945</v>
      </c>
      <c r="CA44" s="124">
        <v>-3216.6708800000001</v>
      </c>
      <c r="CB44" s="120">
        <v>1.1497601918465228</v>
      </c>
      <c r="CC44" s="120">
        <v>500</v>
      </c>
      <c r="CD44" s="120">
        <v>50</v>
      </c>
      <c r="CE44" s="124">
        <v>20850</v>
      </c>
    </row>
    <row r="45" spans="1:83" hidden="1">
      <c r="A45" s="13">
        <f t="shared" ca="1" si="28"/>
        <v>38</v>
      </c>
      <c r="B45" s="128">
        <v>44616</v>
      </c>
      <c r="C45" s="121" t="s">
        <v>8</v>
      </c>
      <c r="D45" s="121">
        <v>1</v>
      </c>
      <c r="E45" s="120" t="s">
        <v>481</v>
      </c>
      <c r="F45" s="121" t="s">
        <v>502</v>
      </c>
      <c r="G45" s="120">
        <v>17800</v>
      </c>
      <c r="H45" s="122">
        <v>44651</v>
      </c>
      <c r="I45" s="120">
        <v>100</v>
      </c>
      <c r="J45" s="120">
        <v>110.5</v>
      </c>
      <c r="K45" s="120">
        <v>34.299999999999997</v>
      </c>
      <c r="L45" s="124">
        <f t="shared" ca="1" si="16"/>
        <v>0</v>
      </c>
      <c r="M45" s="124">
        <f t="shared" ca="1" si="17"/>
        <v>7620</v>
      </c>
      <c r="N45" s="120">
        <f t="shared" ca="1" si="101"/>
        <v>0.31040723981900448</v>
      </c>
      <c r="O45" s="164">
        <f t="shared" ca="1" si="102"/>
        <v>138.125</v>
      </c>
      <c r="P45" s="168">
        <f t="shared" ca="1" si="20"/>
        <v>11050</v>
      </c>
      <c r="Q45" s="168" t="e">
        <f ca="1">(W45-J45)*I45*IF(C45="B",1,-1)*IF(K45=0,1,0)</f>
        <v>#N/A</v>
      </c>
      <c r="R45" s="184">
        <f t="shared" ca="1" si="22"/>
        <v>0</v>
      </c>
      <c r="S45" s="124">
        <f t="shared" ca="1" si="104"/>
        <v>11.049999999999997</v>
      </c>
      <c r="T45" s="120">
        <f ca="1">VLOOKUP(TRIM($F45),Reference!B:C,2,0)</f>
        <v>15938.65</v>
      </c>
      <c r="U45" s="125">
        <f t="shared" ca="1" si="105"/>
        <v>0</v>
      </c>
      <c r="V45" s="125" t="str">
        <f t="shared" ca="1" si="6"/>
        <v>NIFTY22MAR17800CE</v>
      </c>
      <c r="W45" s="166" t="e">
        <f ca="1">VLOOKUP($V45,Reference!BA:BD,4,0)</f>
        <v>#N/A</v>
      </c>
      <c r="X45" s="168">
        <f t="shared" ca="1" si="7"/>
        <v>0</v>
      </c>
      <c r="Y45" s="168">
        <f t="shared" ca="1" si="8"/>
        <v>0</v>
      </c>
      <c r="Z45" s="168">
        <f t="shared" ca="1" si="25"/>
        <v>0</v>
      </c>
      <c r="AA45" s="168">
        <f t="shared" ca="1" si="9"/>
        <v>0</v>
      </c>
      <c r="AB45" s="168">
        <f t="shared" ca="1" si="10"/>
        <v>0</v>
      </c>
      <c r="AC45" s="124">
        <f t="shared" ca="1" si="11"/>
        <v>0</v>
      </c>
      <c r="AD45" s="120">
        <f t="shared" ca="1" si="106"/>
        <v>-0.29041095890410956</v>
      </c>
      <c r="AE45" s="120">
        <f t="shared" ca="1" si="107"/>
        <v>20</v>
      </c>
      <c r="AF45" s="120"/>
      <c r="AG45" s="120"/>
      <c r="AH45" s="120">
        <f t="shared" ca="1" si="14"/>
        <v>5.5250000000000004</v>
      </c>
      <c r="AI45" s="120"/>
      <c r="AJ45" s="120">
        <f t="shared" ca="1" si="15"/>
        <v>0</v>
      </c>
      <c r="AK45" s="120"/>
      <c r="AL45" s="145">
        <v>1</v>
      </c>
      <c r="AM45" s="161"/>
      <c r="AN45" s="161"/>
      <c r="AO45" s="161"/>
      <c r="AP45" s="161"/>
      <c r="AQ45" s="161"/>
      <c r="AR45" s="161"/>
      <c r="AS45" s="161"/>
      <c r="AT45" s="161"/>
      <c r="AU45" s="161"/>
      <c r="AV45" s="161"/>
      <c r="AW45" s="161"/>
      <c r="AX45" s="161"/>
      <c r="AY45" s="161"/>
      <c r="AZ45" s="161"/>
      <c r="BA45" s="161"/>
      <c r="BB45" s="161"/>
      <c r="BC45" s="161"/>
      <c r="BD45" s="161"/>
      <c r="BE45" s="161"/>
      <c r="BF45" s="161"/>
      <c r="BG45" s="161"/>
      <c r="BS45" s="11">
        <v>3</v>
      </c>
      <c r="BT45" s="11">
        <v>44491</v>
      </c>
      <c r="BU45" s="11" t="s">
        <v>8</v>
      </c>
      <c r="BV45" s="11" t="s">
        <v>481</v>
      </c>
      <c r="BW45" s="11" t="s">
        <v>502</v>
      </c>
      <c r="BX45" s="11">
        <v>18700</v>
      </c>
      <c r="BY45" s="11">
        <v>34.75</v>
      </c>
      <c r="BZ45" s="11">
        <v>0.05</v>
      </c>
      <c r="CA45" s="11">
        <v>17263.657599999999</v>
      </c>
      <c r="CB45" s="11">
        <v>1.4388489208633094E-3</v>
      </c>
      <c r="CC45" s="11">
        <v>500</v>
      </c>
      <c r="CD45" s="11">
        <v>50</v>
      </c>
      <c r="CE45" s="11">
        <v>17375</v>
      </c>
    </row>
    <row r="46" spans="1:83" hidden="1">
      <c r="A46" s="13">
        <f t="shared" ca="1" si="28"/>
        <v>39</v>
      </c>
      <c r="B46" s="128">
        <v>44616</v>
      </c>
      <c r="C46" s="121" t="s">
        <v>8</v>
      </c>
      <c r="D46" s="121">
        <v>1</v>
      </c>
      <c r="E46" s="120" t="s">
        <v>481</v>
      </c>
      <c r="F46" s="121" t="s">
        <v>502</v>
      </c>
      <c r="G46" s="120">
        <v>17700</v>
      </c>
      <c r="H46" s="122">
        <v>44651</v>
      </c>
      <c r="I46" s="120">
        <v>100</v>
      </c>
      <c r="J46" s="120">
        <v>128.94999999999999</v>
      </c>
      <c r="K46" s="120">
        <v>42</v>
      </c>
      <c r="L46" s="124">
        <f t="shared" ca="1" si="16"/>
        <v>0</v>
      </c>
      <c r="M46" s="124">
        <f t="shared" ca="1" si="17"/>
        <v>8694.9999999999982</v>
      </c>
      <c r="N46" s="120">
        <f t="shared" ref="N46" ca="1" si="108">K46/$J46</f>
        <v>0.32570763861962004</v>
      </c>
      <c r="O46" s="164">
        <f t="shared" ref="O46" ca="1" si="109">J46*(1+$O$6*IF(C46="B",-1,1))</f>
        <v>161.1875</v>
      </c>
      <c r="P46" s="168">
        <f t="shared" ca="1" si="20"/>
        <v>12894.999999999998</v>
      </c>
      <c r="Q46" s="168" t="e">
        <f t="shared" ref="Q46" ca="1" si="110">(W46-J46)*I46*IF(C46="B",1,-1)*IF(K46=0,1,0)</f>
        <v>#N/A</v>
      </c>
      <c r="R46" s="184">
        <f t="shared" ca="1" si="22"/>
        <v>0</v>
      </c>
      <c r="S46" s="124">
        <f t="shared" ref="S46" ca="1" si="111">(1-$S$6)*J46</f>
        <v>12.894999999999996</v>
      </c>
      <c r="T46" s="120">
        <f ca="1">VLOOKUP(TRIM($F46),Reference!B:C,2,0)</f>
        <v>15938.65</v>
      </c>
      <c r="U46" s="125">
        <f t="shared" ref="U46" ca="1" si="112">AC46</f>
        <v>0</v>
      </c>
      <c r="V46" s="125" t="str">
        <f t="shared" ca="1" si="6"/>
        <v>NIFTY22MAR17700CE</v>
      </c>
      <c r="W46" s="166" t="e">
        <f ca="1">VLOOKUP($V46,Reference!BA:BD,4,0)</f>
        <v>#N/A</v>
      </c>
      <c r="X46" s="168">
        <f t="shared" ca="1" si="7"/>
        <v>0</v>
      </c>
      <c r="Y46" s="168">
        <f t="shared" ca="1" si="8"/>
        <v>0</v>
      </c>
      <c r="Z46" s="168">
        <f t="shared" ca="1" si="25"/>
        <v>0</v>
      </c>
      <c r="AA46" s="168">
        <f t="shared" ca="1" si="9"/>
        <v>0</v>
      </c>
      <c r="AB46" s="168">
        <f t="shared" ca="1" si="10"/>
        <v>0</v>
      </c>
      <c r="AC46" s="124">
        <f t="shared" ca="1" si="11"/>
        <v>0</v>
      </c>
      <c r="AD46" s="120">
        <f t="shared" ref="AD46" ca="1" si="113">(H46-TODAY())/365</f>
        <v>-0.29041095890410956</v>
      </c>
      <c r="AE46" s="120">
        <f t="shared" ref="AE46" ca="1" si="114">IF(I46&lt;&gt;0,20,0)</f>
        <v>20</v>
      </c>
      <c r="AF46" s="120"/>
      <c r="AG46" s="120"/>
      <c r="AH46" s="120">
        <f t="shared" ca="1" si="14"/>
        <v>6.4474999999999989</v>
      </c>
      <c r="AI46" s="120"/>
      <c r="AJ46" s="120">
        <f t="shared" ca="1" si="15"/>
        <v>0</v>
      </c>
      <c r="AK46" s="120"/>
      <c r="AL46" s="145">
        <v>1</v>
      </c>
      <c r="AM46" s="161"/>
      <c r="AN46" s="161"/>
      <c r="AO46" s="161"/>
      <c r="AP46" s="161"/>
      <c r="AQ46" s="161"/>
      <c r="AR46" s="161"/>
      <c r="AS46" s="161"/>
      <c r="AT46" s="161"/>
      <c r="AU46" s="161"/>
      <c r="AV46" s="161"/>
      <c r="AW46" s="161"/>
      <c r="AX46" s="161"/>
      <c r="AY46" s="161"/>
      <c r="AZ46" s="161"/>
      <c r="BA46" s="161"/>
      <c r="BB46" s="161"/>
      <c r="BC46" s="161"/>
      <c r="BD46" s="161"/>
      <c r="BE46" s="161"/>
      <c r="BF46" s="161"/>
      <c r="BG46" s="161"/>
      <c r="BS46" s="11">
        <v>3</v>
      </c>
      <c r="BT46" s="11">
        <v>44491</v>
      </c>
      <c r="BU46" s="11" t="s">
        <v>8</v>
      </c>
      <c r="BV46" s="11" t="s">
        <v>481</v>
      </c>
      <c r="BW46" s="11" t="s">
        <v>502</v>
      </c>
      <c r="BX46" s="11">
        <v>18700</v>
      </c>
      <c r="BY46" s="11">
        <v>34.75</v>
      </c>
      <c r="BZ46" s="11">
        <v>0.05</v>
      </c>
      <c r="CA46" s="11">
        <v>17263.657599999999</v>
      </c>
      <c r="CB46" s="11">
        <v>1.4388489208633094E-3</v>
      </c>
      <c r="CC46" s="11">
        <v>500</v>
      </c>
      <c r="CD46" s="11">
        <v>50</v>
      </c>
      <c r="CE46" s="11">
        <v>17375</v>
      </c>
    </row>
    <row r="47" spans="1:83" hidden="1">
      <c r="A47" s="13">
        <f t="shared" ca="1" si="28"/>
        <v>40</v>
      </c>
      <c r="B47" s="128">
        <v>44616</v>
      </c>
      <c r="C47" s="121" t="s">
        <v>8</v>
      </c>
      <c r="D47" s="121">
        <v>1</v>
      </c>
      <c r="E47" s="120" t="s">
        <v>481</v>
      </c>
      <c r="F47" s="121" t="s">
        <v>502</v>
      </c>
      <c r="G47" s="120">
        <v>17650</v>
      </c>
      <c r="H47" s="122">
        <v>44651</v>
      </c>
      <c r="I47" s="120">
        <v>50</v>
      </c>
      <c r="J47" s="120">
        <v>136.4</v>
      </c>
      <c r="K47" s="120">
        <v>46.95</v>
      </c>
      <c r="L47" s="124">
        <f t="shared" ca="1" si="16"/>
        <v>0</v>
      </c>
      <c r="M47" s="124">
        <f t="shared" ca="1" si="17"/>
        <v>4472.5</v>
      </c>
      <c r="N47" s="120">
        <f t="shared" ref="N47:N49" ca="1" si="115">K47/$J47</f>
        <v>0.34420821114369504</v>
      </c>
      <c r="O47" s="164">
        <f t="shared" ref="O47:O49" ca="1" si="116">J47*(1+$O$6*IF(C47="B",-1,1))</f>
        <v>170.5</v>
      </c>
      <c r="P47" s="168">
        <f t="shared" ca="1" si="20"/>
        <v>6820</v>
      </c>
      <c r="Q47" s="168" t="e">
        <f t="shared" ref="Q47:Q49" ca="1" si="117">(W47-J47)*I47*IF(C47="B",1,-1)*IF(K47=0,1,0)</f>
        <v>#N/A</v>
      </c>
      <c r="R47" s="184">
        <f t="shared" ca="1" si="22"/>
        <v>0</v>
      </c>
      <c r="S47" s="124">
        <f t="shared" ref="S47:S49" ca="1" si="118">(1-$S$6)*J47</f>
        <v>13.639999999999997</v>
      </c>
      <c r="T47" s="120">
        <f ca="1">VLOOKUP(TRIM($F47),Reference!B:C,2,0)</f>
        <v>15938.65</v>
      </c>
      <c r="U47" s="125">
        <f t="shared" ref="U47:U49" ca="1" si="119">AC47</f>
        <v>0</v>
      </c>
      <c r="V47" s="125" t="str">
        <f t="shared" ca="1" si="6"/>
        <v>NIFTY22MAR17650CE</v>
      </c>
      <c r="W47" s="166" t="e">
        <f ca="1">VLOOKUP($V47,Reference!BA:BD,4,0)</f>
        <v>#N/A</v>
      </c>
      <c r="X47" s="168">
        <f t="shared" ca="1" si="7"/>
        <v>0</v>
      </c>
      <c r="Y47" s="168">
        <f t="shared" ca="1" si="8"/>
        <v>0</v>
      </c>
      <c r="Z47" s="168">
        <f t="shared" ca="1" si="25"/>
        <v>0</v>
      </c>
      <c r="AA47" s="168">
        <f t="shared" ca="1" si="9"/>
        <v>0</v>
      </c>
      <c r="AB47" s="168">
        <f t="shared" ca="1" si="10"/>
        <v>0</v>
      </c>
      <c r="AC47" s="124">
        <f t="shared" ca="1" si="11"/>
        <v>0</v>
      </c>
      <c r="AD47" s="120">
        <f t="shared" ref="AD47:AD49" ca="1" si="120">(H47-TODAY())/365</f>
        <v>-0.29041095890410956</v>
      </c>
      <c r="AE47" s="120">
        <f t="shared" ref="AE47:AE49" ca="1" si="121">IF(I47&lt;&gt;0,20,0)</f>
        <v>20</v>
      </c>
      <c r="AF47" s="120"/>
      <c r="AG47" s="120"/>
      <c r="AH47" s="120">
        <f t="shared" ca="1" si="14"/>
        <v>3.41</v>
      </c>
      <c r="AI47" s="120"/>
      <c r="AJ47" s="120">
        <f t="shared" ca="1" si="15"/>
        <v>0</v>
      </c>
      <c r="AK47" s="120"/>
      <c r="AL47" s="145">
        <v>1</v>
      </c>
      <c r="AM47" s="161"/>
      <c r="AN47" s="161"/>
      <c r="AO47" s="161"/>
      <c r="AP47" s="161"/>
      <c r="AQ47" s="161"/>
      <c r="AR47" s="161"/>
      <c r="AS47" s="161"/>
      <c r="AT47" s="161"/>
      <c r="AU47" s="161"/>
      <c r="AV47" s="161"/>
      <c r="AW47" s="161"/>
      <c r="AX47" s="161"/>
      <c r="AY47" s="161"/>
      <c r="AZ47" s="161"/>
      <c r="BA47" s="161"/>
      <c r="BB47" s="161"/>
      <c r="BC47" s="161"/>
      <c r="BD47" s="161"/>
      <c r="BE47" s="161"/>
      <c r="BF47" s="161"/>
      <c r="BG47" s="161"/>
      <c r="BS47" s="11">
        <v>3</v>
      </c>
      <c r="BT47" s="11">
        <v>44491</v>
      </c>
      <c r="BU47" s="11" t="s">
        <v>8</v>
      </c>
      <c r="BV47" s="11" t="s">
        <v>481</v>
      </c>
      <c r="BW47" s="11" t="s">
        <v>502</v>
      </c>
      <c r="BX47" s="11">
        <v>18700</v>
      </c>
      <c r="BY47" s="11">
        <v>34.75</v>
      </c>
      <c r="BZ47" s="11">
        <v>0.05</v>
      </c>
      <c r="CA47" s="11">
        <v>17263.657599999999</v>
      </c>
      <c r="CB47" s="11">
        <v>1.4388489208633094E-3</v>
      </c>
      <c r="CC47" s="11">
        <v>500</v>
      </c>
      <c r="CD47" s="11">
        <v>50</v>
      </c>
      <c r="CE47" s="11">
        <v>17375</v>
      </c>
    </row>
    <row r="48" spans="1:83" hidden="1">
      <c r="A48" s="13">
        <f t="shared" ca="1" si="28"/>
        <v>41</v>
      </c>
      <c r="B48" s="128">
        <v>44616</v>
      </c>
      <c r="C48" s="121" t="s">
        <v>8</v>
      </c>
      <c r="D48" s="121">
        <v>1</v>
      </c>
      <c r="E48" s="120" t="s">
        <v>481</v>
      </c>
      <c r="F48" s="121" t="s">
        <v>130</v>
      </c>
      <c r="G48" s="120">
        <v>235</v>
      </c>
      <c r="H48" s="122">
        <v>44651</v>
      </c>
      <c r="I48" s="120">
        <v>13500</v>
      </c>
      <c r="J48" s="120">
        <v>2.75</v>
      </c>
      <c r="K48" s="120">
        <v>4.8</v>
      </c>
      <c r="L48" s="124">
        <f t="shared" ca="1" si="16"/>
        <v>0</v>
      </c>
      <c r="M48" s="124">
        <f t="shared" ca="1" si="17"/>
        <v>-27674.999999999996</v>
      </c>
      <c r="N48" s="120">
        <f t="shared" ca="1" si="115"/>
        <v>1.7454545454545454</v>
      </c>
      <c r="O48" s="164">
        <f t="shared" ca="1" si="116"/>
        <v>3.4375</v>
      </c>
      <c r="P48" s="168">
        <f t="shared" ca="1" si="20"/>
        <v>37125</v>
      </c>
      <c r="Q48" s="168" t="e">
        <f t="shared" ca="1" si="117"/>
        <v>#N/A</v>
      </c>
      <c r="R48" s="184">
        <f t="shared" ca="1" si="22"/>
        <v>0</v>
      </c>
      <c r="S48" s="124">
        <f t="shared" ca="1" si="118"/>
        <v>0.27499999999999991</v>
      </c>
      <c r="T48" s="120">
        <f ca="1">VLOOKUP(TRIM($F48),Reference!B:C,2,0)</f>
        <v>221.6</v>
      </c>
      <c r="U48" s="181">
        <f t="shared" ca="1" si="119"/>
        <v>0</v>
      </c>
      <c r="V48" s="125" t="str">
        <f t="shared" ca="1" si="6"/>
        <v>TATAPOWER22MAR235CE</v>
      </c>
      <c r="W48" s="166" t="e">
        <f ca="1">VLOOKUP($V48,Reference!BA:BD,4,0)</f>
        <v>#N/A</v>
      </c>
      <c r="X48" s="168">
        <f t="shared" ca="1" si="7"/>
        <v>0</v>
      </c>
      <c r="Y48" s="168">
        <f t="shared" ca="1" si="8"/>
        <v>0</v>
      </c>
      <c r="Z48" s="168">
        <f t="shared" ca="1" si="25"/>
        <v>0</v>
      </c>
      <c r="AA48" s="168">
        <f t="shared" ca="1" si="9"/>
        <v>0</v>
      </c>
      <c r="AB48" s="168">
        <f t="shared" ca="1" si="10"/>
        <v>0</v>
      </c>
      <c r="AC48" s="124">
        <f t="shared" ca="1" si="11"/>
        <v>0</v>
      </c>
      <c r="AD48" s="120">
        <f t="shared" ca="1" si="120"/>
        <v>-0.29041095890410956</v>
      </c>
      <c r="AE48" s="120">
        <f t="shared" ca="1" si="121"/>
        <v>20</v>
      </c>
      <c r="AF48" s="120"/>
      <c r="AG48" s="120"/>
      <c r="AH48" s="120">
        <f t="shared" ca="1" si="14"/>
        <v>18.5625</v>
      </c>
      <c r="AI48" s="120"/>
      <c r="AJ48" s="120">
        <f t="shared" ca="1" si="15"/>
        <v>0</v>
      </c>
      <c r="AK48" s="120"/>
      <c r="AL48" s="147"/>
      <c r="AM48" s="160"/>
      <c r="AN48" s="160"/>
      <c r="AO48" s="160"/>
      <c r="AP48" s="160"/>
      <c r="AQ48" s="160"/>
      <c r="AR48" s="160"/>
      <c r="AS48" s="160"/>
      <c r="AT48" s="160"/>
      <c r="AU48" s="160"/>
      <c r="AV48" s="160"/>
      <c r="AW48" s="160"/>
      <c r="AX48" s="160"/>
      <c r="AY48" s="160"/>
      <c r="AZ48" s="160"/>
      <c r="BA48" s="160"/>
      <c r="BB48" s="160"/>
      <c r="BC48" s="160"/>
      <c r="BD48" s="160"/>
      <c r="BE48" s="160"/>
      <c r="BF48" s="160"/>
      <c r="BG48" s="160"/>
      <c r="BS48" s="13">
        <v>2</v>
      </c>
      <c r="BT48" s="128">
        <v>44491</v>
      </c>
      <c r="BU48" s="121" t="s">
        <v>8</v>
      </c>
      <c r="BV48" s="120" t="s">
        <v>482</v>
      </c>
      <c r="BW48" s="121" t="s">
        <v>502</v>
      </c>
      <c r="BX48" s="120">
        <v>18400</v>
      </c>
      <c r="BY48" s="120">
        <v>41.7</v>
      </c>
      <c r="BZ48" s="120">
        <v>47.945</v>
      </c>
      <c r="CA48" s="124">
        <v>-3216.6708800000001</v>
      </c>
      <c r="CB48" s="120">
        <v>1.1497601918465228</v>
      </c>
      <c r="CC48" s="120">
        <v>500</v>
      </c>
      <c r="CD48" s="120">
        <v>50</v>
      </c>
      <c r="CE48" s="124">
        <v>20850</v>
      </c>
    </row>
    <row r="49" spans="1:83" hidden="1">
      <c r="A49" s="13">
        <f t="shared" ca="1" si="28"/>
        <v>42</v>
      </c>
      <c r="B49" s="128">
        <v>44616</v>
      </c>
      <c r="C49" s="121" t="s">
        <v>6</v>
      </c>
      <c r="D49" s="121">
        <v>1</v>
      </c>
      <c r="E49" s="120" t="s">
        <v>632</v>
      </c>
      <c r="F49" s="121" t="s">
        <v>130</v>
      </c>
      <c r="G49" s="120"/>
      <c r="H49" s="122">
        <v>44651</v>
      </c>
      <c r="I49" s="120">
        <v>6750</v>
      </c>
      <c r="J49" s="120">
        <v>203.8</v>
      </c>
      <c r="K49" s="120">
        <v>226.5</v>
      </c>
      <c r="L49" s="124">
        <f t="shared" ca="1" si="16"/>
        <v>0</v>
      </c>
      <c r="M49" s="124">
        <f t="shared" ca="1" si="17"/>
        <v>153224.99999999991</v>
      </c>
      <c r="N49" s="120">
        <f t="shared" ca="1" si="115"/>
        <v>1.1113837095191363</v>
      </c>
      <c r="O49" s="164">
        <f t="shared" ca="1" si="116"/>
        <v>152.85000000000002</v>
      </c>
      <c r="P49" s="168">
        <f t="shared" ca="1" si="20"/>
        <v>1375650</v>
      </c>
      <c r="Q49" s="168" t="e">
        <f t="shared" ca="1" si="117"/>
        <v>#N/A</v>
      </c>
      <c r="R49" s="184">
        <f t="shared" ca="1" si="22"/>
        <v>0</v>
      </c>
      <c r="S49" s="124">
        <f t="shared" ca="1" si="118"/>
        <v>20.379999999999995</v>
      </c>
      <c r="T49" s="120">
        <f ca="1">VLOOKUP(TRIM($F49),Reference!B:C,2,0)</f>
        <v>221.6</v>
      </c>
      <c r="U49" s="181">
        <f t="shared" ca="1" si="119"/>
        <v>0</v>
      </c>
      <c r="V49" s="125" t="str">
        <f t="shared" ca="1" si="6"/>
        <v>TATAPOWER22MARFUT</v>
      </c>
      <c r="W49" s="166" t="e">
        <f ca="1">VLOOKUP($V49,Reference!BA:BD,4,0)</f>
        <v>#N/A</v>
      </c>
      <c r="X49" s="168">
        <f t="shared" ca="1" si="7"/>
        <v>0</v>
      </c>
      <c r="Y49" s="168">
        <f t="shared" ca="1" si="8"/>
        <v>0</v>
      </c>
      <c r="Z49" s="168">
        <f t="shared" ca="1" si="25"/>
        <v>0</v>
      </c>
      <c r="AA49" s="168">
        <f t="shared" ca="1" si="9"/>
        <v>0</v>
      </c>
      <c r="AB49" s="168">
        <f t="shared" ca="1" si="10"/>
        <v>0</v>
      </c>
      <c r="AC49" s="124">
        <f t="shared" ca="1" si="11"/>
        <v>0</v>
      </c>
      <c r="AD49" s="120">
        <f t="shared" ca="1" si="120"/>
        <v>-0.29041095890410956</v>
      </c>
      <c r="AE49" s="120">
        <f t="shared" ca="1" si="121"/>
        <v>20</v>
      </c>
      <c r="AF49" s="120"/>
      <c r="AG49" s="120"/>
      <c r="AH49" s="120">
        <f t="shared" ca="1" si="14"/>
        <v>0</v>
      </c>
      <c r="AI49" s="120"/>
      <c r="AJ49" s="120">
        <f t="shared" ca="1" si="15"/>
        <v>41.269500000000001</v>
      </c>
      <c r="AK49" s="120"/>
      <c r="AL49" s="147"/>
      <c r="AM49" s="160"/>
      <c r="AN49" s="160"/>
      <c r="AO49" s="160"/>
      <c r="AP49" s="160"/>
      <c r="AQ49" s="160"/>
      <c r="AR49" s="160"/>
      <c r="AS49" s="160"/>
      <c r="AT49" s="160"/>
      <c r="AU49" s="160"/>
      <c r="AV49" s="160"/>
      <c r="AW49" s="160"/>
      <c r="AX49" s="160"/>
      <c r="AY49" s="160"/>
      <c r="AZ49" s="160"/>
      <c r="BA49" s="160"/>
      <c r="BB49" s="160"/>
      <c r="BC49" s="160"/>
      <c r="BD49" s="160"/>
      <c r="BE49" s="160"/>
      <c r="BF49" s="160"/>
      <c r="BG49" s="160"/>
      <c r="BS49" s="13">
        <v>2</v>
      </c>
      <c r="BT49" s="128">
        <v>44491</v>
      </c>
      <c r="BU49" s="121" t="s">
        <v>8</v>
      </c>
      <c r="BV49" s="120" t="s">
        <v>482</v>
      </c>
      <c r="BW49" s="121" t="s">
        <v>502</v>
      </c>
      <c r="BX49" s="120">
        <v>18400</v>
      </c>
      <c r="BY49" s="120">
        <v>41.7</v>
      </c>
      <c r="BZ49" s="120">
        <v>47.945</v>
      </c>
      <c r="CA49" s="124">
        <v>-3216.6708800000001</v>
      </c>
      <c r="CB49" s="120">
        <v>1.1497601918465228</v>
      </c>
      <c r="CC49" s="120">
        <v>500</v>
      </c>
      <c r="CD49" s="120">
        <v>50</v>
      </c>
      <c r="CE49" s="124">
        <v>20850</v>
      </c>
    </row>
    <row r="50" spans="1:83" hidden="1">
      <c r="A50" s="13">
        <f t="shared" ca="1" si="28"/>
        <v>43</v>
      </c>
      <c r="B50" s="128">
        <v>44616</v>
      </c>
      <c r="C50" s="121" t="s">
        <v>8</v>
      </c>
      <c r="D50" s="121">
        <v>1</v>
      </c>
      <c r="E50" s="120" t="s">
        <v>481</v>
      </c>
      <c r="F50" s="121" t="s">
        <v>130</v>
      </c>
      <c r="G50" s="120">
        <v>235</v>
      </c>
      <c r="H50" s="122">
        <v>44651</v>
      </c>
      <c r="I50" s="120">
        <v>6750</v>
      </c>
      <c r="J50" s="120">
        <v>2.75</v>
      </c>
      <c r="K50" s="120">
        <v>4.5999999999999996</v>
      </c>
      <c r="L50" s="124">
        <f t="shared" ca="1" si="16"/>
        <v>0</v>
      </c>
      <c r="M50" s="124">
        <f t="shared" ca="1" si="17"/>
        <v>-12487.499999999998</v>
      </c>
      <c r="N50" s="120">
        <f t="shared" ref="N50:N51" ca="1" si="122">K50/$J50</f>
        <v>1.6727272727272726</v>
      </c>
      <c r="O50" s="164">
        <f t="shared" ref="O50:O51" ca="1" si="123">J50*(1+$O$6*IF(C50="B",-1,1))</f>
        <v>3.4375</v>
      </c>
      <c r="P50" s="168">
        <f t="shared" ca="1" si="20"/>
        <v>18562.5</v>
      </c>
      <c r="Q50" s="168" t="e">
        <f t="shared" ref="Q50:Q51" ca="1" si="124">(W50-J50)*I50*IF(C50="B",1,-1)*IF(K50=0,1,0)</f>
        <v>#N/A</v>
      </c>
      <c r="R50" s="184">
        <f t="shared" ca="1" si="22"/>
        <v>0</v>
      </c>
      <c r="S50" s="124">
        <f t="shared" ref="S50:S51" ca="1" si="125">(1-$S$6)*J50</f>
        <v>0.27499999999999991</v>
      </c>
      <c r="T50" s="120">
        <f ca="1">VLOOKUP(TRIM($F50),Reference!B:C,2,0)</f>
        <v>221.6</v>
      </c>
      <c r="U50" s="181">
        <f t="shared" ref="U50:U51" ca="1" si="126">AC50</f>
        <v>0</v>
      </c>
      <c r="V50" s="125" t="str">
        <f t="shared" ca="1" si="6"/>
        <v>TATAPOWER22MAR235CE</v>
      </c>
      <c r="W50" s="166" t="e">
        <f ca="1">VLOOKUP($V50,Reference!BA:BD,4,0)</f>
        <v>#N/A</v>
      </c>
      <c r="X50" s="168">
        <f t="shared" ca="1" si="7"/>
        <v>0</v>
      </c>
      <c r="Y50" s="168">
        <f t="shared" ca="1" si="8"/>
        <v>0</v>
      </c>
      <c r="Z50" s="168">
        <f t="shared" ca="1" si="25"/>
        <v>0</v>
      </c>
      <c r="AA50" s="168">
        <f t="shared" ca="1" si="9"/>
        <v>0</v>
      </c>
      <c r="AB50" s="168">
        <f t="shared" ca="1" si="10"/>
        <v>0</v>
      </c>
      <c r="AC50" s="124">
        <f t="shared" ca="1" si="11"/>
        <v>0</v>
      </c>
      <c r="AD50" s="120">
        <f t="shared" ref="AD50:AD51" ca="1" si="127">(H50-TODAY())/365</f>
        <v>-0.29041095890410956</v>
      </c>
      <c r="AE50" s="120">
        <f t="shared" ref="AE50:AE51" ca="1" si="128">IF(I50&lt;&gt;0,20,0)</f>
        <v>20</v>
      </c>
      <c r="AF50" s="120"/>
      <c r="AG50" s="120"/>
      <c r="AH50" s="120">
        <f t="shared" ca="1" si="14"/>
        <v>9.28125</v>
      </c>
      <c r="AI50" s="120"/>
      <c r="AJ50" s="120">
        <f t="shared" ca="1" si="15"/>
        <v>0</v>
      </c>
      <c r="AK50" s="120"/>
      <c r="AL50" s="147"/>
      <c r="AM50" s="160"/>
      <c r="AN50" s="160"/>
      <c r="AO50" s="160"/>
      <c r="AP50" s="160"/>
      <c r="AQ50" s="160"/>
      <c r="AR50" s="160"/>
      <c r="AS50" s="160"/>
      <c r="AT50" s="160"/>
      <c r="AU50" s="160"/>
      <c r="AV50" s="160"/>
      <c r="AW50" s="160"/>
      <c r="AX50" s="160"/>
      <c r="AY50" s="160"/>
      <c r="AZ50" s="160"/>
      <c r="BA50" s="160"/>
      <c r="BB50" s="160"/>
      <c r="BC50" s="160"/>
      <c r="BD50" s="160"/>
      <c r="BE50" s="160"/>
      <c r="BF50" s="160"/>
      <c r="BG50" s="160"/>
      <c r="BS50" s="13">
        <v>2</v>
      </c>
      <c r="BT50" s="128">
        <v>44491</v>
      </c>
      <c r="BU50" s="121" t="s">
        <v>8</v>
      </c>
      <c r="BV50" s="120" t="s">
        <v>482</v>
      </c>
      <c r="BW50" s="121" t="s">
        <v>502</v>
      </c>
      <c r="BX50" s="120">
        <v>18400</v>
      </c>
      <c r="BY50" s="120">
        <v>41.7</v>
      </c>
      <c r="BZ50" s="120">
        <v>47.945</v>
      </c>
      <c r="CA50" s="124">
        <v>-3216.6708800000001</v>
      </c>
      <c r="CB50" s="120">
        <v>1.1497601918465228</v>
      </c>
      <c r="CC50" s="120">
        <v>500</v>
      </c>
      <c r="CD50" s="120">
        <v>50</v>
      </c>
      <c r="CE50" s="124">
        <v>20850</v>
      </c>
    </row>
    <row r="51" spans="1:83" hidden="1">
      <c r="A51" s="13">
        <f t="shared" ca="1" si="28"/>
        <v>44</v>
      </c>
      <c r="B51" s="128">
        <v>44617</v>
      </c>
      <c r="C51" s="121" t="s">
        <v>6</v>
      </c>
      <c r="D51" s="121">
        <v>1</v>
      </c>
      <c r="E51" s="120" t="s">
        <v>632</v>
      </c>
      <c r="F51" s="121" t="s">
        <v>130</v>
      </c>
      <c r="G51" s="120"/>
      <c r="H51" s="122">
        <v>44651</v>
      </c>
      <c r="I51" s="120">
        <v>6750</v>
      </c>
      <c r="J51" s="120">
        <v>220.4</v>
      </c>
      <c r="K51" s="120">
        <v>220.5</v>
      </c>
      <c r="L51" s="124">
        <f t="shared" ca="1" si="16"/>
        <v>0</v>
      </c>
      <c r="M51" s="124">
        <f t="shared" ca="1" si="17"/>
        <v>674.99999999996157</v>
      </c>
      <c r="N51" s="120">
        <f t="shared" ca="1" si="122"/>
        <v>1.0004537205081669</v>
      </c>
      <c r="O51" s="164">
        <f t="shared" ca="1" si="123"/>
        <v>165.3</v>
      </c>
      <c r="P51" s="168">
        <f t="shared" ca="1" si="20"/>
        <v>1487700</v>
      </c>
      <c r="Q51" s="168" t="e">
        <f t="shared" ca="1" si="124"/>
        <v>#N/A</v>
      </c>
      <c r="R51" s="184">
        <f t="shared" ca="1" si="22"/>
        <v>0</v>
      </c>
      <c r="S51" s="124">
        <f t="shared" ca="1" si="125"/>
        <v>22.039999999999996</v>
      </c>
      <c r="T51" s="120">
        <f ca="1">VLOOKUP(TRIM($F51),Reference!B:C,2,0)</f>
        <v>221.6</v>
      </c>
      <c r="U51" s="181">
        <f t="shared" ca="1" si="126"/>
        <v>0</v>
      </c>
      <c r="V51" s="125" t="str">
        <f t="shared" ca="1" si="6"/>
        <v>TATAPOWER22MARFUT</v>
      </c>
      <c r="W51" s="166" t="e">
        <f ca="1">VLOOKUP($V51,Reference!BA:BD,4,0)</f>
        <v>#N/A</v>
      </c>
      <c r="X51" s="168">
        <f t="shared" ca="1" si="7"/>
        <v>0</v>
      </c>
      <c r="Y51" s="168">
        <f t="shared" ca="1" si="8"/>
        <v>0</v>
      </c>
      <c r="Z51" s="168">
        <f t="shared" ca="1" si="25"/>
        <v>0</v>
      </c>
      <c r="AA51" s="168">
        <f t="shared" ca="1" si="9"/>
        <v>0</v>
      </c>
      <c r="AB51" s="168">
        <f t="shared" ca="1" si="10"/>
        <v>0</v>
      </c>
      <c r="AC51" s="124">
        <f t="shared" ca="1" si="11"/>
        <v>0</v>
      </c>
      <c r="AD51" s="120">
        <f t="shared" ca="1" si="127"/>
        <v>-0.29041095890410956</v>
      </c>
      <c r="AE51" s="120">
        <f t="shared" ca="1" si="128"/>
        <v>20</v>
      </c>
      <c r="AF51" s="120"/>
      <c r="AG51" s="120"/>
      <c r="AH51" s="120">
        <f t="shared" ca="1" si="14"/>
        <v>0</v>
      </c>
      <c r="AI51" s="120"/>
      <c r="AJ51" s="120">
        <f t="shared" ca="1" si="15"/>
        <v>44.631</v>
      </c>
      <c r="AK51" s="120"/>
      <c r="AL51" s="147"/>
      <c r="AM51" s="160"/>
      <c r="AN51" s="160"/>
      <c r="AO51" s="160"/>
      <c r="AP51" s="160"/>
      <c r="AQ51" s="160"/>
      <c r="AR51" s="160"/>
      <c r="AS51" s="160"/>
      <c r="AT51" s="160"/>
      <c r="AU51" s="160"/>
      <c r="AV51" s="160"/>
      <c r="AW51" s="160"/>
      <c r="AX51" s="160"/>
      <c r="AY51" s="160"/>
      <c r="AZ51" s="160"/>
      <c r="BA51" s="160"/>
      <c r="BB51" s="160"/>
      <c r="BC51" s="160"/>
      <c r="BD51" s="160"/>
      <c r="BE51" s="160"/>
      <c r="BF51" s="160"/>
      <c r="BG51" s="160"/>
      <c r="BS51" s="13">
        <v>2</v>
      </c>
      <c r="BT51" s="128">
        <v>44491</v>
      </c>
      <c r="BU51" s="121" t="s">
        <v>8</v>
      </c>
      <c r="BV51" s="120" t="s">
        <v>482</v>
      </c>
      <c r="BW51" s="121" t="s">
        <v>502</v>
      </c>
      <c r="BX51" s="120">
        <v>18400</v>
      </c>
      <c r="BY51" s="120">
        <v>41.7</v>
      </c>
      <c r="BZ51" s="120">
        <v>47.945</v>
      </c>
      <c r="CA51" s="124">
        <v>-3216.6708800000001</v>
      </c>
      <c r="CB51" s="120">
        <v>1.1497601918465228</v>
      </c>
      <c r="CC51" s="120">
        <v>500</v>
      </c>
      <c r="CD51" s="120">
        <v>50</v>
      </c>
      <c r="CE51" s="124">
        <v>20850</v>
      </c>
    </row>
    <row r="52" spans="1:83" hidden="1">
      <c r="A52" s="13">
        <f t="shared" ca="1" si="28"/>
        <v>45</v>
      </c>
      <c r="B52" s="128">
        <v>44617</v>
      </c>
      <c r="C52" s="121" t="s">
        <v>8</v>
      </c>
      <c r="D52" s="121">
        <v>1</v>
      </c>
      <c r="E52" s="120" t="s">
        <v>481</v>
      </c>
      <c r="F52" s="121" t="s">
        <v>130</v>
      </c>
      <c r="G52" s="120">
        <v>250</v>
      </c>
      <c r="H52" s="122">
        <v>44651</v>
      </c>
      <c r="I52" s="120">
        <v>6750</v>
      </c>
      <c r="J52" s="120">
        <v>2.15</v>
      </c>
      <c r="K52" s="120">
        <v>2.1</v>
      </c>
      <c r="L52" s="124">
        <f t="shared" ca="1" si="16"/>
        <v>0</v>
      </c>
      <c r="M52" s="124">
        <f t="shared" ca="1" si="17"/>
        <v>337.49999999999881</v>
      </c>
      <c r="N52" s="120">
        <f t="shared" ref="N52" ca="1" si="129">K52/$J52</f>
        <v>0.9767441860465117</v>
      </c>
      <c r="O52" s="164">
        <f t="shared" ref="O52" ca="1" si="130">J52*(1+$O$6*IF(C52="B",-1,1))</f>
        <v>2.6875</v>
      </c>
      <c r="P52" s="168">
        <f t="shared" ca="1" si="20"/>
        <v>14512.5</v>
      </c>
      <c r="Q52" s="168" t="e">
        <f t="shared" ref="Q52" ca="1" si="131">(W52-J52)*I52*IF(C52="B",1,-1)*IF(K52=0,1,0)</f>
        <v>#N/A</v>
      </c>
      <c r="R52" s="184">
        <f t="shared" ca="1" si="22"/>
        <v>0</v>
      </c>
      <c r="S52" s="124">
        <f t="shared" ref="S52" ca="1" si="132">(1-$S$6)*J52</f>
        <v>0.21499999999999994</v>
      </c>
      <c r="T52" s="120">
        <f ca="1">VLOOKUP(TRIM($F52),Reference!B:C,2,0)</f>
        <v>221.6</v>
      </c>
      <c r="U52" s="181">
        <f t="shared" ref="U52" ca="1" si="133">AC52</f>
        <v>0</v>
      </c>
      <c r="V52" s="125" t="str">
        <f t="shared" ca="1" si="6"/>
        <v>TATAPOWER22MAR250CE</v>
      </c>
      <c r="W52" s="166" t="e">
        <f ca="1">VLOOKUP($V52,Reference!BA:BD,4,0)</f>
        <v>#N/A</v>
      </c>
      <c r="X52" s="168">
        <f t="shared" ca="1" si="7"/>
        <v>0</v>
      </c>
      <c r="Y52" s="168">
        <f t="shared" ca="1" si="8"/>
        <v>0</v>
      </c>
      <c r="Z52" s="168">
        <f t="shared" ca="1" si="25"/>
        <v>0</v>
      </c>
      <c r="AA52" s="168">
        <f t="shared" ca="1" si="9"/>
        <v>0</v>
      </c>
      <c r="AB52" s="168">
        <f t="shared" ca="1" si="10"/>
        <v>0</v>
      </c>
      <c r="AC52" s="124">
        <f t="shared" ca="1" si="11"/>
        <v>0</v>
      </c>
      <c r="AD52" s="120">
        <f t="shared" ref="AD52" ca="1" si="134">(H52-TODAY())/365</f>
        <v>-0.29041095890410956</v>
      </c>
      <c r="AE52" s="120">
        <f t="shared" ref="AE52" ca="1" si="135">IF(I52&lt;&gt;0,20,0)</f>
        <v>20</v>
      </c>
      <c r="AF52" s="120"/>
      <c r="AG52" s="120"/>
      <c r="AH52" s="120">
        <f t="shared" ca="1" si="14"/>
        <v>7.2562500000000005</v>
      </c>
      <c r="AI52" s="120"/>
      <c r="AJ52" s="120">
        <f t="shared" ca="1" si="15"/>
        <v>0</v>
      </c>
      <c r="AK52" s="120"/>
      <c r="AL52" s="147"/>
      <c r="AM52" s="160"/>
      <c r="AN52" s="160"/>
      <c r="AO52" s="160"/>
      <c r="AP52" s="160"/>
      <c r="AQ52" s="160"/>
      <c r="AR52" s="160"/>
      <c r="AS52" s="160"/>
      <c r="AT52" s="160"/>
      <c r="AU52" s="160"/>
      <c r="AV52" s="160"/>
      <c r="AW52" s="160"/>
      <c r="AX52" s="160"/>
      <c r="AY52" s="160"/>
      <c r="AZ52" s="160"/>
      <c r="BA52" s="160"/>
      <c r="BB52" s="160"/>
      <c r="BC52" s="160"/>
      <c r="BD52" s="160"/>
      <c r="BE52" s="160"/>
      <c r="BF52" s="160"/>
      <c r="BG52" s="160"/>
      <c r="BS52" s="13">
        <v>2</v>
      </c>
      <c r="BT52" s="128">
        <v>44491</v>
      </c>
      <c r="BU52" s="121" t="s">
        <v>8</v>
      </c>
      <c r="BV52" s="120" t="s">
        <v>482</v>
      </c>
      <c r="BW52" s="121" t="s">
        <v>502</v>
      </c>
      <c r="BX52" s="120">
        <v>18400</v>
      </c>
      <c r="BY52" s="120">
        <v>41.7</v>
      </c>
      <c r="BZ52" s="120">
        <v>47.945</v>
      </c>
      <c r="CA52" s="124">
        <v>-3216.6708800000001</v>
      </c>
      <c r="CB52" s="120">
        <v>1.1497601918465228</v>
      </c>
      <c r="CC52" s="120">
        <v>500</v>
      </c>
      <c r="CD52" s="120">
        <v>50</v>
      </c>
      <c r="CE52" s="124">
        <v>20850</v>
      </c>
    </row>
    <row r="53" spans="1:83" hidden="1">
      <c r="A53" s="13">
        <f t="shared" ca="1" si="28"/>
        <v>46</v>
      </c>
      <c r="B53" s="128">
        <v>44617</v>
      </c>
      <c r="C53" s="121" t="s">
        <v>8</v>
      </c>
      <c r="D53" s="121">
        <v>1</v>
      </c>
      <c r="E53" s="120" t="s">
        <v>481</v>
      </c>
      <c r="F53" s="121" t="s">
        <v>284</v>
      </c>
      <c r="G53" s="120">
        <v>550</v>
      </c>
      <c r="H53" s="122">
        <v>44651</v>
      </c>
      <c r="I53" s="120">
        <v>2850</v>
      </c>
      <c r="J53" s="120">
        <v>2.75</v>
      </c>
      <c r="K53" s="120">
        <v>1.3</v>
      </c>
      <c r="L53" s="124">
        <f t="shared" ca="1" si="16"/>
        <v>0</v>
      </c>
      <c r="M53" s="124">
        <f t="shared" ca="1" si="17"/>
        <v>4132.5</v>
      </c>
      <c r="N53" s="120">
        <f t="shared" ref="N53:N55" ca="1" si="136">K53/$J53</f>
        <v>0.47272727272727272</v>
      </c>
      <c r="O53" s="164">
        <f t="shared" ref="O53:O55" ca="1" si="137">J53*(1+$O$6*IF(C53="B",-1,1))</f>
        <v>3.4375</v>
      </c>
      <c r="P53" s="168">
        <f t="shared" ca="1" si="20"/>
        <v>7837.5</v>
      </c>
      <c r="Q53" s="168" t="e">
        <f t="shared" ref="Q53:Q55" ca="1" si="138">(W53-J53)*I53*IF(C53="B",1,-1)*IF(K53=0,1,0)</f>
        <v>#N/A</v>
      </c>
      <c r="R53" s="184">
        <f t="shared" ca="1" si="22"/>
        <v>0</v>
      </c>
      <c r="S53" s="124">
        <f t="shared" ref="S53:S55" ca="1" si="139">(1-$S$6)*J53</f>
        <v>0.27499999999999991</v>
      </c>
      <c r="T53" s="120">
        <f ca="1">VLOOKUP(TRIM($F53),Reference!B:C,2,0)</f>
        <v>428</v>
      </c>
      <c r="U53" s="181">
        <f t="shared" ref="U53:U55" ca="1" si="140">AC53</f>
        <v>0</v>
      </c>
      <c r="V53" s="125" t="str">
        <f t="shared" ca="1" si="6"/>
        <v>TATAMOTORS22MAR550CE</v>
      </c>
      <c r="W53" s="166" t="e">
        <f ca="1">VLOOKUP($V53,Reference!BA:BD,4,0)</f>
        <v>#N/A</v>
      </c>
      <c r="X53" s="168">
        <f t="shared" ca="1" si="7"/>
        <v>0</v>
      </c>
      <c r="Y53" s="168">
        <f t="shared" ca="1" si="8"/>
        <v>0</v>
      </c>
      <c r="Z53" s="168">
        <f t="shared" ca="1" si="25"/>
        <v>0</v>
      </c>
      <c r="AA53" s="168">
        <f t="shared" ca="1" si="9"/>
        <v>0</v>
      </c>
      <c r="AB53" s="168">
        <f t="shared" ca="1" si="10"/>
        <v>0</v>
      </c>
      <c r="AC53" s="124">
        <f t="shared" ca="1" si="11"/>
        <v>0</v>
      </c>
      <c r="AD53" s="120">
        <f t="shared" ref="AD53:AD55" ca="1" si="141">(H53-TODAY())/365</f>
        <v>-0.29041095890410956</v>
      </c>
      <c r="AE53" s="120">
        <f t="shared" ref="AE53:AE55" ca="1" si="142">IF(I53&lt;&gt;0,20,0)</f>
        <v>20</v>
      </c>
      <c r="AF53" s="120"/>
      <c r="AG53" s="120"/>
      <c r="AH53" s="120">
        <f t="shared" ca="1" si="14"/>
        <v>3.9187500000000002</v>
      </c>
      <c r="AI53" s="120"/>
      <c r="AJ53" s="120">
        <f t="shared" ca="1" si="15"/>
        <v>0</v>
      </c>
      <c r="AK53" s="120"/>
      <c r="AL53" s="147"/>
      <c r="AM53" s="160"/>
      <c r="AN53" s="160"/>
      <c r="AO53" s="160"/>
      <c r="AP53" s="160"/>
      <c r="AQ53" s="160"/>
      <c r="AR53" s="160"/>
      <c r="AS53" s="160"/>
      <c r="AT53" s="160"/>
      <c r="AU53" s="160"/>
      <c r="AV53" s="160"/>
      <c r="AW53" s="160"/>
      <c r="AX53" s="160"/>
      <c r="AY53" s="160"/>
      <c r="AZ53" s="160"/>
      <c r="BA53" s="160"/>
      <c r="BB53" s="160"/>
      <c r="BC53" s="160"/>
      <c r="BD53" s="160"/>
      <c r="BE53" s="160"/>
      <c r="BF53" s="160"/>
      <c r="BG53" s="160"/>
      <c r="BS53" s="13">
        <v>2</v>
      </c>
      <c r="BT53" s="128">
        <v>44491</v>
      </c>
      <c r="BU53" s="121" t="s">
        <v>8</v>
      </c>
      <c r="BV53" s="120" t="s">
        <v>482</v>
      </c>
      <c r="BW53" s="121" t="s">
        <v>502</v>
      </c>
      <c r="BX53" s="120">
        <v>18400</v>
      </c>
      <c r="BY53" s="120">
        <v>41.7</v>
      </c>
      <c r="BZ53" s="120">
        <v>47.945</v>
      </c>
      <c r="CA53" s="124">
        <v>-3216.6708800000001</v>
      </c>
      <c r="CB53" s="120">
        <v>1.1497601918465228</v>
      </c>
      <c r="CC53" s="120">
        <v>500</v>
      </c>
      <c r="CD53" s="120">
        <v>50</v>
      </c>
      <c r="CE53" s="124">
        <v>20850</v>
      </c>
    </row>
    <row r="54" spans="1:83" hidden="1">
      <c r="A54" s="13">
        <f t="shared" ca="1" si="28"/>
        <v>47</v>
      </c>
      <c r="B54" s="128">
        <v>44617</v>
      </c>
      <c r="C54" s="121" t="s">
        <v>6</v>
      </c>
      <c r="D54" s="121">
        <v>1</v>
      </c>
      <c r="E54" s="120" t="s">
        <v>632</v>
      </c>
      <c r="F54" s="121" t="s">
        <v>130</v>
      </c>
      <c r="G54" s="120"/>
      <c r="H54" s="122">
        <v>44651</v>
      </c>
      <c r="I54" s="120">
        <v>6750</v>
      </c>
      <c r="J54" s="120">
        <v>218.05</v>
      </c>
      <c r="K54" s="120">
        <v>219.3</v>
      </c>
      <c r="L54" s="124">
        <f t="shared" ca="1" si="16"/>
        <v>0</v>
      </c>
      <c r="M54" s="124">
        <f t="shared" ca="1" si="17"/>
        <v>8437.5</v>
      </c>
      <c r="N54" s="120">
        <f t="shared" ca="1" si="136"/>
        <v>1.0057326301307039</v>
      </c>
      <c r="O54" s="164">
        <f t="shared" ca="1" si="137"/>
        <v>163.53750000000002</v>
      </c>
      <c r="P54" s="168">
        <f t="shared" ca="1" si="20"/>
        <v>1471837.5</v>
      </c>
      <c r="Q54" s="168" t="e">
        <f t="shared" ca="1" si="138"/>
        <v>#N/A</v>
      </c>
      <c r="R54" s="184">
        <f t="shared" ca="1" si="22"/>
        <v>0</v>
      </c>
      <c r="S54" s="124">
        <f t="shared" ca="1" si="139"/>
        <v>21.804999999999996</v>
      </c>
      <c r="T54" s="120">
        <f ca="1">VLOOKUP(TRIM($F54),Reference!B:C,2,0)</f>
        <v>221.6</v>
      </c>
      <c r="U54" s="181">
        <f t="shared" ca="1" si="140"/>
        <v>0</v>
      </c>
      <c r="V54" s="125" t="str">
        <f t="shared" ca="1" si="6"/>
        <v>TATAPOWER22MARFUT</v>
      </c>
      <c r="W54" s="166" t="e">
        <f ca="1">VLOOKUP($V54,Reference!BA:BD,4,0)</f>
        <v>#N/A</v>
      </c>
      <c r="X54" s="168">
        <f t="shared" ca="1" si="7"/>
        <v>0</v>
      </c>
      <c r="Y54" s="168">
        <f t="shared" ca="1" si="8"/>
        <v>0</v>
      </c>
      <c r="Z54" s="168">
        <f t="shared" ca="1" si="25"/>
        <v>0</v>
      </c>
      <c r="AA54" s="168">
        <f t="shared" ca="1" si="9"/>
        <v>0</v>
      </c>
      <c r="AB54" s="168">
        <f t="shared" ca="1" si="10"/>
        <v>0</v>
      </c>
      <c r="AC54" s="124">
        <f t="shared" ca="1" si="11"/>
        <v>0</v>
      </c>
      <c r="AD54" s="120">
        <f t="shared" ca="1" si="141"/>
        <v>-0.29041095890410956</v>
      </c>
      <c r="AE54" s="120">
        <f t="shared" ca="1" si="142"/>
        <v>20</v>
      </c>
      <c r="AF54" s="120"/>
      <c r="AG54" s="120"/>
      <c r="AH54" s="120">
        <f t="shared" ca="1" si="14"/>
        <v>0</v>
      </c>
      <c r="AI54" s="120"/>
      <c r="AJ54" s="120">
        <f t="shared" ca="1" si="15"/>
        <v>44.155124999999998</v>
      </c>
      <c r="AK54" s="120"/>
      <c r="AL54" s="147"/>
      <c r="AM54" s="160"/>
      <c r="AN54" s="160"/>
      <c r="AO54" s="160"/>
      <c r="AP54" s="160"/>
      <c r="AQ54" s="160"/>
      <c r="AR54" s="160"/>
      <c r="AS54" s="160"/>
      <c r="AT54" s="160"/>
      <c r="AU54" s="160"/>
      <c r="AV54" s="160"/>
      <c r="AW54" s="160"/>
      <c r="AX54" s="160"/>
      <c r="AY54" s="160"/>
      <c r="AZ54" s="160"/>
      <c r="BA54" s="160"/>
      <c r="BB54" s="160"/>
      <c r="BC54" s="160"/>
      <c r="BD54" s="160"/>
      <c r="BE54" s="160"/>
      <c r="BF54" s="160"/>
      <c r="BG54" s="160"/>
      <c r="BS54" s="13">
        <v>2</v>
      </c>
      <c r="BT54" s="128">
        <v>44491</v>
      </c>
      <c r="BU54" s="121" t="s">
        <v>8</v>
      </c>
      <c r="BV54" s="120" t="s">
        <v>482</v>
      </c>
      <c r="BW54" s="121" t="s">
        <v>502</v>
      </c>
      <c r="BX54" s="120">
        <v>18400</v>
      </c>
      <c r="BY54" s="120">
        <v>41.7</v>
      </c>
      <c r="BZ54" s="120">
        <v>47.945</v>
      </c>
      <c r="CA54" s="124">
        <v>-3216.6708800000001</v>
      </c>
      <c r="CB54" s="120">
        <v>1.1497601918465228</v>
      </c>
      <c r="CC54" s="120">
        <v>500</v>
      </c>
      <c r="CD54" s="120">
        <v>50</v>
      </c>
      <c r="CE54" s="124">
        <v>20850</v>
      </c>
    </row>
    <row r="55" spans="1:83" hidden="1">
      <c r="A55" s="13">
        <f t="shared" ca="1" si="28"/>
        <v>48</v>
      </c>
      <c r="B55" s="128">
        <v>44617</v>
      </c>
      <c r="C55" s="121" t="s">
        <v>8</v>
      </c>
      <c r="D55" s="121">
        <v>1</v>
      </c>
      <c r="E55" s="120" t="s">
        <v>482</v>
      </c>
      <c r="F55" s="121" t="s">
        <v>130</v>
      </c>
      <c r="G55" s="120">
        <v>200</v>
      </c>
      <c r="H55" s="122">
        <v>44651</v>
      </c>
      <c r="I55" s="120">
        <v>6750</v>
      </c>
      <c r="J55" s="120">
        <v>3.65</v>
      </c>
      <c r="K55" s="120">
        <v>2.85</v>
      </c>
      <c r="L55" s="124">
        <f t="shared" ca="1" si="16"/>
        <v>0</v>
      </c>
      <c r="M55" s="124">
        <f t="shared" ca="1" si="17"/>
        <v>5399.9999999999991</v>
      </c>
      <c r="N55" s="120">
        <f t="shared" ca="1" si="136"/>
        <v>0.78082191780821919</v>
      </c>
      <c r="O55" s="164">
        <f t="shared" ca="1" si="137"/>
        <v>4.5625</v>
      </c>
      <c r="P55" s="168">
        <f t="shared" ca="1" si="20"/>
        <v>24637.5</v>
      </c>
      <c r="Q55" s="168" t="e">
        <f t="shared" ca="1" si="138"/>
        <v>#N/A</v>
      </c>
      <c r="R55" s="184">
        <f t="shared" ca="1" si="22"/>
        <v>0</v>
      </c>
      <c r="S55" s="124">
        <f t="shared" ca="1" si="139"/>
        <v>0.36499999999999994</v>
      </c>
      <c r="T55" s="120">
        <f ca="1">VLOOKUP(TRIM($F55),Reference!B:C,2,0)</f>
        <v>221.6</v>
      </c>
      <c r="U55" s="181">
        <f t="shared" ca="1" si="140"/>
        <v>0</v>
      </c>
      <c r="V55" s="125" t="str">
        <f t="shared" ca="1" si="6"/>
        <v>TATAPOWER22MAR200PE</v>
      </c>
      <c r="W55" s="166" t="e">
        <f ca="1">VLOOKUP($V55,Reference!BA:BD,4,0)</f>
        <v>#N/A</v>
      </c>
      <c r="X55" s="168">
        <f t="shared" ca="1" si="7"/>
        <v>0</v>
      </c>
      <c r="Y55" s="168">
        <f t="shared" ca="1" si="8"/>
        <v>0</v>
      </c>
      <c r="Z55" s="168">
        <f t="shared" ca="1" si="25"/>
        <v>0</v>
      </c>
      <c r="AA55" s="168">
        <f t="shared" ca="1" si="9"/>
        <v>0</v>
      </c>
      <c r="AB55" s="168">
        <f t="shared" ca="1" si="10"/>
        <v>0</v>
      </c>
      <c r="AC55" s="124">
        <f t="shared" ca="1" si="11"/>
        <v>0</v>
      </c>
      <c r="AD55" s="120">
        <f t="shared" ca="1" si="141"/>
        <v>-0.29041095890410956</v>
      </c>
      <c r="AE55" s="120">
        <f t="shared" ca="1" si="142"/>
        <v>20</v>
      </c>
      <c r="AF55" s="120"/>
      <c r="AG55" s="120"/>
      <c r="AH55" s="120">
        <f t="shared" ca="1" si="14"/>
        <v>12.31875</v>
      </c>
      <c r="AI55" s="120"/>
      <c r="AJ55" s="120">
        <f t="shared" ca="1" si="15"/>
        <v>0</v>
      </c>
      <c r="AK55" s="120"/>
      <c r="AL55" s="147"/>
      <c r="AM55" s="160"/>
      <c r="AN55" s="160"/>
      <c r="AO55" s="160"/>
      <c r="AP55" s="160"/>
      <c r="AQ55" s="160"/>
      <c r="AR55" s="160"/>
      <c r="AS55" s="160"/>
      <c r="AT55" s="160"/>
      <c r="AU55" s="160"/>
      <c r="AV55" s="160"/>
      <c r="AW55" s="160"/>
      <c r="AX55" s="160"/>
      <c r="AY55" s="160"/>
      <c r="AZ55" s="160"/>
      <c r="BA55" s="160"/>
      <c r="BB55" s="160"/>
      <c r="BC55" s="160"/>
      <c r="BD55" s="160"/>
      <c r="BE55" s="160"/>
      <c r="BF55" s="160"/>
      <c r="BG55" s="160"/>
      <c r="BS55" s="13">
        <v>2</v>
      </c>
      <c r="BT55" s="128">
        <v>44491</v>
      </c>
      <c r="BU55" s="121" t="s">
        <v>8</v>
      </c>
      <c r="BV55" s="120" t="s">
        <v>482</v>
      </c>
      <c r="BW55" s="121" t="s">
        <v>502</v>
      </c>
      <c r="BX55" s="120">
        <v>18400</v>
      </c>
      <c r="BY55" s="120">
        <v>41.7</v>
      </c>
      <c r="BZ55" s="120">
        <v>47.945</v>
      </c>
      <c r="CA55" s="124">
        <v>-3216.6708800000001</v>
      </c>
      <c r="CB55" s="120">
        <v>1.1497601918465228</v>
      </c>
      <c r="CC55" s="120">
        <v>500</v>
      </c>
      <c r="CD55" s="120">
        <v>50</v>
      </c>
      <c r="CE55" s="124">
        <v>20850</v>
      </c>
    </row>
    <row r="56" spans="1:83" hidden="1">
      <c r="A56" s="13">
        <f t="shared" ca="1" si="28"/>
        <v>49</v>
      </c>
      <c r="B56" s="128">
        <v>44622</v>
      </c>
      <c r="C56" s="121" t="s">
        <v>6</v>
      </c>
      <c r="D56" s="121">
        <v>1</v>
      </c>
      <c r="E56" s="120" t="s">
        <v>632</v>
      </c>
      <c r="F56" s="121" t="s">
        <v>130</v>
      </c>
      <c r="G56" s="120"/>
      <c r="H56" s="122">
        <v>44651</v>
      </c>
      <c r="I56" s="120">
        <v>13500</v>
      </c>
      <c r="J56" s="120">
        <v>226</v>
      </c>
      <c r="K56" s="120">
        <v>227</v>
      </c>
      <c r="L56" s="124">
        <f t="shared" ca="1" si="16"/>
        <v>0</v>
      </c>
      <c r="M56" s="124">
        <f t="shared" ca="1" si="17"/>
        <v>13500</v>
      </c>
      <c r="N56" s="120">
        <f t="shared" ref="N56:N57" ca="1" si="143">K56/$J56</f>
        <v>1.0044247787610618</v>
      </c>
      <c r="O56" s="164">
        <f t="shared" ref="O56:O57" ca="1" si="144">J56*(1+$O$6*IF(C56="B",-1,1))</f>
        <v>169.5</v>
      </c>
      <c r="P56" s="168">
        <f t="shared" ca="1" si="20"/>
        <v>3051000</v>
      </c>
      <c r="Q56" s="168" t="e">
        <f t="shared" ref="Q56:Q57" ca="1" si="145">(W56-J56)*I56*IF(C56="B",1,-1)*IF(K56=0,1,0)</f>
        <v>#N/A</v>
      </c>
      <c r="R56" s="184">
        <f t="shared" ca="1" si="22"/>
        <v>0</v>
      </c>
      <c r="S56" s="124">
        <f t="shared" ref="S56:S57" ca="1" si="146">(1-$S$6)*J56</f>
        <v>22.599999999999994</v>
      </c>
      <c r="T56" s="120">
        <f ca="1">VLOOKUP(TRIM($F56),Reference!B:C,2,0)</f>
        <v>221.6</v>
      </c>
      <c r="U56" s="181">
        <f t="shared" ref="U56:U57" ca="1" si="147">AC56</f>
        <v>0</v>
      </c>
      <c r="V56" s="125" t="str">
        <f t="shared" ca="1" si="6"/>
        <v>TATAPOWER22MARFUT</v>
      </c>
      <c r="W56" s="166" t="e">
        <f ca="1">VLOOKUP($V56,Reference!BA:BD,4,0)</f>
        <v>#N/A</v>
      </c>
      <c r="X56" s="168">
        <f t="shared" ca="1" si="7"/>
        <v>0</v>
      </c>
      <c r="Y56" s="168">
        <f t="shared" ca="1" si="8"/>
        <v>0</v>
      </c>
      <c r="Z56" s="168">
        <f t="shared" ca="1" si="25"/>
        <v>0</v>
      </c>
      <c r="AA56" s="168">
        <f t="shared" ca="1" si="9"/>
        <v>0</v>
      </c>
      <c r="AB56" s="168">
        <f t="shared" ca="1" si="10"/>
        <v>0</v>
      </c>
      <c r="AC56" s="124">
        <f t="shared" ca="1" si="11"/>
        <v>0</v>
      </c>
      <c r="AD56" s="120">
        <f t="shared" ref="AD56:AD57" ca="1" si="148">(H56-TODAY())/365</f>
        <v>-0.29041095890410956</v>
      </c>
      <c r="AE56" s="120">
        <f t="shared" ref="AE56:AE57" ca="1" si="149">IF(I56&lt;&gt;0,20,0)</f>
        <v>20</v>
      </c>
      <c r="AF56" s="120"/>
      <c r="AG56" s="120"/>
      <c r="AH56" s="120">
        <f t="shared" ca="1" si="14"/>
        <v>0</v>
      </c>
      <c r="AI56" s="120"/>
      <c r="AJ56" s="120">
        <f t="shared" ca="1" si="15"/>
        <v>91.53</v>
      </c>
      <c r="AK56" s="120"/>
      <c r="AL56" s="147"/>
      <c r="AM56" s="160"/>
      <c r="AN56" s="160"/>
      <c r="AO56" s="160"/>
      <c r="AP56" s="160"/>
      <c r="AQ56" s="160"/>
      <c r="AR56" s="160"/>
      <c r="AS56" s="160"/>
      <c r="AT56" s="160"/>
      <c r="AU56" s="160"/>
      <c r="AV56" s="160"/>
      <c r="AW56" s="160"/>
      <c r="AX56" s="160"/>
      <c r="AY56" s="160"/>
      <c r="AZ56" s="160"/>
      <c r="BA56" s="160"/>
      <c r="BB56" s="160"/>
      <c r="BC56" s="160"/>
      <c r="BD56" s="160"/>
      <c r="BE56" s="160"/>
      <c r="BF56" s="160"/>
      <c r="BG56" s="160"/>
      <c r="BS56" s="13">
        <v>2</v>
      </c>
      <c r="BT56" s="128">
        <v>44491</v>
      </c>
      <c r="BU56" s="121" t="s">
        <v>8</v>
      </c>
      <c r="BV56" s="120" t="s">
        <v>482</v>
      </c>
      <c r="BW56" s="121" t="s">
        <v>502</v>
      </c>
      <c r="BX56" s="120">
        <v>18400</v>
      </c>
      <c r="BY56" s="120">
        <v>41.7</v>
      </c>
      <c r="BZ56" s="120">
        <v>47.945</v>
      </c>
      <c r="CA56" s="124">
        <v>-3216.6708800000001</v>
      </c>
      <c r="CB56" s="120">
        <v>1.1497601918465228</v>
      </c>
      <c r="CC56" s="120">
        <v>500</v>
      </c>
      <c r="CD56" s="120">
        <v>50</v>
      </c>
      <c r="CE56" s="124">
        <v>20850</v>
      </c>
    </row>
    <row r="57" spans="1:83" hidden="1">
      <c r="A57" s="13">
        <f t="shared" ca="1" si="28"/>
        <v>50</v>
      </c>
      <c r="B57" s="128">
        <v>44622</v>
      </c>
      <c r="C57" s="121" t="s">
        <v>8</v>
      </c>
      <c r="D57" s="121">
        <v>1</v>
      </c>
      <c r="E57" s="120" t="s">
        <v>481</v>
      </c>
      <c r="F57" s="121" t="s">
        <v>130</v>
      </c>
      <c r="G57" s="120">
        <v>250</v>
      </c>
      <c r="H57" s="122">
        <v>44651</v>
      </c>
      <c r="I57" s="120">
        <v>6750</v>
      </c>
      <c r="J57" s="120">
        <v>3.2</v>
      </c>
      <c r="K57" s="120">
        <v>2.1</v>
      </c>
      <c r="L57" s="124">
        <f t="shared" ca="1" si="16"/>
        <v>0</v>
      </c>
      <c r="M57" s="124">
        <f t="shared" ca="1" si="17"/>
        <v>7425.0000000000009</v>
      </c>
      <c r="N57" s="120">
        <f t="shared" ca="1" si="143"/>
        <v>0.65625</v>
      </c>
      <c r="O57" s="164">
        <f t="shared" ca="1" si="144"/>
        <v>4</v>
      </c>
      <c r="P57" s="168">
        <f t="shared" ca="1" si="20"/>
        <v>21600</v>
      </c>
      <c r="Q57" s="168" t="e">
        <f t="shared" ca="1" si="145"/>
        <v>#N/A</v>
      </c>
      <c r="R57" s="184">
        <f t="shared" ca="1" si="22"/>
        <v>0</v>
      </c>
      <c r="S57" s="124">
        <f t="shared" ca="1" si="146"/>
        <v>0.31999999999999995</v>
      </c>
      <c r="T57" s="120">
        <f ca="1">VLOOKUP(TRIM($F57),Reference!B:C,2,0)</f>
        <v>221.6</v>
      </c>
      <c r="U57" s="181">
        <f t="shared" ca="1" si="147"/>
        <v>0</v>
      </c>
      <c r="V57" s="125" t="str">
        <f t="shared" ca="1" si="6"/>
        <v>TATAPOWER22MAR250CE</v>
      </c>
      <c r="W57" s="166" t="e">
        <f ca="1">VLOOKUP($V57,Reference!BA:BD,4,0)</f>
        <v>#N/A</v>
      </c>
      <c r="X57" s="168">
        <f t="shared" ca="1" si="7"/>
        <v>0</v>
      </c>
      <c r="Y57" s="168">
        <f t="shared" ca="1" si="8"/>
        <v>0</v>
      </c>
      <c r="Z57" s="168">
        <f t="shared" ca="1" si="25"/>
        <v>0</v>
      </c>
      <c r="AA57" s="168">
        <f t="shared" ca="1" si="9"/>
        <v>0</v>
      </c>
      <c r="AB57" s="168">
        <f t="shared" ca="1" si="10"/>
        <v>0</v>
      </c>
      <c r="AC57" s="124">
        <f t="shared" ca="1" si="11"/>
        <v>0</v>
      </c>
      <c r="AD57" s="120">
        <f t="shared" ca="1" si="148"/>
        <v>-0.29041095890410956</v>
      </c>
      <c r="AE57" s="120">
        <f t="shared" ca="1" si="149"/>
        <v>20</v>
      </c>
      <c r="AF57" s="120"/>
      <c r="AG57" s="120"/>
      <c r="AH57" s="120">
        <f t="shared" ca="1" si="14"/>
        <v>10.8</v>
      </c>
      <c r="AI57" s="120"/>
      <c r="AJ57" s="120">
        <f t="shared" ca="1" si="15"/>
        <v>0</v>
      </c>
      <c r="AK57" s="120"/>
      <c r="AL57" s="147"/>
      <c r="AM57" s="160"/>
      <c r="AN57" s="160"/>
      <c r="AO57" s="160"/>
      <c r="AP57" s="160"/>
      <c r="AQ57" s="160"/>
      <c r="AR57" s="160"/>
      <c r="AS57" s="160"/>
      <c r="AT57" s="160"/>
      <c r="AU57" s="160"/>
      <c r="AV57" s="160"/>
      <c r="AW57" s="160"/>
      <c r="AX57" s="160"/>
      <c r="AY57" s="160"/>
      <c r="AZ57" s="160"/>
      <c r="BA57" s="160"/>
      <c r="BB57" s="160"/>
      <c r="BC57" s="160"/>
      <c r="BD57" s="160"/>
      <c r="BE57" s="160"/>
      <c r="BF57" s="160"/>
      <c r="BG57" s="160"/>
      <c r="BS57" s="13">
        <v>2</v>
      </c>
      <c r="BT57" s="128">
        <v>44491</v>
      </c>
      <c r="BU57" s="121" t="s">
        <v>8</v>
      </c>
      <c r="BV57" s="120" t="s">
        <v>482</v>
      </c>
      <c r="BW57" s="121" t="s">
        <v>502</v>
      </c>
      <c r="BX57" s="120">
        <v>18400</v>
      </c>
      <c r="BY57" s="120">
        <v>41.7</v>
      </c>
      <c r="BZ57" s="120">
        <v>47.945</v>
      </c>
      <c r="CA57" s="124">
        <v>-3216.6708800000001</v>
      </c>
      <c r="CB57" s="120">
        <v>1.1497601918465228</v>
      </c>
      <c r="CC57" s="120">
        <v>500</v>
      </c>
      <c r="CD57" s="120">
        <v>50</v>
      </c>
      <c r="CE57" s="124">
        <v>20850</v>
      </c>
    </row>
    <row r="58" spans="1:83" hidden="1">
      <c r="A58" s="13">
        <f t="shared" ca="1" si="28"/>
        <v>51</v>
      </c>
      <c r="B58" s="128">
        <v>44622</v>
      </c>
      <c r="C58" s="121" t="s">
        <v>6</v>
      </c>
      <c r="D58" s="121">
        <v>1</v>
      </c>
      <c r="E58" s="120" t="s">
        <v>632</v>
      </c>
      <c r="F58" s="121" t="s">
        <v>130</v>
      </c>
      <c r="G58" s="120"/>
      <c r="H58" s="122">
        <v>44651</v>
      </c>
      <c r="I58" s="120">
        <v>6750</v>
      </c>
      <c r="J58" s="120">
        <v>225.7</v>
      </c>
      <c r="K58" s="120">
        <v>227</v>
      </c>
      <c r="L58" s="124">
        <f t="shared" ca="1" si="16"/>
        <v>0</v>
      </c>
      <c r="M58" s="124">
        <f t="shared" ca="1" si="17"/>
        <v>8775.0000000000764</v>
      </c>
      <c r="N58" s="120">
        <f t="shared" ref="N58:N59" ca="1" si="150">K58/$J58</f>
        <v>1.0057598582188747</v>
      </c>
      <c r="O58" s="164">
        <f t="shared" ref="O58:O59" ca="1" si="151">J58*(1+$O$6*IF(C58="B",-1,1))</f>
        <v>169.27499999999998</v>
      </c>
      <c r="P58" s="168">
        <f t="shared" ca="1" si="20"/>
        <v>1523475</v>
      </c>
      <c r="Q58" s="168" t="e">
        <f t="shared" ref="Q58:Q59" ca="1" si="152">(W58-J58)*I58*IF(C58="B",1,-1)*IF(K58=0,1,0)</f>
        <v>#N/A</v>
      </c>
      <c r="R58" s="184">
        <f t="shared" ca="1" si="22"/>
        <v>0</v>
      </c>
      <c r="S58" s="124">
        <f t="shared" ref="S58:S59" ca="1" si="153">(1-$S$6)*J58</f>
        <v>22.569999999999993</v>
      </c>
      <c r="T58" s="120">
        <f ca="1">VLOOKUP(TRIM($F58),Reference!B:C,2,0)</f>
        <v>221.6</v>
      </c>
      <c r="U58" s="181">
        <f t="shared" ref="U58:U59" ca="1" si="154">AC58</f>
        <v>0</v>
      </c>
      <c r="V58" s="125" t="str">
        <f t="shared" ca="1" si="6"/>
        <v>TATAPOWER22MARFUT</v>
      </c>
      <c r="W58" s="166" t="e">
        <f ca="1">VLOOKUP($V58,Reference!BA:BD,4,0)</f>
        <v>#N/A</v>
      </c>
      <c r="X58" s="168">
        <f t="shared" ca="1" si="7"/>
        <v>0</v>
      </c>
      <c r="Y58" s="168">
        <f t="shared" ca="1" si="8"/>
        <v>0</v>
      </c>
      <c r="Z58" s="168">
        <f t="shared" ca="1" si="25"/>
        <v>0</v>
      </c>
      <c r="AA58" s="168">
        <f t="shared" ca="1" si="9"/>
        <v>0</v>
      </c>
      <c r="AB58" s="168">
        <f t="shared" ca="1" si="10"/>
        <v>0</v>
      </c>
      <c r="AC58" s="124">
        <f t="shared" ca="1" si="11"/>
        <v>0</v>
      </c>
      <c r="AD58" s="120">
        <f t="shared" ref="AD58:AD59" ca="1" si="155">(H58-TODAY())/365</f>
        <v>-0.29041095890410956</v>
      </c>
      <c r="AE58" s="120">
        <f t="shared" ref="AE58:AE59" ca="1" si="156">IF(I58&lt;&gt;0,20,0)</f>
        <v>20</v>
      </c>
      <c r="AF58" s="120"/>
      <c r="AG58" s="120"/>
      <c r="AH58" s="120">
        <f t="shared" ca="1" si="14"/>
        <v>0</v>
      </c>
      <c r="AI58" s="120"/>
      <c r="AJ58" s="120">
        <f t="shared" ca="1" si="15"/>
        <v>45.704250000000002</v>
      </c>
      <c r="AK58" s="120"/>
      <c r="AL58" s="147"/>
      <c r="AM58" s="160"/>
      <c r="AN58" s="160"/>
      <c r="AO58" s="160"/>
      <c r="AP58" s="160"/>
      <c r="AQ58" s="160"/>
      <c r="AR58" s="160"/>
      <c r="AS58" s="160"/>
      <c r="AT58" s="160"/>
      <c r="AU58" s="160"/>
      <c r="AV58" s="160"/>
      <c r="AW58" s="160"/>
      <c r="AX58" s="160"/>
      <c r="AY58" s="160"/>
      <c r="AZ58" s="160"/>
      <c r="BA58" s="160"/>
      <c r="BB58" s="160"/>
      <c r="BC58" s="160"/>
      <c r="BD58" s="160"/>
      <c r="BE58" s="160"/>
      <c r="BF58" s="160"/>
      <c r="BG58" s="160"/>
      <c r="BS58" s="13">
        <v>2</v>
      </c>
      <c r="BT58" s="128">
        <v>44491</v>
      </c>
      <c r="BU58" s="121" t="s">
        <v>8</v>
      </c>
      <c r="BV58" s="120" t="s">
        <v>482</v>
      </c>
      <c r="BW58" s="121" t="s">
        <v>502</v>
      </c>
      <c r="BX58" s="120">
        <v>18400</v>
      </c>
      <c r="BY58" s="120">
        <v>41.7</v>
      </c>
      <c r="BZ58" s="120">
        <v>47.945</v>
      </c>
      <c r="CA58" s="124">
        <v>-3216.6708800000001</v>
      </c>
      <c r="CB58" s="120">
        <v>1.1497601918465228</v>
      </c>
      <c r="CC58" s="120">
        <v>500</v>
      </c>
      <c r="CD58" s="120">
        <v>50</v>
      </c>
      <c r="CE58" s="124">
        <v>20850</v>
      </c>
    </row>
    <row r="59" spans="1:83" hidden="1">
      <c r="A59" s="13">
        <f t="shared" ca="1" si="28"/>
        <v>52</v>
      </c>
      <c r="B59" s="128">
        <v>44616</v>
      </c>
      <c r="C59" s="121" t="s">
        <v>8</v>
      </c>
      <c r="D59" s="121">
        <v>1</v>
      </c>
      <c r="E59" s="120" t="s">
        <v>481</v>
      </c>
      <c r="F59" s="121" t="s">
        <v>130</v>
      </c>
      <c r="G59" s="120">
        <v>235</v>
      </c>
      <c r="H59" s="122">
        <v>44651</v>
      </c>
      <c r="I59" s="120">
        <v>6750</v>
      </c>
      <c r="J59" s="120">
        <v>2.75</v>
      </c>
      <c r="K59" s="120">
        <v>6.9</v>
      </c>
      <c r="L59" s="124">
        <f t="shared" ca="1" si="16"/>
        <v>0</v>
      </c>
      <c r="M59" s="124">
        <f t="shared" ca="1" si="17"/>
        <v>-28012.500000000004</v>
      </c>
      <c r="N59" s="120">
        <f t="shared" ca="1" si="150"/>
        <v>2.5090909090909093</v>
      </c>
      <c r="O59" s="164">
        <f t="shared" ca="1" si="151"/>
        <v>3.4375</v>
      </c>
      <c r="P59" s="168">
        <f t="shared" ca="1" si="20"/>
        <v>18562.5</v>
      </c>
      <c r="Q59" s="168" t="e">
        <f t="shared" ca="1" si="152"/>
        <v>#N/A</v>
      </c>
      <c r="R59" s="184">
        <f t="shared" ca="1" si="22"/>
        <v>0</v>
      </c>
      <c r="S59" s="124">
        <f t="shared" ca="1" si="153"/>
        <v>0.27499999999999991</v>
      </c>
      <c r="T59" s="120">
        <f ca="1">VLOOKUP(TRIM($F59),Reference!B:C,2,0)</f>
        <v>221.6</v>
      </c>
      <c r="U59" s="181">
        <f t="shared" ca="1" si="154"/>
        <v>0</v>
      </c>
      <c r="V59" s="125" t="str">
        <f t="shared" ca="1" si="6"/>
        <v>TATAPOWER22MAR235CE</v>
      </c>
      <c r="W59" s="166" t="e">
        <f ca="1">VLOOKUP($V59,Reference!BA:BD,4,0)</f>
        <v>#N/A</v>
      </c>
      <c r="X59" s="168">
        <f t="shared" ca="1" si="7"/>
        <v>0</v>
      </c>
      <c r="Y59" s="168">
        <f t="shared" ca="1" si="8"/>
        <v>0</v>
      </c>
      <c r="Z59" s="168">
        <f t="shared" ca="1" si="25"/>
        <v>0</v>
      </c>
      <c r="AA59" s="168">
        <f t="shared" ca="1" si="9"/>
        <v>0</v>
      </c>
      <c r="AB59" s="168">
        <f t="shared" ca="1" si="10"/>
        <v>0</v>
      </c>
      <c r="AC59" s="124">
        <f t="shared" ca="1" si="11"/>
        <v>0</v>
      </c>
      <c r="AD59" s="120">
        <f t="shared" ca="1" si="155"/>
        <v>-0.29041095890410956</v>
      </c>
      <c r="AE59" s="120">
        <f t="shared" ca="1" si="156"/>
        <v>20</v>
      </c>
      <c r="AF59" s="120"/>
      <c r="AG59" s="120"/>
      <c r="AH59" s="120">
        <f t="shared" ca="1" si="14"/>
        <v>9.28125</v>
      </c>
      <c r="AI59" s="120"/>
      <c r="AJ59" s="120">
        <f t="shared" ca="1" si="15"/>
        <v>0</v>
      </c>
      <c r="AK59" s="120"/>
      <c r="AL59" s="147"/>
      <c r="AM59" s="160"/>
      <c r="AN59" s="160"/>
      <c r="AO59" s="160"/>
      <c r="AP59" s="160"/>
      <c r="AQ59" s="160"/>
      <c r="AR59" s="160"/>
      <c r="AS59" s="160"/>
      <c r="AT59" s="160"/>
      <c r="AU59" s="160"/>
      <c r="AV59" s="160"/>
      <c r="AW59" s="160"/>
      <c r="AX59" s="160"/>
      <c r="AY59" s="160"/>
      <c r="AZ59" s="160"/>
      <c r="BA59" s="160"/>
      <c r="BB59" s="160"/>
      <c r="BC59" s="160"/>
      <c r="BD59" s="160"/>
      <c r="BE59" s="160"/>
      <c r="BF59" s="160"/>
      <c r="BG59" s="160"/>
      <c r="BS59" s="13">
        <v>2</v>
      </c>
      <c r="BT59" s="128">
        <v>44491</v>
      </c>
      <c r="BU59" s="121" t="s">
        <v>8</v>
      </c>
      <c r="BV59" s="120" t="s">
        <v>482</v>
      </c>
      <c r="BW59" s="121" t="s">
        <v>502</v>
      </c>
      <c r="BX59" s="120">
        <v>18400</v>
      </c>
      <c r="BY59" s="120">
        <v>41.7</v>
      </c>
      <c r="BZ59" s="120">
        <v>47.945</v>
      </c>
      <c r="CA59" s="124">
        <v>-3216.6708800000001</v>
      </c>
      <c r="CB59" s="120">
        <v>1.1497601918465228</v>
      </c>
      <c r="CC59" s="120">
        <v>500</v>
      </c>
      <c r="CD59" s="120">
        <v>50</v>
      </c>
      <c r="CE59" s="124">
        <v>20850</v>
      </c>
    </row>
    <row r="60" spans="1:83" hidden="1">
      <c r="A60" s="13">
        <f t="shared" ca="1" si="28"/>
        <v>53</v>
      </c>
      <c r="B60" s="128">
        <v>44622</v>
      </c>
      <c r="C60" s="121" t="s">
        <v>6</v>
      </c>
      <c r="D60" s="121">
        <v>1</v>
      </c>
      <c r="E60" s="120" t="s">
        <v>632</v>
      </c>
      <c r="F60" s="121" t="s">
        <v>506</v>
      </c>
      <c r="G60" s="120"/>
      <c r="H60" s="122">
        <v>44651</v>
      </c>
      <c r="I60" s="120">
        <v>25</v>
      </c>
      <c r="J60" s="120">
        <v>35149</v>
      </c>
      <c r="K60" s="120">
        <v>35700</v>
      </c>
      <c r="L60" s="124">
        <f t="shared" ca="1" si="16"/>
        <v>0</v>
      </c>
      <c r="M60" s="124">
        <f t="shared" ca="1" si="17"/>
        <v>13775</v>
      </c>
      <c r="N60" s="120">
        <f t="shared" ref="N60:N62" ca="1" si="157">K60/$J60</f>
        <v>1.0156761216535322</v>
      </c>
      <c r="O60" s="164">
        <f t="shared" ref="O60:O62" ca="1" si="158">J60*(1+$O$6*IF(C60="B",-1,1))</f>
        <v>26361.75</v>
      </c>
      <c r="P60" s="168">
        <f t="shared" ca="1" si="20"/>
        <v>878725</v>
      </c>
      <c r="Q60" s="168" t="e">
        <f t="shared" ref="Q60:Q62" ca="1" si="159">(W60-J60)*I60*IF(C60="B",1,-1)*IF(K60=0,1,0)</f>
        <v>#N/A</v>
      </c>
      <c r="R60" s="184">
        <f t="shared" ca="1" si="22"/>
        <v>0</v>
      </c>
      <c r="S60" s="124">
        <f t="shared" ref="S60:S62" ca="1" si="160">(1-$S$6)*J60</f>
        <v>3514.8999999999992</v>
      </c>
      <c r="T60" s="120">
        <f ca="1">VLOOKUP(TRIM($F60),Reference!B:C,2,0)</f>
        <v>34651.199999999997</v>
      </c>
      <c r="U60" s="181">
        <f t="shared" ref="U60:U62" ca="1" si="161">AC60</f>
        <v>0</v>
      </c>
      <c r="V60" s="125" t="str">
        <f t="shared" ca="1" si="6"/>
        <v>BANKNIFTY22MARFUT</v>
      </c>
      <c r="W60" s="166" t="e">
        <f ca="1">VLOOKUP($V60,Reference!BA:BD,4,0)</f>
        <v>#N/A</v>
      </c>
      <c r="X60" s="168">
        <f t="shared" ca="1" si="7"/>
        <v>0</v>
      </c>
      <c r="Y60" s="168">
        <f t="shared" ca="1" si="8"/>
        <v>0</v>
      </c>
      <c r="Z60" s="168">
        <f t="shared" ca="1" si="25"/>
        <v>0</v>
      </c>
      <c r="AA60" s="168">
        <f t="shared" ca="1" si="9"/>
        <v>0</v>
      </c>
      <c r="AB60" s="168">
        <f t="shared" ca="1" si="10"/>
        <v>0</v>
      </c>
      <c r="AC60" s="124">
        <f t="shared" ca="1" si="11"/>
        <v>0</v>
      </c>
      <c r="AD60" s="120">
        <f t="shared" ref="AD60:AD62" ca="1" si="162">(H60-TODAY())/365</f>
        <v>-0.29041095890410956</v>
      </c>
      <c r="AE60" s="120">
        <f t="shared" ref="AE60:AE62" ca="1" si="163">IF(I60&lt;&gt;0,20,0)</f>
        <v>20</v>
      </c>
      <c r="AF60" s="120"/>
      <c r="AG60" s="120"/>
      <c r="AH60" s="120">
        <f t="shared" ca="1" si="14"/>
        <v>0</v>
      </c>
      <c r="AI60" s="120"/>
      <c r="AJ60" s="120">
        <f t="shared" ca="1" si="15"/>
        <v>26.361750000000001</v>
      </c>
      <c r="AK60" s="120"/>
      <c r="AL60" s="147"/>
      <c r="AM60" s="160"/>
      <c r="AN60" s="160"/>
      <c r="AO60" s="160"/>
      <c r="AP60" s="160"/>
      <c r="AQ60" s="160"/>
      <c r="AR60" s="160"/>
      <c r="AS60" s="160"/>
      <c r="AT60" s="160"/>
      <c r="AU60" s="160"/>
      <c r="AV60" s="160"/>
      <c r="AW60" s="160"/>
      <c r="AX60" s="160"/>
      <c r="AY60" s="160"/>
      <c r="AZ60" s="160"/>
      <c r="BA60" s="160"/>
      <c r="BB60" s="160"/>
      <c r="BC60" s="160"/>
      <c r="BD60" s="160"/>
      <c r="BE60" s="160"/>
      <c r="BF60" s="160"/>
      <c r="BG60" s="160"/>
      <c r="BS60" s="13">
        <v>2</v>
      </c>
      <c r="BT60" s="128">
        <v>44491</v>
      </c>
      <c r="BU60" s="121" t="s">
        <v>8</v>
      </c>
      <c r="BV60" s="120" t="s">
        <v>482</v>
      </c>
      <c r="BW60" s="121" t="s">
        <v>502</v>
      </c>
      <c r="BX60" s="120">
        <v>18400</v>
      </c>
      <c r="BY60" s="120">
        <v>41.7</v>
      </c>
      <c r="BZ60" s="120">
        <v>47.945</v>
      </c>
      <c r="CA60" s="124">
        <v>-3216.6708800000001</v>
      </c>
      <c r="CB60" s="120">
        <v>1.1497601918465228</v>
      </c>
      <c r="CC60" s="120">
        <v>500</v>
      </c>
      <c r="CD60" s="120">
        <v>50</v>
      </c>
      <c r="CE60" s="124">
        <v>20850</v>
      </c>
    </row>
    <row r="61" spans="1:83" hidden="1">
      <c r="A61" s="13">
        <f t="shared" ca="1" si="28"/>
        <v>54</v>
      </c>
      <c r="B61" s="128">
        <v>44622</v>
      </c>
      <c r="C61" s="121" t="s">
        <v>8</v>
      </c>
      <c r="D61" s="121">
        <v>1</v>
      </c>
      <c r="E61" s="120" t="s">
        <v>481</v>
      </c>
      <c r="F61" s="121" t="s">
        <v>506</v>
      </c>
      <c r="G61" s="120">
        <v>38500</v>
      </c>
      <c r="H61" s="122">
        <v>44651</v>
      </c>
      <c r="I61" s="120">
        <v>25</v>
      </c>
      <c r="J61" s="120">
        <v>243.75</v>
      </c>
      <c r="K61" s="120">
        <v>2.5</v>
      </c>
      <c r="L61" s="124">
        <f t="shared" ca="1" si="16"/>
        <v>0</v>
      </c>
      <c r="M61" s="124">
        <f t="shared" ca="1" si="17"/>
        <v>6031.25</v>
      </c>
      <c r="N61" s="120">
        <f t="shared" ca="1" si="157"/>
        <v>1.0256410256410256E-2</v>
      </c>
      <c r="O61" s="164">
        <f t="shared" ca="1" si="158"/>
        <v>304.6875</v>
      </c>
      <c r="P61" s="168">
        <f t="shared" ca="1" si="20"/>
        <v>6093.75</v>
      </c>
      <c r="Q61" s="168" t="e">
        <f t="shared" ca="1" si="159"/>
        <v>#N/A</v>
      </c>
      <c r="R61" s="184">
        <f t="shared" ca="1" si="22"/>
        <v>0</v>
      </c>
      <c r="S61" s="124">
        <f t="shared" ca="1" si="160"/>
        <v>24.374999999999993</v>
      </c>
      <c r="T61" s="120">
        <f ca="1">VLOOKUP(TRIM($F61),Reference!B:C,2,0)</f>
        <v>34651.199999999997</v>
      </c>
      <c r="U61" s="125">
        <f t="shared" ca="1" si="161"/>
        <v>0</v>
      </c>
      <c r="V61" s="125" t="str">
        <f t="shared" ca="1" si="6"/>
        <v>BANKNIFTY22MAR38500CE</v>
      </c>
      <c r="W61" s="166" t="e">
        <f ca="1">VLOOKUP($V61,Reference!BA:BD,4,0)</f>
        <v>#N/A</v>
      </c>
      <c r="X61" s="168">
        <f t="shared" ca="1" si="7"/>
        <v>0</v>
      </c>
      <c r="Y61" s="168">
        <f t="shared" ca="1" si="8"/>
        <v>0</v>
      </c>
      <c r="Z61" s="168">
        <f t="shared" ca="1" si="25"/>
        <v>0</v>
      </c>
      <c r="AA61" s="168">
        <f t="shared" ca="1" si="9"/>
        <v>0</v>
      </c>
      <c r="AB61" s="168">
        <f t="shared" ca="1" si="10"/>
        <v>0</v>
      </c>
      <c r="AC61" s="124">
        <f t="shared" ca="1" si="11"/>
        <v>0</v>
      </c>
      <c r="AD61" s="120">
        <f t="shared" ca="1" si="162"/>
        <v>-0.29041095890410956</v>
      </c>
      <c r="AE61" s="120">
        <f t="shared" ca="1" si="163"/>
        <v>20</v>
      </c>
      <c r="AF61" s="120"/>
      <c r="AG61" s="120"/>
      <c r="AH61" s="120">
        <f t="shared" ca="1" si="14"/>
        <v>3.046875</v>
      </c>
      <c r="AI61" s="120"/>
      <c r="AJ61" s="120">
        <f t="shared" ca="1" si="15"/>
        <v>0</v>
      </c>
      <c r="AK61" s="120"/>
      <c r="AM61" s="161"/>
      <c r="AN61" s="161"/>
      <c r="AO61" s="161"/>
      <c r="AP61" s="161"/>
      <c r="AQ61" s="161"/>
      <c r="AR61" s="161"/>
      <c r="AS61" s="161"/>
      <c r="AT61" s="161"/>
      <c r="AU61" s="161"/>
      <c r="AV61" s="161"/>
      <c r="AW61" s="161"/>
      <c r="AX61" s="161"/>
      <c r="AY61" s="161"/>
      <c r="AZ61" s="161"/>
      <c r="BA61" s="161"/>
      <c r="BB61" s="161"/>
      <c r="BC61" s="161"/>
      <c r="BD61" s="161"/>
      <c r="BE61" s="161"/>
      <c r="BF61" s="161"/>
      <c r="BG61" s="161"/>
      <c r="BS61" s="11">
        <v>2</v>
      </c>
      <c r="BT61" s="11">
        <v>44491</v>
      </c>
      <c r="BU61" s="11" t="s">
        <v>8</v>
      </c>
      <c r="BV61" s="11" t="s">
        <v>482</v>
      </c>
      <c r="BW61" s="11" t="s">
        <v>502</v>
      </c>
      <c r="BX61" s="11">
        <v>18400</v>
      </c>
      <c r="BY61" s="11">
        <v>41.7</v>
      </c>
      <c r="BZ61" s="11">
        <v>47.945</v>
      </c>
      <c r="CA61" s="11">
        <v>-3216.6708800000001</v>
      </c>
      <c r="CB61" s="11">
        <v>1.1497601918465228</v>
      </c>
      <c r="CC61" s="11">
        <v>500</v>
      </c>
      <c r="CD61" s="11">
        <v>50</v>
      </c>
      <c r="CE61" s="11">
        <v>20850</v>
      </c>
    </row>
    <row r="62" spans="1:83" hidden="1">
      <c r="A62" s="13">
        <f t="shared" ca="1" si="28"/>
        <v>55</v>
      </c>
      <c r="B62" s="128">
        <v>44622</v>
      </c>
      <c r="C62" s="121" t="s">
        <v>6</v>
      </c>
      <c r="D62" s="121">
        <v>1</v>
      </c>
      <c r="E62" s="120" t="s">
        <v>632</v>
      </c>
      <c r="F62" s="121" t="s">
        <v>130</v>
      </c>
      <c r="G62" s="120"/>
      <c r="H62" s="122">
        <v>44651</v>
      </c>
      <c r="I62" s="120">
        <v>6750</v>
      </c>
      <c r="J62" s="120">
        <v>226</v>
      </c>
      <c r="K62" s="120">
        <v>226.5</v>
      </c>
      <c r="L62" s="124">
        <f t="shared" ca="1" si="16"/>
        <v>0</v>
      </c>
      <c r="M62" s="124">
        <f t="shared" ca="1" si="17"/>
        <v>3375</v>
      </c>
      <c r="N62" s="120">
        <f t="shared" ca="1" si="157"/>
        <v>1.002212389380531</v>
      </c>
      <c r="O62" s="164">
        <f t="shared" ca="1" si="158"/>
        <v>169.5</v>
      </c>
      <c r="P62" s="168">
        <f t="shared" ca="1" si="20"/>
        <v>1525500</v>
      </c>
      <c r="Q62" s="168" t="e">
        <f t="shared" ca="1" si="159"/>
        <v>#N/A</v>
      </c>
      <c r="R62" s="184">
        <f t="shared" ca="1" si="22"/>
        <v>0</v>
      </c>
      <c r="S62" s="124">
        <f t="shared" ca="1" si="160"/>
        <v>22.599999999999994</v>
      </c>
      <c r="T62" s="120">
        <f ca="1">VLOOKUP(TRIM($F62),Reference!B:C,2,0)</f>
        <v>221.6</v>
      </c>
      <c r="U62" s="181">
        <f t="shared" ca="1" si="161"/>
        <v>0</v>
      </c>
      <c r="V62" s="125" t="str">
        <f t="shared" ca="1" si="6"/>
        <v>TATAPOWER22MARFUT</v>
      </c>
      <c r="W62" s="166" t="e">
        <f ca="1">VLOOKUP($V62,Reference!BA:BD,4,0)</f>
        <v>#N/A</v>
      </c>
      <c r="X62" s="168">
        <f t="shared" ca="1" si="7"/>
        <v>0</v>
      </c>
      <c r="Y62" s="168">
        <f t="shared" ca="1" si="8"/>
        <v>0</v>
      </c>
      <c r="Z62" s="168">
        <f t="shared" ca="1" si="25"/>
        <v>0</v>
      </c>
      <c r="AA62" s="168">
        <f t="shared" ca="1" si="9"/>
        <v>0</v>
      </c>
      <c r="AB62" s="168">
        <f t="shared" ca="1" si="10"/>
        <v>0</v>
      </c>
      <c r="AC62" s="124">
        <f t="shared" ca="1" si="11"/>
        <v>0</v>
      </c>
      <c r="AD62" s="120">
        <f t="shared" ca="1" si="162"/>
        <v>-0.29041095890410956</v>
      </c>
      <c r="AE62" s="120">
        <f t="shared" ca="1" si="163"/>
        <v>20</v>
      </c>
      <c r="AF62" s="120"/>
      <c r="AG62" s="120"/>
      <c r="AH62" s="120">
        <f t="shared" ca="1" si="14"/>
        <v>0</v>
      </c>
      <c r="AI62" s="120"/>
      <c r="AJ62" s="120">
        <f t="shared" ca="1" si="15"/>
        <v>45.765000000000001</v>
      </c>
      <c r="AK62" s="120"/>
      <c r="AL62" s="147"/>
      <c r="AM62" s="160"/>
      <c r="AN62" s="160"/>
      <c r="AO62" s="160"/>
      <c r="AP62" s="160"/>
      <c r="AQ62" s="160"/>
      <c r="AR62" s="160"/>
      <c r="AS62" s="160"/>
      <c r="AT62" s="160"/>
      <c r="AU62" s="160"/>
      <c r="AV62" s="160"/>
      <c r="AW62" s="160"/>
      <c r="AX62" s="160"/>
      <c r="AY62" s="160"/>
      <c r="AZ62" s="160"/>
      <c r="BA62" s="160"/>
      <c r="BB62" s="160"/>
      <c r="BC62" s="160"/>
      <c r="BD62" s="160"/>
      <c r="BE62" s="160"/>
      <c r="BF62" s="160"/>
      <c r="BG62" s="160"/>
      <c r="BS62" s="13">
        <v>2</v>
      </c>
      <c r="BT62" s="128">
        <v>44491</v>
      </c>
      <c r="BU62" s="121" t="s">
        <v>8</v>
      </c>
      <c r="BV62" s="120" t="s">
        <v>482</v>
      </c>
      <c r="BW62" s="121" t="s">
        <v>502</v>
      </c>
      <c r="BX62" s="120">
        <v>18400</v>
      </c>
      <c r="BY62" s="120">
        <v>41.7</v>
      </c>
      <c r="BZ62" s="120">
        <v>47.945</v>
      </c>
      <c r="CA62" s="124">
        <v>-3216.6708800000001</v>
      </c>
      <c r="CB62" s="120">
        <v>1.1497601918465228</v>
      </c>
      <c r="CC62" s="120">
        <v>500</v>
      </c>
      <c r="CD62" s="120">
        <v>50</v>
      </c>
      <c r="CE62" s="124">
        <v>20850</v>
      </c>
    </row>
    <row r="63" spans="1:83" hidden="1">
      <c r="A63" s="13">
        <f t="shared" ca="1" si="28"/>
        <v>56</v>
      </c>
      <c r="B63" s="128">
        <v>44623</v>
      </c>
      <c r="C63" s="121" t="s">
        <v>6</v>
      </c>
      <c r="D63" s="121">
        <v>1</v>
      </c>
      <c r="E63" s="120" t="s">
        <v>632</v>
      </c>
      <c r="F63" s="121" t="s">
        <v>130</v>
      </c>
      <c r="G63" s="120"/>
      <c r="H63" s="122">
        <v>44651</v>
      </c>
      <c r="I63" s="120">
        <v>6750</v>
      </c>
      <c r="J63" s="120">
        <v>227</v>
      </c>
      <c r="K63" s="120">
        <v>228.6</v>
      </c>
      <c r="L63" s="124">
        <f t="shared" ca="1" si="16"/>
        <v>0</v>
      </c>
      <c r="M63" s="124">
        <f t="shared" ca="1" si="17"/>
        <v>10799.999999999962</v>
      </c>
      <c r="N63" s="120">
        <f t="shared" ref="N63:N64" ca="1" si="164">K63/$J63</f>
        <v>1.0070484581497796</v>
      </c>
      <c r="O63" s="164">
        <f t="shared" ref="O63:O64" ca="1" si="165">J63*(1+$O$6*IF(C63="B",-1,1))</f>
        <v>170.25</v>
      </c>
      <c r="P63" s="168">
        <f t="shared" ca="1" si="20"/>
        <v>1532250</v>
      </c>
      <c r="Q63" s="168" t="e">
        <f t="shared" ref="Q63:Q64" ca="1" si="166">(W63-J63)*I63*IF(C63="B",1,-1)*IF(K63=0,1,0)</f>
        <v>#N/A</v>
      </c>
      <c r="R63" s="184">
        <f t="shared" ca="1" si="22"/>
        <v>0</v>
      </c>
      <c r="S63" s="124">
        <f t="shared" ref="S63:S64" ca="1" si="167">(1-$S$6)*J63</f>
        <v>22.699999999999996</v>
      </c>
      <c r="T63" s="120">
        <f ca="1">VLOOKUP(TRIM($F63),Reference!B:C,2,0)</f>
        <v>221.6</v>
      </c>
      <c r="U63" s="181">
        <f t="shared" ref="U63:U64" ca="1" si="168">AC63</f>
        <v>0</v>
      </c>
      <c r="V63" s="125" t="str">
        <f t="shared" ca="1" si="6"/>
        <v>TATAPOWER22MARFUT</v>
      </c>
      <c r="W63" s="166" t="e">
        <f ca="1">VLOOKUP($V63,Reference!BA:BD,4,0)</f>
        <v>#N/A</v>
      </c>
      <c r="X63" s="168">
        <f t="shared" ca="1" si="7"/>
        <v>0</v>
      </c>
      <c r="Y63" s="168">
        <f t="shared" ca="1" si="8"/>
        <v>0</v>
      </c>
      <c r="Z63" s="168">
        <f t="shared" ca="1" si="25"/>
        <v>0</v>
      </c>
      <c r="AA63" s="168">
        <f t="shared" ca="1" si="9"/>
        <v>0</v>
      </c>
      <c r="AB63" s="168">
        <f t="shared" ca="1" si="10"/>
        <v>0</v>
      </c>
      <c r="AC63" s="124">
        <f t="shared" ca="1" si="11"/>
        <v>0</v>
      </c>
      <c r="AD63" s="120">
        <f t="shared" ref="AD63:AD64" ca="1" si="169">(H63-TODAY())/365</f>
        <v>-0.29041095890410956</v>
      </c>
      <c r="AE63" s="120">
        <f t="shared" ref="AE63:AE64" ca="1" si="170">IF(I63&lt;&gt;0,20,0)</f>
        <v>20</v>
      </c>
      <c r="AF63" s="120"/>
      <c r="AG63" s="120"/>
      <c r="AH63" s="120">
        <f t="shared" ca="1" si="14"/>
        <v>0</v>
      </c>
      <c r="AI63" s="120"/>
      <c r="AJ63" s="120">
        <f t="shared" ca="1" si="15"/>
        <v>45.967500000000001</v>
      </c>
      <c r="AK63" s="120"/>
      <c r="AL63" s="147"/>
      <c r="AM63" s="160"/>
      <c r="AN63" s="160"/>
      <c r="AO63" s="160"/>
      <c r="AP63" s="160"/>
      <c r="AQ63" s="160"/>
      <c r="AR63" s="160"/>
      <c r="AS63" s="160"/>
      <c r="AT63" s="160"/>
      <c r="AU63" s="160"/>
      <c r="AV63" s="160"/>
      <c r="AW63" s="160"/>
      <c r="AX63" s="160"/>
      <c r="AY63" s="160"/>
      <c r="AZ63" s="160"/>
      <c r="BA63" s="160"/>
      <c r="BB63" s="160"/>
      <c r="BC63" s="160"/>
      <c r="BD63" s="160"/>
      <c r="BE63" s="160"/>
      <c r="BF63" s="160"/>
      <c r="BG63" s="160"/>
      <c r="BS63" s="13">
        <v>2</v>
      </c>
      <c r="BT63" s="128">
        <v>44491</v>
      </c>
      <c r="BU63" s="121" t="s">
        <v>8</v>
      </c>
      <c r="BV63" s="120" t="s">
        <v>482</v>
      </c>
      <c r="BW63" s="121" t="s">
        <v>502</v>
      </c>
      <c r="BX63" s="120">
        <v>18400</v>
      </c>
      <c r="BY63" s="120">
        <v>41.7</v>
      </c>
      <c r="BZ63" s="120">
        <v>47.945</v>
      </c>
      <c r="CA63" s="124">
        <v>-3216.6708800000001</v>
      </c>
      <c r="CB63" s="120">
        <v>1.1497601918465228</v>
      </c>
      <c r="CC63" s="120">
        <v>500</v>
      </c>
      <c r="CD63" s="120">
        <v>50</v>
      </c>
      <c r="CE63" s="124">
        <v>20850</v>
      </c>
    </row>
    <row r="64" spans="1:83" hidden="1">
      <c r="A64" s="13">
        <f t="shared" ca="1" si="28"/>
        <v>57</v>
      </c>
      <c r="B64" s="128">
        <v>44623</v>
      </c>
      <c r="C64" s="121" t="s">
        <v>6</v>
      </c>
      <c r="D64" s="121">
        <v>1</v>
      </c>
      <c r="E64" s="120" t="s">
        <v>632</v>
      </c>
      <c r="F64" s="121" t="s">
        <v>130</v>
      </c>
      <c r="G64" s="120"/>
      <c r="H64" s="122">
        <v>44651</v>
      </c>
      <c r="I64" s="120">
        <v>6750</v>
      </c>
      <c r="J64" s="120">
        <v>230.3</v>
      </c>
      <c r="K64" s="120">
        <v>239</v>
      </c>
      <c r="L64" s="124">
        <f t="shared" ca="1" si="16"/>
        <v>0</v>
      </c>
      <c r="M64" s="124">
        <f t="shared" ca="1" si="17"/>
        <v>58724.99999999992</v>
      </c>
      <c r="N64" s="120">
        <f t="shared" ca="1" si="164"/>
        <v>1.0377768128528007</v>
      </c>
      <c r="O64" s="164">
        <f t="shared" ca="1" si="165"/>
        <v>172.72500000000002</v>
      </c>
      <c r="P64" s="168">
        <f t="shared" ca="1" si="20"/>
        <v>1554525</v>
      </c>
      <c r="Q64" s="168" t="e">
        <f t="shared" ca="1" si="166"/>
        <v>#N/A</v>
      </c>
      <c r="R64" s="184">
        <f t="shared" ca="1" si="22"/>
        <v>0</v>
      </c>
      <c r="S64" s="124">
        <f t="shared" ca="1" si="167"/>
        <v>23.029999999999998</v>
      </c>
      <c r="T64" s="120">
        <f ca="1">VLOOKUP(TRIM($F64),Reference!B:C,2,0)</f>
        <v>221.6</v>
      </c>
      <c r="U64" s="181">
        <f t="shared" ca="1" si="168"/>
        <v>0</v>
      </c>
      <c r="V64" s="125" t="str">
        <f t="shared" ca="1" si="6"/>
        <v>TATAPOWER22MARFUT</v>
      </c>
      <c r="W64" s="166" t="e">
        <f ca="1">VLOOKUP($V64,Reference!BA:BD,4,0)</f>
        <v>#N/A</v>
      </c>
      <c r="X64" s="168">
        <f t="shared" ca="1" si="7"/>
        <v>0</v>
      </c>
      <c r="Y64" s="168">
        <f t="shared" ca="1" si="8"/>
        <v>0</v>
      </c>
      <c r="Z64" s="168">
        <f t="shared" ca="1" si="25"/>
        <v>0</v>
      </c>
      <c r="AA64" s="168">
        <f t="shared" ca="1" si="9"/>
        <v>0</v>
      </c>
      <c r="AB64" s="168">
        <f t="shared" ca="1" si="10"/>
        <v>0</v>
      </c>
      <c r="AC64" s="124">
        <f t="shared" ca="1" si="11"/>
        <v>0</v>
      </c>
      <c r="AD64" s="120">
        <f t="shared" ca="1" si="169"/>
        <v>-0.29041095890410956</v>
      </c>
      <c r="AE64" s="120">
        <f t="shared" ca="1" si="170"/>
        <v>20</v>
      </c>
      <c r="AF64" s="120"/>
      <c r="AG64" s="120"/>
      <c r="AH64" s="120">
        <f t="shared" ca="1" si="14"/>
        <v>0</v>
      </c>
      <c r="AI64" s="120"/>
      <c r="AJ64" s="120">
        <f t="shared" ca="1" si="15"/>
        <v>46.635750000000002</v>
      </c>
      <c r="AK64" s="120"/>
      <c r="AL64" s="147"/>
      <c r="AM64" s="160"/>
      <c r="AN64" s="160"/>
      <c r="AO64" s="160"/>
      <c r="AP64" s="160"/>
      <c r="AQ64" s="160"/>
      <c r="AR64" s="160"/>
      <c r="AS64" s="160"/>
      <c r="AT64" s="160"/>
      <c r="AU64" s="160"/>
      <c r="AV64" s="160"/>
      <c r="AW64" s="160"/>
      <c r="AX64" s="160"/>
      <c r="AY64" s="160"/>
      <c r="AZ64" s="160"/>
      <c r="BA64" s="160"/>
      <c r="BB64" s="160"/>
      <c r="BC64" s="160"/>
      <c r="BD64" s="160"/>
      <c r="BE64" s="160"/>
      <c r="BF64" s="160"/>
      <c r="BG64" s="160"/>
      <c r="BS64" s="13">
        <v>2</v>
      </c>
      <c r="BT64" s="128">
        <v>44491</v>
      </c>
      <c r="BU64" s="121" t="s">
        <v>8</v>
      </c>
      <c r="BV64" s="120" t="s">
        <v>482</v>
      </c>
      <c r="BW64" s="121" t="s">
        <v>502</v>
      </c>
      <c r="BX64" s="120">
        <v>18400</v>
      </c>
      <c r="BY64" s="120">
        <v>41.7</v>
      </c>
      <c r="BZ64" s="120">
        <v>47.945</v>
      </c>
      <c r="CA64" s="124">
        <v>-3216.6708800000001</v>
      </c>
      <c r="CB64" s="120">
        <v>1.1497601918465228</v>
      </c>
      <c r="CC64" s="120">
        <v>500</v>
      </c>
      <c r="CD64" s="120">
        <v>50</v>
      </c>
      <c r="CE64" s="124">
        <v>20850</v>
      </c>
    </row>
    <row r="65" spans="1:83" hidden="1">
      <c r="A65" s="13">
        <f t="shared" ca="1" si="28"/>
        <v>58</v>
      </c>
      <c r="B65" s="128">
        <v>44623</v>
      </c>
      <c r="C65" s="121" t="s">
        <v>6</v>
      </c>
      <c r="D65" s="121">
        <v>1</v>
      </c>
      <c r="E65" s="120" t="s">
        <v>632</v>
      </c>
      <c r="F65" s="121" t="s">
        <v>284</v>
      </c>
      <c r="G65" s="120"/>
      <c r="H65" s="122">
        <v>44651</v>
      </c>
      <c r="I65" s="120">
        <v>2850</v>
      </c>
      <c r="J65" s="120">
        <v>439.6</v>
      </c>
      <c r="K65" s="120">
        <v>408.53</v>
      </c>
      <c r="L65" s="124">
        <f t="shared" ca="1" si="16"/>
        <v>0</v>
      </c>
      <c r="M65" s="124">
        <f t="shared" ca="1" si="17"/>
        <v>-88549.500000000146</v>
      </c>
      <c r="N65" s="120">
        <f t="shared" ref="N65:N67" ca="1" si="171">K65/$J65</f>
        <v>0.92932211101000894</v>
      </c>
      <c r="O65" s="164">
        <f t="shared" ref="O65:O67" ca="1" si="172">J65*(1+$O$6*IF(C65="B",-1,1))</f>
        <v>329.70000000000005</v>
      </c>
      <c r="P65" s="168">
        <f t="shared" ca="1" si="20"/>
        <v>1252860</v>
      </c>
      <c r="Q65" s="168" t="e">
        <f t="shared" ref="Q65:Q67" ca="1" si="173">(W65-J65)*I65*IF(C65="B",1,-1)*IF(K65=0,1,0)</f>
        <v>#N/A</v>
      </c>
      <c r="R65" s="184">
        <f t="shared" ca="1" si="22"/>
        <v>0</v>
      </c>
      <c r="S65" s="124">
        <f t="shared" ref="S65:S67" ca="1" si="174">(1-$S$6)*J65</f>
        <v>43.959999999999994</v>
      </c>
      <c r="T65" s="120">
        <f ca="1">VLOOKUP(TRIM($F65),Reference!B:C,2,0)</f>
        <v>428</v>
      </c>
      <c r="U65" s="181">
        <f t="shared" ref="U65:U67" ca="1" si="175">AC65</f>
        <v>0</v>
      </c>
      <c r="V65" s="125" t="str">
        <f t="shared" ca="1" si="6"/>
        <v>TATAMOTORS22MARFUT</v>
      </c>
      <c r="W65" s="166" t="e">
        <f ca="1">VLOOKUP($V65,Reference!BA:BD,4,0)</f>
        <v>#N/A</v>
      </c>
      <c r="X65" s="168">
        <f t="shared" ca="1" si="7"/>
        <v>0</v>
      </c>
      <c r="Y65" s="168">
        <f t="shared" ca="1" si="8"/>
        <v>0</v>
      </c>
      <c r="Z65" s="168">
        <f t="shared" ca="1" si="25"/>
        <v>0</v>
      </c>
      <c r="AA65" s="168">
        <f t="shared" ca="1" si="9"/>
        <v>0</v>
      </c>
      <c r="AB65" s="168">
        <f t="shared" ca="1" si="10"/>
        <v>0</v>
      </c>
      <c r="AC65" s="124">
        <f t="shared" ca="1" si="11"/>
        <v>0</v>
      </c>
      <c r="AD65" s="120">
        <f t="shared" ref="AD65:AD67" ca="1" si="176">(H65-TODAY())/365</f>
        <v>-0.29041095890410956</v>
      </c>
      <c r="AE65" s="120">
        <f t="shared" ref="AE65:AE67" ca="1" si="177">IF(I65&lt;&gt;0,20,0)</f>
        <v>20</v>
      </c>
      <c r="AF65" s="120"/>
      <c r="AG65" s="120"/>
      <c r="AH65" s="120">
        <f t="shared" ca="1" si="14"/>
        <v>0</v>
      </c>
      <c r="AI65" s="120"/>
      <c r="AJ65" s="120">
        <f t="shared" ca="1" si="15"/>
        <v>37.585799999999999</v>
      </c>
      <c r="AK65" s="120"/>
      <c r="AL65" s="147"/>
      <c r="AM65" s="160"/>
      <c r="AN65" s="160"/>
      <c r="AO65" s="160"/>
      <c r="AP65" s="160"/>
      <c r="AQ65" s="160"/>
      <c r="AR65" s="160"/>
      <c r="AS65" s="160"/>
      <c r="AT65" s="160"/>
      <c r="AU65" s="160"/>
      <c r="AV65" s="160"/>
      <c r="AW65" s="160"/>
      <c r="AX65" s="160"/>
      <c r="AY65" s="160"/>
      <c r="AZ65" s="160"/>
      <c r="BA65" s="160"/>
      <c r="BB65" s="160"/>
      <c r="BC65" s="160"/>
      <c r="BD65" s="160"/>
      <c r="BE65" s="160"/>
      <c r="BF65" s="160"/>
      <c r="BG65" s="160"/>
      <c r="BS65" s="13">
        <v>2</v>
      </c>
      <c r="BT65" s="128">
        <v>44491</v>
      </c>
      <c r="BU65" s="121" t="s">
        <v>8</v>
      </c>
      <c r="BV65" s="120" t="s">
        <v>482</v>
      </c>
      <c r="BW65" s="121" t="s">
        <v>502</v>
      </c>
      <c r="BX65" s="120">
        <v>18400</v>
      </c>
      <c r="BY65" s="120">
        <v>41.7</v>
      </c>
      <c r="BZ65" s="120">
        <v>47.945</v>
      </c>
      <c r="CA65" s="124">
        <v>-3216.6708800000001</v>
      </c>
      <c r="CB65" s="120">
        <v>1.1497601918465228</v>
      </c>
      <c r="CC65" s="120">
        <v>500</v>
      </c>
      <c r="CD65" s="120">
        <v>50</v>
      </c>
      <c r="CE65" s="124">
        <v>20850</v>
      </c>
    </row>
    <row r="66" spans="1:83" hidden="1">
      <c r="A66" s="13">
        <f t="shared" ca="1" si="28"/>
        <v>59</v>
      </c>
      <c r="B66" s="128">
        <v>44623</v>
      </c>
      <c r="C66" s="121" t="s">
        <v>8</v>
      </c>
      <c r="D66" s="121">
        <v>1</v>
      </c>
      <c r="E66" s="120" t="s">
        <v>481</v>
      </c>
      <c r="F66" s="121" t="s">
        <v>502</v>
      </c>
      <c r="G66" s="120">
        <v>17700</v>
      </c>
      <c r="H66" s="122">
        <v>44651</v>
      </c>
      <c r="I66" s="120">
        <v>50</v>
      </c>
      <c r="J66" s="120">
        <v>100.3</v>
      </c>
      <c r="K66" s="120">
        <v>0.45</v>
      </c>
      <c r="L66" s="124">
        <f t="shared" ca="1" si="16"/>
        <v>0</v>
      </c>
      <c r="M66" s="124">
        <f t="shared" ca="1" si="17"/>
        <v>4992.5</v>
      </c>
      <c r="N66" s="120">
        <f t="shared" ca="1" si="171"/>
        <v>4.4865403788634101E-3</v>
      </c>
      <c r="O66" s="164">
        <f t="shared" ca="1" si="172"/>
        <v>125.375</v>
      </c>
      <c r="P66" s="168">
        <f t="shared" ca="1" si="20"/>
        <v>5015</v>
      </c>
      <c r="Q66" s="168" t="e">
        <f t="shared" ca="1" si="173"/>
        <v>#N/A</v>
      </c>
      <c r="R66" s="184">
        <f t="shared" ca="1" si="22"/>
        <v>0</v>
      </c>
      <c r="S66" s="124">
        <f t="shared" ca="1" si="174"/>
        <v>10.029999999999998</v>
      </c>
      <c r="T66" s="120">
        <f ca="1">VLOOKUP(TRIM($F66),Reference!B:C,2,0)</f>
        <v>15938.65</v>
      </c>
      <c r="U66" s="125">
        <f t="shared" ca="1" si="175"/>
        <v>0</v>
      </c>
      <c r="V66" s="125" t="str">
        <f t="shared" ca="1" si="6"/>
        <v>NIFTY22MAR17700CE</v>
      </c>
      <c r="W66" s="166" t="e">
        <f ca="1">VLOOKUP($V66,Reference!BA:BD,4,0)</f>
        <v>#N/A</v>
      </c>
      <c r="X66" s="168">
        <f t="shared" ca="1" si="7"/>
        <v>0</v>
      </c>
      <c r="Y66" s="168">
        <f t="shared" ca="1" si="8"/>
        <v>0</v>
      </c>
      <c r="Z66" s="168">
        <f t="shared" ca="1" si="25"/>
        <v>0</v>
      </c>
      <c r="AA66" s="168">
        <f t="shared" ca="1" si="9"/>
        <v>0</v>
      </c>
      <c r="AB66" s="168">
        <f t="shared" ca="1" si="10"/>
        <v>0</v>
      </c>
      <c r="AC66" s="124">
        <f t="shared" ca="1" si="11"/>
        <v>0</v>
      </c>
      <c r="AD66" s="120">
        <f t="shared" ca="1" si="176"/>
        <v>-0.29041095890410956</v>
      </c>
      <c r="AE66" s="120">
        <f t="shared" ca="1" si="177"/>
        <v>20</v>
      </c>
      <c r="AF66" s="120"/>
      <c r="AG66" s="120"/>
      <c r="AH66" s="120">
        <f t="shared" ca="1" si="14"/>
        <v>2.5074999999999998</v>
      </c>
      <c r="AI66" s="120"/>
      <c r="AJ66" s="120">
        <f t="shared" ca="1" si="15"/>
        <v>0</v>
      </c>
      <c r="AK66" s="120"/>
      <c r="AL66" s="145">
        <v>1</v>
      </c>
      <c r="AM66" s="161"/>
      <c r="AN66" s="161"/>
      <c r="AO66" s="161"/>
      <c r="AP66" s="161"/>
      <c r="AQ66" s="161"/>
      <c r="AR66" s="161"/>
      <c r="AS66" s="161"/>
      <c r="AT66" s="161"/>
      <c r="AU66" s="161"/>
      <c r="AV66" s="161"/>
      <c r="AW66" s="161"/>
      <c r="AX66" s="161"/>
      <c r="AY66" s="161"/>
      <c r="AZ66" s="161"/>
      <c r="BA66" s="161"/>
      <c r="BB66" s="161"/>
      <c r="BC66" s="161"/>
      <c r="BD66" s="161"/>
      <c r="BE66" s="161"/>
      <c r="BF66" s="161"/>
      <c r="BG66" s="161"/>
      <c r="BS66" s="11">
        <v>3</v>
      </c>
      <c r="BT66" s="11">
        <v>44491</v>
      </c>
      <c r="BU66" s="11" t="s">
        <v>8</v>
      </c>
      <c r="BV66" s="11" t="s">
        <v>481</v>
      </c>
      <c r="BW66" s="11" t="s">
        <v>502</v>
      </c>
      <c r="BX66" s="11">
        <v>18700</v>
      </c>
      <c r="BY66" s="11">
        <v>34.75</v>
      </c>
      <c r="BZ66" s="11">
        <v>0.05</v>
      </c>
      <c r="CA66" s="11">
        <v>17263.657599999999</v>
      </c>
      <c r="CB66" s="11">
        <v>1.4388489208633094E-3</v>
      </c>
      <c r="CC66" s="11">
        <v>500</v>
      </c>
      <c r="CD66" s="11">
        <v>50</v>
      </c>
      <c r="CE66" s="11">
        <v>17375</v>
      </c>
    </row>
    <row r="67" spans="1:83" hidden="1">
      <c r="A67" s="13">
        <f t="shared" ca="1" si="28"/>
        <v>60</v>
      </c>
      <c r="B67" s="128">
        <v>44624</v>
      </c>
      <c r="C67" s="121" t="s">
        <v>8</v>
      </c>
      <c r="D67" s="121">
        <v>1</v>
      </c>
      <c r="E67" s="120" t="s">
        <v>481</v>
      </c>
      <c r="F67" s="121" t="s">
        <v>506</v>
      </c>
      <c r="G67" s="120">
        <v>38000</v>
      </c>
      <c r="H67" s="122">
        <v>44651</v>
      </c>
      <c r="I67" s="120">
        <v>25</v>
      </c>
      <c r="J67" s="120">
        <v>229.95</v>
      </c>
      <c r="K67" s="120">
        <v>4.2</v>
      </c>
      <c r="L67" s="124">
        <f t="shared" ca="1" si="16"/>
        <v>0</v>
      </c>
      <c r="M67" s="124">
        <f t="shared" ca="1" si="17"/>
        <v>5643.75</v>
      </c>
      <c r="N67" s="120">
        <f t="shared" ca="1" si="171"/>
        <v>1.8264840182648404E-2</v>
      </c>
      <c r="O67" s="164">
        <f t="shared" ca="1" si="172"/>
        <v>287.4375</v>
      </c>
      <c r="P67" s="168">
        <f t="shared" ca="1" si="20"/>
        <v>5748.75</v>
      </c>
      <c r="Q67" s="168" t="e">
        <f t="shared" ca="1" si="173"/>
        <v>#N/A</v>
      </c>
      <c r="R67" s="184">
        <f t="shared" ca="1" si="22"/>
        <v>0</v>
      </c>
      <c r="S67" s="124">
        <f t="shared" ca="1" si="174"/>
        <v>22.994999999999994</v>
      </c>
      <c r="T67" s="120">
        <f ca="1">VLOOKUP(TRIM($F67),Reference!B:C,2,0)</f>
        <v>34651.199999999997</v>
      </c>
      <c r="U67" s="125">
        <f t="shared" ca="1" si="175"/>
        <v>0</v>
      </c>
      <c r="V67" s="125" t="str">
        <f t="shared" ca="1" si="6"/>
        <v>BANKNIFTY22MAR38000CE</v>
      </c>
      <c r="W67" s="166" t="e">
        <f ca="1">VLOOKUP($V67,Reference!BA:BD,4,0)</f>
        <v>#N/A</v>
      </c>
      <c r="X67" s="168">
        <f t="shared" ca="1" si="7"/>
        <v>0</v>
      </c>
      <c r="Y67" s="168">
        <f t="shared" ca="1" si="8"/>
        <v>0</v>
      </c>
      <c r="Z67" s="168">
        <f t="shared" ca="1" si="25"/>
        <v>0</v>
      </c>
      <c r="AA67" s="168">
        <f t="shared" ca="1" si="9"/>
        <v>0</v>
      </c>
      <c r="AB67" s="168">
        <f t="shared" ca="1" si="10"/>
        <v>0</v>
      </c>
      <c r="AC67" s="124">
        <f t="shared" ca="1" si="11"/>
        <v>0</v>
      </c>
      <c r="AD67" s="120">
        <f t="shared" ca="1" si="176"/>
        <v>-0.29041095890410956</v>
      </c>
      <c r="AE67" s="120">
        <f t="shared" ca="1" si="177"/>
        <v>20</v>
      </c>
      <c r="AF67" s="120"/>
      <c r="AG67" s="120"/>
      <c r="AH67" s="120">
        <f t="shared" ca="1" si="14"/>
        <v>2.8743750000000001</v>
      </c>
      <c r="AI67" s="120"/>
      <c r="AJ67" s="120">
        <f t="shared" ca="1" si="15"/>
        <v>0</v>
      </c>
      <c r="AK67" s="120"/>
      <c r="AM67" s="161"/>
      <c r="AN67" s="161"/>
      <c r="AO67" s="161"/>
      <c r="AP67" s="161"/>
      <c r="AQ67" s="161"/>
      <c r="AR67" s="161"/>
      <c r="AS67" s="161"/>
      <c r="AT67" s="161"/>
      <c r="AU67" s="161"/>
      <c r="AV67" s="161"/>
      <c r="AW67" s="161"/>
      <c r="AX67" s="161"/>
      <c r="AY67" s="161"/>
      <c r="AZ67" s="161"/>
      <c r="BA67" s="161"/>
      <c r="BB67" s="161"/>
      <c r="BC67" s="161"/>
      <c r="BD67" s="161"/>
      <c r="BE67" s="161"/>
      <c r="BF67" s="161"/>
      <c r="BG67" s="161"/>
      <c r="BS67" s="11">
        <v>2</v>
      </c>
      <c r="BT67" s="11">
        <v>44491</v>
      </c>
      <c r="BU67" s="11" t="s">
        <v>8</v>
      </c>
      <c r="BV67" s="11" t="s">
        <v>482</v>
      </c>
      <c r="BW67" s="11" t="s">
        <v>502</v>
      </c>
      <c r="BX67" s="11">
        <v>18400</v>
      </c>
      <c r="BY67" s="11">
        <v>41.7</v>
      </c>
      <c r="BZ67" s="11">
        <v>47.945</v>
      </c>
      <c r="CA67" s="11">
        <v>-3216.6708800000001</v>
      </c>
      <c r="CB67" s="11">
        <v>1.1497601918465228</v>
      </c>
      <c r="CC67" s="11">
        <v>500</v>
      </c>
      <c r="CD67" s="11">
        <v>50</v>
      </c>
      <c r="CE67" s="11">
        <v>20850</v>
      </c>
    </row>
    <row r="68" spans="1:83" hidden="1">
      <c r="A68" s="13">
        <f t="shared" ca="1" si="28"/>
        <v>61</v>
      </c>
      <c r="B68" s="128">
        <v>44624</v>
      </c>
      <c r="C68" s="121" t="s">
        <v>6</v>
      </c>
      <c r="D68" s="121">
        <v>1</v>
      </c>
      <c r="E68" s="120" t="s">
        <v>632</v>
      </c>
      <c r="F68" s="121" t="s">
        <v>126</v>
      </c>
      <c r="G68" s="120"/>
      <c r="H68" s="122">
        <v>44651</v>
      </c>
      <c r="I68" s="120">
        <v>3750</v>
      </c>
      <c r="J68" s="120">
        <v>212</v>
      </c>
      <c r="K68" s="120">
        <v>212.4</v>
      </c>
      <c r="L68" s="124">
        <f t="shared" ca="1" si="16"/>
        <v>0</v>
      </c>
      <c r="M68" s="124">
        <f t="shared" ca="1" si="17"/>
        <v>1500.0000000000214</v>
      </c>
      <c r="N68" s="120">
        <f t="shared" ref="N68" ca="1" si="178">K68/$J68</f>
        <v>1.0018867924528303</v>
      </c>
      <c r="O68" s="164">
        <f t="shared" ref="O68" ca="1" si="179">J68*(1+$O$6*IF(C68="B",-1,1))</f>
        <v>159</v>
      </c>
      <c r="P68" s="168">
        <f t="shared" ca="1" si="20"/>
        <v>795000</v>
      </c>
      <c r="Q68" s="168" t="e">
        <f t="shared" ref="Q68" ca="1" si="180">(W68-J68)*I68*IF(C68="B",1,-1)*IF(K68=0,1,0)</f>
        <v>#N/A</v>
      </c>
      <c r="R68" s="184">
        <f t="shared" ca="1" si="22"/>
        <v>0</v>
      </c>
      <c r="S68" s="124">
        <f t="shared" ref="S68" ca="1" si="181">(1-$S$6)*J68</f>
        <v>21.199999999999996</v>
      </c>
      <c r="T68" s="120">
        <f ca="1">VLOOKUP(TRIM($F68),Reference!B:C,2,0)</f>
        <v>162.15</v>
      </c>
      <c r="U68" s="181">
        <f t="shared" ref="U68" ca="1" si="182">AC68</f>
        <v>0</v>
      </c>
      <c r="V68" s="125" t="str">
        <f t="shared" ca="1" si="6"/>
        <v>IEX22MARFUT</v>
      </c>
      <c r="W68" s="166" t="e">
        <f ca="1">VLOOKUP($V68,Reference!BA:BD,4,0)</f>
        <v>#N/A</v>
      </c>
      <c r="X68" s="168">
        <f t="shared" ca="1" si="7"/>
        <v>0</v>
      </c>
      <c r="Y68" s="168">
        <f t="shared" ca="1" si="8"/>
        <v>0</v>
      </c>
      <c r="Z68" s="168">
        <f t="shared" ca="1" si="25"/>
        <v>0</v>
      </c>
      <c r="AA68" s="168">
        <f t="shared" ca="1" si="9"/>
        <v>0</v>
      </c>
      <c r="AB68" s="168">
        <f t="shared" ca="1" si="10"/>
        <v>0</v>
      </c>
      <c r="AC68" s="124">
        <f t="shared" ca="1" si="11"/>
        <v>0</v>
      </c>
      <c r="AD68" s="120">
        <f t="shared" ref="AD68" ca="1" si="183">(H68-TODAY())/365</f>
        <v>-0.29041095890410956</v>
      </c>
      <c r="AE68" s="120">
        <f t="shared" ref="AE68" ca="1" si="184">IF(I68&lt;&gt;0,20,0)</f>
        <v>20</v>
      </c>
      <c r="AF68" s="120"/>
      <c r="AG68" s="120"/>
      <c r="AH68" s="120">
        <f t="shared" ca="1" si="14"/>
        <v>0</v>
      </c>
      <c r="AI68" s="120"/>
      <c r="AJ68" s="120">
        <f t="shared" ca="1" si="15"/>
        <v>23.85</v>
      </c>
      <c r="AK68" s="120"/>
      <c r="AL68" s="147"/>
      <c r="AM68" s="160"/>
      <c r="AN68" s="160"/>
      <c r="AO68" s="160"/>
      <c r="AP68" s="160"/>
      <c r="AQ68" s="160"/>
      <c r="AR68" s="160"/>
      <c r="AS68" s="160"/>
      <c r="AT68" s="160"/>
      <c r="AU68" s="160"/>
      <c r="AV68" s="160"/>
      <c r="AW68" s="160"/>
      <c r="AX68" s="160"/>
      <c r="AY68" s="160"/>
      <c r="AZ68" s="160"/>
      <c r="BA68" s="160"/>
      <c r="BB68" s="160"/>
      <c r="BC68" s="160"/>
      <c r="BD68" s="160"/>
      <c r="BE68" s="160"/>
      <c r="BF68" s="160"/>
      <c r="BG68" s="160"/>
      <c r="BS68" s="13">
        <v>2</v>
      </c>
      <c r="BT68" s="128">
        <v>44491</v>
      </c>
      <c r="BU68" s="121" t="s">
        <v>8</v>
      </c>
      <c r="BV68" s="120" t="s">
        <v>482</v>
      </c>
      <c r="BW68" s="121" t="s">
        <v>502</v>
      </c>
      <c r="BX68" s="120">
        <v>18400</v>
      </c>
      <c r="BY68" s="120">
        <v>41.7</v>
      </c>
      <c r="BZ68" s="120">
        <v>47.945</v>
      </c>
      <c r="CA68" s="124">
        <v>-3216.6708800000001</v>
      </c>
      <c r="CB68" s="120">
        <v>1.1497601918465228</v>
      </c>
      <c r="CC68" s="120">
        <v>500</v>
      </c>
      <c r="CD68" s="120">
        <v>50</v>
      </c>
      <c r="CE68" s="124">
        <v>20850</v>
      </c>
    </row>
    <row r="69" spans="1:83" hidden="1">
      <c r="A69" s="13">
        <f t="shared" ca="1" si="28"/>
        <v>62</v>
      </c>
      <c r="B69" s="128">
        <v>44624</v>
      </c>
      <c r="C69" s="121" t="s">
        <v>6</v>
      </c>
      <c r="D69" s="121">
        <v>1</v>
      </c>
      <c r="E69" s="120" t="s">
        <v>632</v>
      </c>
      <c r="F69" s="121" t="s">
        <v>126</v>
      </c>
      <c r="G69" s="120"/>
      <c r="H69" s="122">
        <v>44651</v>
      </c>
      <c r="I69" s="120">
        <v>3750</v>
      </c>
      <c r="J69" s="120">
        <v>214.5</v>
      </c>
      <c r="K69" s="120">
        <v>220.8</v>
      </c>
      <c r="L69" s="124">
        <f t="shared" ca="1" si="16"/>
        <v>0</v>
      </c>
      <c r="M69" s="124">
        <f t="shared" ca="1" si="17"/>
        <v>23625.000000000044</v>
      </c>
      <c r="N69" s="120">
        <f t="shared" ref="N69:N70" ca="1" si="185">K69/$J69</f>
        <v>1.0293706293706295</v>
      </c>
      <c r="O69" s="164">
        <f t="shared" ref="O69:O70" ca="1" si="186">J69*(1+$O$6*IF(C69="B",-1,1))</f>
        <v>160.875</v>
      </c>
      <c r="P69" s="168">
        <f t="shared" ca="1" si="20"/>
        <v>804375</v>
      </c>
      <c r="Q69" s="168" t="e">
        <f t="shared" ref="Q69:Q70" ca="1" si="187">(W69-J69)*I69*IF(C69="B",1,-1)*IF(K69=0,1,0)</f>
        <v>#N/A</v>
      </c>
      <c r="R69" s="184">
        <f t="shared" ca="1" si="22"/>
        <v>0</v>
      </c>
      <c r="S69" s="124">
        <f t="shared" ref="S69:S70" ca="1" si="188">(1-$S$6)*J69</f>
        <v>21.449999999999996</v>
      </c>
      <c r="T69" s="120">
        <f ca="1">VLOOKUP(TRIM($F69),Reference!B:C,2,0)</f>
        <v>162.15</v>
      </c>
      <c r="U69" s="181">
        <f t="shared" ref="U69:U70" ca="1" si="189">AC69</f>
        <v>0</v>
      </c>
      <c r="V69" s="125" t="str">
        <f t="shared" ca="1" si="6"/>
        <v>IEX22MARFUT</v>
      </c>
      <c r="W69" s="166" t="e">
        <f ca="1">VLOOKUP($V69,Reference!BA:BD,4,0)</f>
        <v>#N/A</v>
      </c>
      <c r="X69" s="168">
        <f t="shared" ca="1" si="7"/>
        <v>0</v>
      </c>
      <c r="Y69" s="168">
        <f t="shared" ca="1" si="8"/>
        <v>0</v>
      </c>
      <c r="Z69" s="168">
        <f t="shared" ca="1" si="25"/>
        <v>0</v>
      </c>
      <c r="AA69" s="168">
        <f t="shared" ca="1" si="9"/>
        <v>0</v>
      </c>
      <c r="AB69" s="168">
        <f t="shared" ca="1" si="10"/>
        <v>0</v>
      </c>
      <c r="AC69" s="124">
        <f t="shared" ca="1" si="11"/>
        <v>0</v>
      </c>
      <c r="AD69" s="120">
        <f t="shared" ref="AD69:AD70" ca="1" si="190">(H69-TODAY())/365</f>
        <v>-0.29041095890410956</v>
      </c>
      <c r="AE69" s="120">
        <f t="shared" ref="AE69:AE70" ca="1" si="191">IF(I69&lt;&gt;0,20,0)</f>
        <v>20</v>
      </c>
      <c r="AF69" s="120"/>
      <c r="AG69" s="120"/>
      <c r="AH69" s="120">
        <f t="shared" ca="1" si="14"/>
        <v>0</v>
      </c>
      <c r="AI69" s="120"/>
      <c r="AJ69" s="120">
        <f t="shared" ca="1" si="15"/>
        <v>24.131250000000001</v>
      </c>
      <c r="AK69" s="120"/>
      <c r="AL69" s="147"/>
      <c r="AM69" s="160"/>
      <c r="AN69" s="160"/>
      <c r="AO69" s="160"/>
      <c r="AP69" s="160"/>
      <c r="AQ69" s="160"/>
      <c r="AR69" s="160"/>
      <c r="AS69" s="160"/>
      <c r="AT69" s="160"/>
      <c r="AU69" s="160"/>
      <c r="AV69" s="160"/>
      <c r="AW69" s="160"/>
      <c r="AX69" s="160"/>
      <c r="AY69" s="160"/>
      <c r="AZ69" s="160"/>
      <c r="BA69" s="160"/>
      <c r="BB69" s="160"/>
      <c r="BC69" s="160"/>
      <c r="BD69" s="160"/>
      <c r="BE69" s="160"/>
      <c r="BF69" s="160"/>
      <c r="BG69" s="160"/>
      <c r="BS69" s="13">
        <v>2</v>
      </c>
      <c r="BT69" s="128">
        <v>44491</v>
      </c>
      <c r="BU69" s="121" t="s">
        <v>8</v>
      </c>
      <c r="BV69" s="120" t="s">
        <v>482</v>
      </c>
      <c r="BW69" s="121" t="s">
        <v>502</v>
      </c>
      <c r="BX69" s="120">
        <v>18400</v>
      </c>
      <c r="BY69" s="120">
        <v>41.7</v>
      </c>
      <c r="BZ69" s="120">
        <v>47.945</v>
      </c>
      <c r="CA69" s="124">
        <v>-3216.6708800000001</v>
      </c>
      <c r="CB69" s="120">
        <v>1.1497601918465228</v>
      </c>
      <c r="CC69" s="120">
        <v>500</v>
      </c>
      <c r="CD69" s="120">
        <v>50</v>
      </c>
      <c r="CE69" s="124">
        <v>20850</v>
      </c>
    </row>
    <row r="70" spans="1:83" hidden="1">
      <c r="A70" s="13">
        <f t="shared" ca="1" si="28"/>
        <v>63</v>
      </c>
      <c r="B70" s="128">
        <v>44624</v>
      </c>
      <c r="C70" s="121" t="s">
        <v>8</v>
      </c>
      <c r="D70" s="121">
        <v>1</v>
      </c>
      <c r="E70" s="120" t="s">
        <v>481</v>
      </c>
      <c r="F70" s="121" t="s">
        <v>126</v>
      </c>
      <c r="G70" s="120">
        <v>240</v>
      </c>
      <c r="H70" s="122">
        <v>44651</v>
      </c>
      <c r="I70" s="120">
        <v>7500</v>
      </c>
      <c r="J70" s="120">
        <v>2.4</v>
      </c>
      <c r="K70" s="120">
        <v>0.05</v>
      </c>
      <c r="L70" s="124">
        <f t="shared" ca="1" si="16"/>
        <v>0</v>
      </c>
      <c r="M70" s="124">
        <f t="shared" ca="1" si="17"/>
        <v>17625</v>
      </c>
      <c r="N70" s="120">
        <f t="shared" ca="1" si="185"/>
        <v>2.0833333333333336E-2</v>
      </c>
      <c r="O70" s="164">
        <f t="shared" ca="1" si="186"/>
        <v>3</v>
      </c>
      <c r="P70" s="168">
        <f t="shared" ca="1" si="20"/>
        <v>18000</v>
      </c>
      <c r="Q70" s="168" t="e">
        <f t="shared" ca="1" si="187"/>
        <v>#N/A</v>
      </c>
      <c r="R70" s="184">
        <f t="shared" ca="1" si="22"/>
        <v>0</v>
      </c>
      <c r="S70" s="124">
        <f t="shared" ca="1" si="188"/>
        <v>0.23999999999999994</v>
      </c>
      <c r="T70" s="120">
        <f ca="1">VLOOKUP(TRIM($F70),Reference!B:C,2,0)</f>
        <v>162.15</v>
      </c>
      <c r="U70" s="125">
        <f t="shared" ca="1" si="189"/>
        <v>0</v>
      </c>
      <c r="V70" s="125" t="str">
        <f t="shared" ca="1" si="6"/>
        <v>IEX22MAR240CE</v>
      </c>
      <c r="W70" s="166" t="e">
        <f ca="1">VLOOKUP($V70,Reference!BA:BD,4,0)</f>
        <v>#N/A</v>
      </c>
      <c r="X70" s="168">
        <f t="shared" ca="1" si="7"/>
        <v>0</v>
      </c>
      <c r="Y70" s="168">
        <f t="shared" ca="1" si="8"/>
        <v>0</v>
      </c>
      <c r="Z70" s="168">
        <f t="shared" ca="1" si="25"/>
        <v>0</v>
      </c>
      <c r="AA70" s="168">
        <f t="shared" ca="1" si="9"/>
        <v>0</v>
      </c>
      <c r="AB70" s="168">
        <f t="shared" ca="1" si="10"/>
        <v>0</v>
      </c>
      <c r="AC70" s="124">
        <f t="shared" ca="1" si="11"/>
        <v>0</v>
      </c>
      <c r="AD70" s="120">
        <f t="shared" ca="1" si="190"/>
        <v>-0.29041095890410956</v>
      </c>
      <c r="AE70" s="120">
        <f t="shared" ca="1" si="191"/>
        <v>20</v>
      </c>
      <c r="AF70" s="120"/>
      <c r="AG70" s="120"/>
      <c r="AH70" s="120">
        <f t="shared" ca="1" si="14"/>
        <v>9</v>
      </c>
      <c r="AI70" s="120"/>
      <c r="AJ70" s="120">
        <f t="shared" ca="1" si="15"/>
        <v>0</v>
      </c>
      <c r="AK70" s="120"/>
      <c r="AM70" s="161"/>
      <c r="AN70" s="161"/>
      <c r="AO70" s="161"/>
      <c r="AP70" s="161"/>
      <c r="AQ70" s="161"/>
      <c r="AR70" s="161"/>
      <c r="AS70" s="161"/>
      <c r="AT70" s="161"/>
      <c r="AU70" s="161"/>
      <c r="AV70" s="161"/>
      <c r="AW70" s="161"/>
      <c r="AX70" s="161"/>
      <c r="AY70" s="161"/>
      <c r="AZ70" s="161"/>
      <c r="BA70" s="161"/>
      <c r="BB70" s="161"/>
      <c r="BC70" s="161"/>
      <c r="BD70" s="161"/>
      <c r="BE70" s="161"/>
      <c r="BF70" s="161"/>
      <c r="BG70" s="161"/>
      <c r="BS70" s="11">
        <v>2</v>
      </c>
      <c r="BT70" s="11">
        <v>44491</v>
      </c>
      <c r="BU70" s="11" t="s">
        <v>8</v>
      </c>
      <c r="BV70" s="11" t="s">
        <v>482</v>
      </c>
      <c r="BW70" s="11" t="s">
        <v>502</v>
      </c>
      <c r="BX70" s="11">
        <v>18400</v>
      </c>
      <c r="BY70" s="11">
        <v>41.7</v>
      </c>
      <c r="BZ70" s="11">
        <v>47.945</v>
      </c>
      <c r="CA70" s="11">
        <v>-3216.6708800000001</v>
      </c>
      <c r="CB70" s="11">
        <v>1.1497601918465228</v>
      </c>
      <c r="CC70" s="11">
        <v>500</v>
      </c>
      <c r="CD70" s="11">
        <v>50</v>
      </c>
      <c r="CE70" s="11">
        <v>20850</v>
      </c>
    </row>
    <row r="71" spans="1:83" hidden="1">
      <c r="A71" s="13">
        <f t="shared" ca="1" si="28"/>
        <v>64</v>
      </c>
      <c r="B71" s="128">
        <v>44624</v>
      </c>
      <c r="C71" s="121" t="s">
        <v>8</v>
      </c>
      <c r="D71" s="121">
        <v>1</v>
      </c>
      <c r="E71" s="120" t="s">
        <v>482</v>
      </c>
      <c r="F71" s="121" t="s">
        <v>126</v>
      </c>
      <c r="G71" s="120">
        <v>200</v>
      </c>
      <c r="H71" s="122">
        <v>44651</v>
      </c>
      <c r="I71" s="120">
        <v>3750</v>
      </c>
      <c r="J71" s="120">
        <v>5.15</v>
      </c>
      <c r="K71" s="120">
        <v>5.55</v>
      </c>
      <c r="L71" s="124">
        <f t="shared" ca="1" si="16"/>
        <v>0</v>
      </c>
      <c r="M71" s="124">
        <f t="shared" ca="1" si="17"/>
        <v>-1499.999999999998</v>
      </c>
      <c r="N71" s="120">
        <f t="shared" ref="N71" ca="1" si="192">K71/$J71</f>
        <v>1.0776699029126213</v>
      </c>
      <c r="O71" s="164">
        <f t="shared" ref="O71" ca="1" si="193">J71*(1+$O$6*IF(C71="B",-1,1))</f>
        <v>6.4375</v>
      </c>
      <c r="P71" s="168">
        <f t="shared" ca="1" si="20"/>
        <v>19312.5</v>
      </c>
      <c r="Q71" s="168" t="e">
        <f t="shared" ref="Q71" ca="1" si="194">(W71-J71)*I71*IF(C71="B",1,-1)*IF(K71=0,1,0)</f>
        <v>#N/A</v>
      </c>
      <c r="R71" s="184">
        <f t="shared" ca="1" si="22"/>
        <v>0</v>
      </c>
      <c r="S71" s="124">
        <f t="shared" ref="S71" ca="1" si="195">(1-$S$6)*J71</f>
        <v>0.5149999999999999</v>
      </c>
      <c r="T71" s="120">
        <f ca="1">VLOOKUP(TRIM($F71),Reference!B:C,2,0)</f>
        <v>162.15</v>
      </c>
      <c r="U71" s="125">
        <f t="shared" ref="U71" ca="1" si="196">AC71</f>
        <v>0</v>
      </c>
      <c r="V71" s="125" t="str">
        <f t="shared" ca="1" si="6"/>
        <v>IEX22MAR200PE</v>
      </c>
      <c r="W71" s="166" t="e">
        <f ca="1">VLOOKUP($V71,Reference!BA:BD,4,0)</f>
        <v>#N/A</v>
      </c>
      <c r="X71" s="168">
        <f t="shared" ca="1" si="7"/>
        <v>0</v>
      </c>
      <c r="Y71" s="168">
        <f t="shared" ca="1" si="8"/>
        <v>0</v>
      </c>
      <c r="Z71" s="168">
        <f t="shared" ca="1" si="25"/>
        <v>0</v>
      </c>
      <c r="AA71" s="168">
        <f t="shared" ca="1" si="9"/>
        <v>0</v>
      </c>
      <c r="AB71" s="168">
        <f t="shared" ca="1" si="10"/>
        <v>0</v>
      </c>
      <c r="AC71" s="124">
        <f t="shared" ca="1" si="11"/>
        <v>0</v>
      </c>
      <c r="AD71" s="120">
        <f t="shared" ref="AD71" ca="1" si="197">(H71-TODAY())/365</f>
        <v>-0.29041095890410956</v>
      </c>
      <c r="AE71" s="120">
        <f t="shared" ref="AE71" ca="1" si="198">IF(I71&lt;&gt;0,20,0)</f>
        <v>20</v>
      </c>
      <c r="AF71" s="120"/>
      <c r="AG71" s="120"/>
      <c r="AH71" s="120">
        <f t="shared" ca="1" si="14"/>
        <v>9.65625</v>
      </c>
      <c r="AI71" s="120"/>
      <c r="AJ71" s="120">
        <f t="shared" ca="1" si="15"/>
        <v>0</v>
      </c>
      <c r="AK71" s="120"/>
      <c r="AM71" s="161"/>
      <c r="AN71" s="161"/>
      <c r="AO71" s="161"/>
      <c r="AP71" s="161"/>
      <c r="AQ71" s="161"/>
      <c r="AR71" s="161"/>
      <c r="AS71" s="161"/>
      <c r="AT71" s="161"/>
      <c r="AU71" s="161"/>
      <c r="AV71" s="161"/>
      <c r="AW71" s="161"/>
      <c r="AX71" s="161"/>
      <c r="AY71" s="161"/>
      <c r="AZ71" s="161"/>
      <c r="BA71" s="161"/>
      <c r="BB71" s="161"/>
      <c r="BC71" s="161"/>
      <c r="BD71" s="161"/>
      <c r="BE71" s="161"/>
      <c r="BF71" s="161"/>
      <c r="BG71" s="161"/>
      <c r="BS71" s="11">
        <v>2</v>
      </c>
      <c r="BT71" s="11">
        <v>44491</v>
      </c>
      <c r="BU71" s="11" t="s">
        <v>8</v>
      </c>
      <c r="BV71" s="11" t="s">
        <v>482</v>
      </c>
      <c r="BW71" s="11" t="s">
        <v>502</v>
      </c>
      <c r="BX71" s="11">
        <v>18400</v>
      </c>
      <c r="BY71" s="11">
        <v>41.7</v>
      </c>
      <c r="BZ71" s="11">
        <v>47.945</v>
      </c>
      <c r="CA71" s="11">
        <v>-3216.6708800000001</v>
      </c>
      <c r="CB71" s="11">
        <v>1.1497601918465228</v>
      </c>
      <c r="CC71" s="11">
        <v>500</v>
      </c>
      <c r="CD71" s="11">
        <v>50</v>
      </c>
      <c r="CE71" s="11">
        <v>20850</v>
      </c>
    </row>
    <row r="72" spans="1:83" hidden="1">
      <c r="A72" s="13">
        <f t="shared" ca="1" si="28"/>
        <v>65</v>
      </c>
      <c r="B72" s="128">
        <v>44624</v>
      </c>
      <c r="C72" s="121" t="s">
        <v>8</v>
      </c>
      <c r="D72" s="121">
        <v>1</v>
      </c>
      <c r="E72" s="120" t="s">
        <v>481</v>
      </c>
      <c r="F72" s="121" t="s">
        <v>284</v>
      </c>
      <c r="G72" s="120">
        <v>500</v>
      </c>
      <c r="H72" s="122">
        <v>44651</v>
      </c>
      <c r="I72" s="120">
        <v>8550</v>
      </c>
      <c r="J72" s="120">
        <v>3.73</v>
      </c>
      <c r="K72" s="120">
        <v>0.05</v>
      </c>
      <c r="L72" s="124">
        <f t="shared" ca="1" si="16"/>
        <v>0</v>
      </c>
      <c r="M72" s="124">
        <f t="shared" ca="1" si="17"/>
        <v>31464</v>
      </c>
      <c r="N72" s="120">
        <f t="shared" ref="N72:N74" ca="1" si="199">K72/$J72</f>
        <v>1.3404825737265416E-2</v>
      </c>
      <c r="O72" s="164">
        <f t="shared" ref="O72:O74" ca="1" si="200">J72*(1+$O$6*IF(C72="B",-1,1))</f>
        <v>4.6624999999999996</v>
      </c>
      <c r="P72" s="168">
        <f t="shared" ca="1" si="20"/>
        <v>31891.5</v>
      </c>
      <c r="Q72" s="168" t="e">
        <f t="shared" ref="Q72:Q74" ca="1" si="201">(W72-J72)*I72*IF(C72="B",1,-1)*IF(K72=0,1,0)</f>
        <v>#N/A</v>
      </c>
      <c r="R72" s="184">
        <f t="shared" ca="1" si="22"/>
        <v>0</v>
      </c>
      <c r="S72" s="124">
        <f t="shared" ref="S72:S74" ca="1" si="202">(1-$S$6)*J72</f>
        <v>0.37299999999999994</v>
      </c>
      <c r="T72" s="120">
        <f ca="1">VLOOKUP(TRIM($F72),Reference!B:C,2,0)</f>
        <v>428</v>
      </c>
      <c r="U72" s="125">
        <f t="shared" ref="U72:U74" ca="1" si="203">AC72</f>
        <v>0</v>
      </c>
      <c r="V72" s="125" t="str">
        <f t="shared" ref="V72:V135" ca="1" si="204">TRIM(F72)&amp;TEXT(H72,"YY")&amp;UPPER(TEXT(H72,"MMM"))&amp;TRIM(G72)&amp;TRIM(E72)</f>
        <v>TATAMOTORS22MAR500CE</v>
      </c>
      <c r="W72" s="166" t="e">
        <f ca="1">VLOOKUP($V72,Reference!BA:BD,4,0)</f>
        <v>#N/A</v>
      </c>
      <c r="X72" s="168">
        <f t="shared" ref="X72:X135" ca="1" si="205">IF(OR($AD72&lt;0,$K72&lt;&gt;0),0,IF($E72="FUT",W72,OptionPrice(LEFT($E72),$T72,$G72,$AD72,RISKFREE_RATE,$U72,NIFTY_DIVYLD))*IF(C72="B",1,-1)*IF(I72=0,0,1)*IF(K72=0,1,0)*I72)</f>
        <v>0</v>
      </c>
      <c r="Y72" s="168">
        <f t="shared" ref="Y72:Y135" ca="1" si="206">IF(OR($AD72&lt;0,$K72&lt;&gt;0),0,IF($E72="FUT",1,OptionDelta(LEFT(E72),T72,G72,AD72,RISKFREE_RATE,U72,NIFTY_DIVYLD)))</f>
        <v>0</v>
      </c>
      <c r="Z72" s="168">
        <f t="shared" ca="1" si="25"/>
        <v>0</v>
      </c>
      <c r="AA72" s="168">
        <f t="shared" ref="AA72:AA135" ca="1" si="207">IF(OR($AD72&lt;0,$K72&lt;&gt;0),0,IF($E72="FUT",0,OptionTheta(LEFT(E72),T72,G72,AD72,RISKFREE_RATE,U72,NIFTY_DIVYLD))*IF(C72="B",1,-1)*IF(I72=0,0,1)*IF(K72=0,1,0)*I72)</f>
        <v>0</v>
      </c>
      <c r="AB72" s="168">
        <f t="shared" ref="AB72:AB135" ca="1" si="208">IF(OR($AD72&lt;0,$K72&lt;&gt;0),0,IF($E72="FUT",0,OptionGamma(T72,G72,AD72,RISKFREE_RATE,U72,NIFTY_DIVYLD))*IF(C72="B",1,-1)*IF(I72=0,0,1)*IF(K72=0,1,0))</f>
        <v>0</v>
      </c>
      <c r="AC72" s="124">
        <f t="shared" ref="AC72:AC135" ca="1" si="209">IF(OR($AD72&lt;0,$K72&lt;&gt;0),0,IF($E72="FUT",0,ImpliedVolatility(LEFT(E72),T72,G72,RISKFREE_RATE,AD72,NIFTY_DIVYLD,W72,$AC$6)))</f>
        <v>0</v>
      </c>
      <c r="AD72" s="120">
        <f t="shared" ref="AD72:AD74" ca="1" si="210">(H72-TODAY())/365</f>
        <v>-0.29041095890410956</v>
      </c>
      <c r="AE72" s="120">
        <f t="shared" ref="AE72:AE74" ca="1" si="211">IF(I72&lt;&gt;0,20,0)</f>
        <v>20</v>
      </c>
      <c r="AF72" s="120"/>
      <c r="AG72" s="120"/>
      <c r="AH72" s="120">
        <f t="shared" ca="1" si="14"/>
        <v>15.94575</v>
      </c>
      <c r="AI72" s="120"/>
      <c r="AJ72" s="120">
        <f t="shared" ca="1" si="15"/>
        <v>0</v>
      </c>
      <c r="AK72" s="120"/>
      <c r="AM72" s="161"/>
      <c r="AN72" s="161"/>
      <c r="AO72" s="161"/>
      <c r="AP72" s="161"/>
      <c r="AQ72" s="161"/>
      <c r="AR72" s="161"/>
      <c r="AS72" s="161"/>
      <c r="AT72" s="161"/>
      <c r="AU72" s="161"/>
      <c r="AV72" s="161"/>
      <c r="AW72" s="161"/>
      <c r="AX72" s="161"/>
      <c r="AY72" s="161"/>
      <c r="AZ72" s="161"/>
      <c r="BA72" s="161"/>
      <c r="BB72" s="161"/>
      <c r="BC72" s="161"/>
      <c r="BD72" s="161"/>
      <c r="BE72" s="161"/>
      <c r="BF72" s="161"/>
      <c r="BG72" s="161"/>
      <c r="BS72" s="11">
        <v>2</v>
      </c>
      <c r="BT72" s="11">
        <v>44491</v>
      </c>
      <c r="BU72" s="11" t="s">
        <v>8</v>
      </c>
      <c r="BV72" s="11" t="s">
        <v>482</v>
      </c>
      <c r="BW72" s="11" t="s">
        <v>502</v>
      </c>
      <c r="BX72" s="11">
        <v>18400</v>
      </c>
      <c r="BY72" s="11">
        <v>41.7</v>
      </c>
      <c r="BZ72" s="11">
        <v>47.945</v>
      </c>
      <c r="CA72" s="11">
        <v>-3216.6708800000001</v>
      </c>
      <c r="CB72" s="11">
        <v>1.1497601918465228</v>
      </c>
      <c r="CC72" s="11">
        <v>500</v>
      </c>
      <c r="CD72" s="11">
        <v>50</v>
      </c>
      <c r="CE72" s="11">
        <v>20850</v>
      </c>
    </row>
    <row r="73" spans="1:83" hidden="1">
      <c r="A73" s="13">
        <f t="shared" ca="1" si="28"/>
        <v>66</v>
      </c>
      <c r="B73" s="128">
        <v>44624</v>
      </c>
      <c r="C73" s="121" t="s">
        <v>8</v>
      </c>
      <c r="D73" s="121">
        <v>1</v>
      </c>
      <c r="E73" s="120" t="s">
        <v>481</v>
      </c>
      <c r="F73" s="121" t="s">
        <v>284</v>
      </c>
      <c r="G73" s="120">
        <v>480</v>
      </c>
      <c r="H73" s="122">
        <v>44651</v>
      </c>
      <c r="I73" s="120">
        <v>2850</v>
      </c>
      <c r="J73" s="120">
        <v>5.7</v>
      </c>
      <c r="K73" s="120">
        <v>0.05</v>
      </c>
      <c r="L73" s="124">
        <f t="shared" ref="L73:L136" ca="1" si="212">IF(AND(K73&lt;&gt;0,I73&lt;&gt;0),(IF(C73="B",1,-1))*(K73-J73)*I73-AK73*2,0)*$D73*IF(MONTH($B$2)=MONTH($H73),1,0)</f>
        <v>0</v>
      </c>
      <c r="M73" s="124">
        <f t="shared" ref="M73:M136" ca="1" si="213">IF(AND(K73&lt;&gt;0,I73&lt;&gt;0),(IF(C73="B",1,-1))*(K73-J73)*I73-AK73*2,0)*$D73</f>
        <v>16102.500000000002</v>
      </c>
      <c r="N73" s="120">
        <f t="shared" ca="1" si="199"/>
        <v>8.771929824561403E-3</v>
      </c>
      <c r="O73" s="164">
        <f t="shared" ca="1" si="200"/>
        <v>7.125</v>
      </c>
      <c r="P73" s="168">
        <f t="shared" ca="1" si="20"/>
        <v>16245</v>
      </c>
      <c r="Q73" s="168" t="e">
        <f t="shared" ca="1" si="201"/>
        <v>#N/A</v>
      </c>
      <c r="R73" s="184">
        <f t="shared" ref="R73:R136" ca="1" si="214">Z73*T73</f>
        <v>0</v>
      </c>
      <c r="S73" s="124">
        <f t="shared" ca="1" si="202"/>
        <v>0.56999999999999984</v>
      </c>
      <c r="T73" s="120">
        <f ca="1">VLOOKUP(TRIM($F73),Reference!B:C,2,0)</f>
        <v>428</v>
      </c>
      <c r="U73" s="125">
        <f t="shared" ca="1" si="203"/>
        <v>0</v>
      </c>
      <c r="V73" s="125" t="str">
        <f t="shared" ca="1" si="204"/>
        <v>TATAMOTORS22MAR480CE</v>
      </c>
      <c r="W73" s="166" t="e">
        <f ca="1">VLOOKUP($V73,Reference!BA:BD,4,0)</f>
        <v>#N/A</v>
      </c>
      <c r="X73" s="168">
        <f t="shared" ca="1" si="205"/>
        <v>0</v>
      </c>
      <c r="Y73" s="168">
        <f t="shared" ca="1" si="206"/>
        <v>0</v>
      </c>
      <c r="Z73" s="168">
        <f t="shared" ref="Z73:Z136" ca="1" si="215">Y73*IF(C73="B",1,-1)*IF(I73=0,0,1)*IF(K73=0,1,0)*I73</f>
        <v>0</v>
      </c>
      <c r="AA73" s="168">
        <f t="shared" ca="1" si="207"/>
        <v>0</v>
      </c>
      <c r="AB73" s="168">
        <f t="shared" ca="1" si="208"/>
        <v>0</v>
      </c>
      <c r="AC73" s="124">
        <f t="shared" ca="1" si="209"/>
        <v>0</v>
      </c>
      <c r="AD73" s="120">
        <f t="shared" ca="1" si="210"/>
        <v>-0.29041095890410956</v>
      </c>
      <c r="AE73" s="120">
        <f t="shared" ca="1" si="211"/>
        <v>20</v>
      </c>
      <c r="AF73" s="120"/>
      <c r="AG73" s="120"/>
      <c r="AH73" s="120">
        <f t="shared" ca="1" si="14"/>
        <v>8.1225000000000005</v>
      </c>
      <c r="AI73" s="120"/>
      <c r="AJ73" s="120">
        <f t="shared" ca="1" si="15"/>
        <v>0</v>
      </c>
      <c r="AK73" s="120"/>
      <c r="AM73" s="161"/>
      <c r="AN73" s="161"/>
      <c r="AO73" s="161"/>
      <c r="AP73" s="161"/>
      <c r="AQ73" s="161"/>
      <c r="AR73" s="161"/>
      <c r="AS73" s="161"/>
      <c r="AT73" s="161"/>
      <c r="AU73" s="161"/>
      <c r="AV73" s="161"/>
      <c r="AW73" s="161"/>
      <c r="AX73" s="161"/>
      <c r="AY73" s="161"/>
      <c r="AZ73" s="161"/>
      <c r="BA73" s="161"/>
      <c r="BB73" s="161"/>
      <c r="BC73" s="161"/>
      <c r="BD73" s="161"/>
      <c r="BE73" s="161"/>
      <c r="BF73" s="161"/>
      <c r="BG73" s="161"/>
      <c r="BS73" s="11">
        <v>2</v>
      </c>
      <c r="BT73" s="11">
        <v>44491</v>
      </c>
      <c r="BU73" s="11" t="s">
        <v>8</v>
      </c>
      <c r="BV73" s="11" t="s">
        <v>482</v>
      </c>
      <c r="BW73" s="11" t="s">
        <v>502</v>
      </c>
      <c r="BX73" s="11">
        <v>18400</v>
      </c>
      <c r="BY73" s="11">
        <v>41.7</v>
      </c>
      <c r="BZ73" s="11">
        <v>47.945</v>
      </c>
      <c r="CA73" s="11">
        <v>-3216.6708800000001</v>
      </c>
      <c r="CB73" s="11">
        <v>1.1497601918465228</v>
      </c>
      <c r="CC73" s="11">
        <v>500</v>
      </c>
      <c r="CD73" s="11">
        <v>50</v>
      </c>
      <c r="CE73" s="11">
        <v>20850</v>
      </c>
    </row>
    <row r="74" spans="1:83" hidden="1">
      <c r="A74" s="13">
        <f t="shared" ca="1" si="28"/>
        <v>67</v>
      </c>
      <c r="B74" s="128">
        <v>44624</v>
      </c>
      <c r="C74" s="121" t="s">
        <v>8</v>
      </c>
      <c r="D74" s="121">
        <v>1</v>
      </c>
      <c r="E74" s="120" t="s">
        <v>481</v>
      </c>
      <c r="F74" s="121" t="s">
        <v>502</v>
      </c>
      <c r="G74" s="120">
        <v>17500</v>
      </c>
      <c r="H74" s="122">
        <v>44651</v>
      </c>
      <c r="I74" s="120">
        <v>200</v>
      </c>
      <c r="J74" s="120">
        <v>62.88</v>
      </c>
      <c r="K74" s="120">
        <v>3.1</v>
      </c>
      <c r="L74" s="124">
        <f t="shared" ca="1" si="212"/>
        <v>0</v>
      </c>
      <c r="M74" s="124">
        <f t="shared" ca="1" si="213"/>
        <v>11956</v>
      </c>
      <c r="N74" s="120">
        <f t="shared" ca="1" si="199"/>
        <v>4.9300254452926205E-2</v>
      </c>
      <c r="O74" s="164">
        <f t="shared" ca="1" si="200"/>
        <v>78.600000000000009</v>
      </c>
      <c r="P74" s="168">
        <f t="shared" ca="1" si="20"/>
        <v>12576</v>
      </c>
      <c r="Q74" s="168" t="e">
        <f t="shared" ca="1" si="201"/>
        <v>#N/A</v>
      </c>
      <c r="R74" s="184">
        <f t="shared" ca="1" si="214"/>
        <v>0</v>
      </c>
      <c r="S74" s="124">
        <f t="shared" ca="1" si="202"/>
        <v>6.2879999999999985</v>
      </c>
      <c r="T74" s="120">
        <f ca="1">VLOOKUP(TRIM($F74),Reference!B:C,2,0)</f>
        <v>15938.65</v>
      </c>
      <c r="U74" s="125">
        <f t="shared" ca="1" si="203"/>
        <v>0</v>
      </c>
      <c r="V74" s="125" t="str">
        <f t="shared" ca="1" si="204"/>
        <v>NIFTY22MAR17500CE</v>
      </c>
      <c r="W74" s="166" t="e">
        <f ca="1">VLOOKUP($V74,Reference!BA:BD,4,0)</f>
        <v>#N/A</v>
      </c>
      <c r="X74" s="168">
        <f t="shared" ca="1" si="205"/>
        <v>0</v>
      </c>
      <c r="Y74" s="168">
        <f t="shared" ca="1" si="206"/>
        <v>0</v>
      </c>
      <c r="Z74" s="168">
        <f t="shared" ca="1" si="215"/>
        <v>0</v>
      </c>
      <c r="AA74" s="168">
        <f t="shared" ca="1" si="207"/>
        <v>0</v>
      </c>
      <c r="AB74" s="168">
        <f t="shared" ca="1" si="208"/>
        <v>0</v>
      </c>
      <c r="AC74" s="124">
        <f t="shared" ca="1" si="209"/>
        <v>0</v>
      </c>
      <c r="AD74" s="120">
        <f t="shared" ca="1" si="210"/>
        <v>-0.29041095890410956</v>
      </c>
      <c r="AE74" s="120">
        <f t="shared" ca="1" si="211"/>
        <v>20</v>
      </c>
      <c r="AF74" s="120"/>
      <c r="AG74" s="120"/>
      <c r="AH74" s="120">
        <f t="shared" ca="1" si="14"/>
        <v>6.2880000000000003</v>
      </c>
      <c r="AI74" s="120"/>
      <c r="AJ74" s="120">
        <f t="shared" ca="1" si="15"/>
        <v>0</v>
      </c>
      <c r="AK74" s="120"/>
      <c r="AL74" s="145">
        <v>1</v>
      </c>
      <c r="AM74" s="161"/>
      <c r="AN74" s="161"/>
      <c r="AO74" s="161"/>
      <c r="AP74" s="161"/>
      <c r="AQ74" s="161"/>
      <c r="AR74" s="161"/>
      <c r="AS74" s="161"/>
      <c r="AT74" s="161"/>
      <c r="AU74" s="161"/>
      <c r="AV74" s="161"/>
      <c r="AW74" s="161"/>
      <c r="AX74" s="161"/>
      <c r="AY74" s="161"/>
      <c r="AZ74" s="161"/>
      <c r="BA74" s="161"/>
      <c r="BB74" s="161"/>
      <c r="BC74" s="161"/>
      <c r="BD74" s="161"/>
      <c r="BE74" s="161"/>
      <c r="BF74" s="161"/>
      <c r="BG74" s="161"/>
      <c r="BS74" s="11">
        <v>3</v>
      </c>
      <c r="BT74" s="11">
        <v>44491</v>
      </c>
      <c r="BU74" s="11" t="s">
        <v>8</v>
      </c>
      <c r="BV74" s="11" t="s">
        <v>481</v>
      </c>
      <c r="BW74" s="11" t="s">
        <v>502</v>
      </c>
      <c r="BX74" s="11">
        <v>18700</v>
      </c>
      <c r="BY74" s="11">
        <v>34.75</v>
      </c>
      <c r="BZ74" s="11">
        <v>0.05</v>
      </c>
      <c r="CA74" s="11">
        <v>17263.657599999999</v>
      </c>
      <c r="CB74" s="11">
        <v>1.4388489208633094E-3</v>
      </c>
      <c r="CC74" s="11">
        <v>500</v>
      </c>
      <c r="CD74" s="11">
        <v>50</v>
      </c>
      <c r="CE74" s="11">
        <v>17375</v>
      </c>
    </row>
    <row r="75" spans="1:83" hidden="1">
      <c r="A75" s="13">
        <f t="shared" ca="1" si="28"/>
        <v>68</v>
      </c>
      <c r="B75" s="128">
        <v>44624</v>
      </c>
      <c r="C75" s="121" t="s">
        <v>8</v>
      </c>
      <c r="D75" s="121">
        <v>1</v>
      </c>
      <c r="E75" s="120" t="s">
        <v>481</v>
      </c>
      <c r="F75" s="121" t="s">
        <v>502</v>
      </c>
      <c r="G75" s="120">
        <v>17400</v>
      </c>
      <c r="H75" s="122">
        <v>44651</v>
      </c>
      <c r="I75" s="120">
        <v>100</v>
      </c>
      <c r="J75" s="120">
        <v>77.099999999999994</v>
      </c>
      <c r="K75" s="120">
        <v>48.4</v>
      </c>
      <c r="L75" s="124">
        <f t="shared" ca="1" si="212"/>
        <v>0</v>
      </c>
      <c r="M75" s="124">
        <f t="shared" ca="1" si="213"/>
        <v>2869.9999999999995</v>
      </c>
      <c r="N75" s="120">
        <f t="shared" ref="N75:N77" ca="1" si="216">K75/$J75</f>
        <v>0.62775616083009078</v>
      </c>
      <c r="O75" s="164">
        <f t="shared" ref="O75:O77" ca="1" si="217">J75*(1+$O$6*IF(C75="B",-1,1))</f>
        <v>96.375</v>
      </c>
      <c r="P75" s="168">
        <f t="shared" ca="1" si="20"/>
        <v>7709.9999999999991</v>
      </c>
      <c r="Q75" s="168" t="e">
        <f t="shared" ref="Q75:Q77" ca="1" si="218">(W75-J75)*I75*IF(C75="B",1,-1)*IF(K75=0,1,0)</f>
        <v>#N/A</v>
      </c>
      <c r="R75" s="184">
        <f t="shared" ca="1" si="214"/>
        <v>0</v>
      </c>
      <c r="S75" s="124">
        <f t="shared" ref="S75:S77" ca="1" si="219">(1-$S$6)*J75</f>
        <v>7.7099999999999973</v>
      </c>
      <c r="T75" s="120">
        <f ca="1">VLOOKUP(TRIM($F75),Reference!B:C,2,0)</f>
        <v>15938.65</v>
      </c>
      <c r="U75" s="125">
        <f t="shared" ref="U75:U77" ca="1" si="220">AC75</f>
        <v>0</v>
      </c>
      <c r="V75" s="125" t="str">
        <f t="shared" ca="1" si="204"/>
        <v>NIFTY22MAR17400CE</v>
      </c>
      <c r="W75" s="166" t="e">
        <f ca="1">VLOOKUP($V75,Reference!BA:BD,4,0)</f>
        <v>#N/A</v>
      </c>
      <c r="X75" s="168">
        <f t="shared" ca="1" si="205"/>
        <v>0</v>
      </c>
      <c r="Y75" s="168">
        <f t="shared" ca="1" si="206"/>
        <v>0</v>
      </c>
      <c r="Z75" s="168">
        <f t="shared" ca="1" si="215"/>
        <v>0</v>
      </c>
      <c r="AA75" s="168">
        <f t="shared" ca="1" si="207"/>
        <v>0</v>
      </c>
      <c r="AB75" s="168">
        <f t="shared" ca="1" si="208"/>
        <v>0</v>
      </c>
      <c r="AC75" s="124">
        <f t="shared" ca="1" si="209"/>
        <v>0</v>
      </c>
      <c r="AD75" s="120">
        <f t="shared" ref="AD75:AD77" ca="1" si="221">(H75-TODAY())/365</f>
        <v>-0.29041095890410956</v>
      </c>
      <c r="AE75" s="120">
        <f t="shared" ref="AE75:AE77" ca="1" si="222">IF(I75&lt;&gt;0,20,0)</f>
        <v>20</v>
      </c>
      <c r="AF75" s="120"/>
      <c r="AG75" s="120"/>
      <c r="AH75" s="120">
        <f t="shared" ca="1" si="14"/>
        <v>3.8549999999999995</v>
      </c>
      <c r="AI75" s="120"/>
      <c r="AJ75" s="120">
        <f t="shared" ca="1" si="15"/>
        <v>0</v>
      </c>
      <c r="AK75" s="120"/>
      <c r="AL75" s="145">
        <v>1</v>
      </c>
      <c r="AM75" s="161"/>
      <c r="AN75" s="161"/>
      <c r="AO75" s="161"/>
      <c r="AP75" s="161"/>
      <c r="AQ75" s="161"/>
      <c r="AR75" s="161"/>
      <c r="AS75" s="161"/>
      <c r="AT75" s="161"/>
      <c r="AU75" s="161"/>
      <c r="AV75" s="161"/>
      <c r="AW75" s="161"/>
      <c r="AX75" s="161"/>
      <c r="AY75" s="161"/>
      <c r="AZ75" s="161"/>
      <c r="BA75" s="161"/>
      <c r="BB75" s="161"/>
      <c r="BC75" s="161"/>
      <c r="BD75" s="161"/>
      <c r="BE75" s="161"/>
      <c r="BF75" s="161"/>
      <c r="BG75" s="161"/>
      <c r="BS75" s="11">
        <v>3</v>
      </c>
      <c r="BT75" s="11">
        <v>44491</v>
      </c>
      <c r="BU75" s="11" t="s">
        <v>8</v>
      </c>
      <c r="BV75" s="11" t="s">
        <v>481</v>
      </c>
      <c r="BW75" s="11" t="s">
        <v>502</v>
      </c>
      <c r="BX75" s="11">
        <v>18700</v>
      </c>
      <c r="BY75" s="11">
        <v>34.75</v>
      </c>
      <c r="BZ75" s="11">
        <v>0.05</v>
      </c>
      <c r="CA75" s="11">
        <v>17263.657599999999</v>
      </c>
      <c r="CB75" s="11">
        <v>1.4388489208633094E-3</v>
      </c>
      <c r="CC75" s="11">
        <v>500</v>
      </c>
      <c r="CD75" s="11">
        <v>50</v>
      </c>
      <c r="CE75" s="11">
        <v>17375</v>
      </c>
    </row>
    <row r="76" spans="1:83" hidden="1">
      <c r="A76" s="13">
        <f t="shared" ca="1" si="28"/>
        <v>69</v>
      </c>
      <c r="B76" s="128">
        <v>44624</v>
      </c>
      <c r="C76" s="121" t="s">
        <v>8</v>
      </c>
      <c r="D76" s="121">
        <v>1</v>
      </c>
      <c r="E76" s="120" t="s">
        <v>481</v>
      </c>
      <c r="F76" s="121" t="s">
        <v>502</v>
      </c>
      <c r="G76" s="120">
        <v>17300</v>
      </c>
      <c r="H76" s="122">
        <v>44651</v>
      </c>
      <c r="I76" s="120">
        <v>200</v>
      </c>
      <c r="J76" s="120">
        <v>93.05</v>
      </c>
      <c r="K76" s="120">
        <v>160</v>
      </c>
      <c r="L76" s="124">
        <f t="shared" ca="1" si="212"/>
        <v>0</v>
      </c>
      <c r="M76" s="124">
        <f t="shared" ca="1" si="213"/>
        <v>-13390</v>
      </c>
      <c r="N76" s="120">
        <f t="shared" ca="1" si="216"/>
        <v>1.7195056421278883</v>
      </c>
      <c r="O76" s="164">
        <f t="shared" ca="1" si="217"/>
        <v>116.3125</v>
      </c>
      <c r="P76" s="168">
        <f t="shared" ca="1" si="20"/>
        <v>18610</v>
      </c>
      <c r="Q76" s="168" t="e">
        <f t="shared" ca="1" si="218"/>
        <v>#N/A</v>
      </c>
      <c r="R76" s="184">
        <f t="shared" ca="1" si="214"/>
        <v>0</v>
      </c>
      <c r="S76" s="124">
        <f t="shared" ca="1" si="219"/>
        <v>9.3049999999999979</v>
      </c>
      <c r="T76" s="120">
        <f ca="1">VLOOKUP(TRIM($F76),Reference!B:C,2,0)</f>
        <v>15938.65</v>
      </c>
      <c r="U76" s="125">
        <f t="shared" ca="1" si="220"/>
        <v>0</v>
      </c>
      <c r="V76" s="125" t="str">
        <f t="shared" ca="1" si="204"/>
        <v>NIFTY22MAR17300CE</v>
      </c>
      <c r="W76" s="166" t="e">
        <f ca="1">VLOOKUP($V76,Reference!BA:BD,4,0)</f>
        <v>#N/A</v>
      </c>
      <c r="X76" s="168">
        <f t="shared" ca="1" si="205"/>
        <v>0</v>
      </c>
      <c r="Y76" s="168">
        <f t="shared" ca="1" si="206"/>
        <v>0</v>
      </c>
      <c r="Z76" s="168">
        <f t="shared" ca="1" si="215"/>
        <v>0</v>
      </c>
      <c r="AA76" s="168">
        <f t="shared" ca="1" si="207"/>
        <v>0</v>
      </c>
      <c r="AB76" s="168">
        <f t="shared" ca="1" si="208"/>
        <v>0</v>
      </c>
      <c r="AC76" s="124">
        <f t="shared" ca="1" si="209"/>
        <v>0</v>
      </c>
      <c r="AD76" s="120">
        <f t="shared" ca="1" si="221"/>
        <v>-0.29041095890410956</v>
      </c>
      <c r="AE76" s="120">
        <f t="shared" ca="1" si="222"/>
        <v>20</v>
      </c>
      <c r="AF76" s="120"/>
      <c r="AG76" s="120"/>
      <c r="AH76" s="120">
        <f t="shared" ca="1" si="14"/>
        <v>9.3049999999999997</v>
      </c>
      <c r="AI76" s="120"/>
      <c r="AJ76" s="120">
        <f t="shared" ca="1" si="15"/>
        <v>0</v>
      </c>
      <c r="AK76" s="120"/>
      <c r="AL76" s="145">
        <v>1</v>
      </c>
      <c r="AM76" s="161"/>
      <c r="AN76" s="161"/>
      <c r="AO76" s="161"/>
      <c r="AP76" s="161"/>
      <c r="AQ76" s="161"/>
      <c r="AR76" s="161"/>
      <c r="AS76" s="161"/>
      <c r="AT76" s="161"/>
      <c r="AU76" s="161"/>
      <c r="AV76" s="161"/>
      <c r="AW76" s="161"/>
      <c r="AX76" s="161"/>
      <c r="AY76" s="161"/>
      <c r="AZ76" s="161"/>
      <c r="BA76" s="161"/>
      <c r="BB76" s="161"/>
      <c r="BC76" s="161"/>
      <c r="BD76" s="161"/>
      <c r="BE76" s="161"/>
      <c r="BF76" s="161"/>
      <c r="BG76" s="161"/>
      <c r="BS76" s="11">
        <v>3</v>
      </c>
      <c r="BT76" s="11">
        <v>44491</v>
      </c>
      <c r="BU76" s="11" t="s">
        <v>8</v>
      </c>
      <c r="BV76" s="11" t="s">
        <v>481</v>
      </c>
      <c r="BW76" s="11" t="s">
        <v>502</v>
      </c>
      <c r="BX76" s="11">
        <v>18700</v>
      </c>
      <c r="BY76" s="11">
        <v>34.75</v>
      </c>
      <c r="BZ76" s="11">
        <v>0.05</v>
      </c>
      <c r="CA76" s="11">
        <v>17263.657599999999</v>
      </c>
      <c r="CB76" s="11">
        <v>1.4388489208633094E-3</v>
      </c>
      <c r="CC76" s="11">
        <v>500</v>
      </c>
      <c r="CD76" s="11">
        <v>50</v>
      </c>
      <c r="CE76" s="11">
        <v>17375</v>
      </c>
    </row>
    <row r="77" spans="1:83" hidden="1">
      <c r="A77" s="13">
        <f t="shared" ca="1" si="28"/>
        <v>70</v>
      </c>
      <c r="B77" s="128">
        <v>44627</v>
      </c>
      <c r="C77" s="121" t="s">
        <v>6</v>
      </c>
      <c r="D77" s="121">
        <v>1</v>
      </c>
      <c r="E77" s="120" t="s">
        <v>632</v>
      </c>
      <c r="F77" s="121" t="s">
        <v>502</v>
      </c>
      <c r="G77" s="120"/>
      <c r="H77" s="122">
        <v>44651</v>
      </c>
      <c r="I77" s="120">
        <v>50</v>
      </c>
      <c r="J77" s="120">
        <v>15818</v>
      </c>
      <c r="K77" s="120">
        <v>17442.650000000001</v>
      </c>
      <c r="L77" s="124">
        <f t="shared" ca="1" si="212"/>
        <v>0</v>
      </c>
      <c r="M77" s="124">
        <f t="shared" ca="1" si="213"/>
        <v>81232.500000000073</v>
      </c>
      <c r="N77" s="120">
        <f t="shared" ca="1" si="216"/>
        <v>1.102708939183209</v>
      </c>
      <c r="O77" s="164">
        <f t="shared" ca="1" si="217"/>
        <v>11863.5</v>
      </c>
      <c r="P77" s="168">
        <f t="shared" ca="1" si="20"/>
        <v>790900</v>
      </c>
      <c r="Q77" s="168" t="e">
        <f t="shared" ca="1" si="218"/>
        <v>#N/A</v>
      </c>
      <c r="R77" s="184">
        <f t="shared" ca="1" si="214"/>
        <v>0</v>
      </c>
      <c r="S77" s="124">
        <f t="shared" ca="1" si="219"/>
        <v>1581.7999999999997</v>
      </c>
      <c r="T77" s="120">
        <f ca="1">VLOOKUP(TRIM($F77),Reference!B:C,2,0)</f>
        <v>15938.65</v>
      </c>
      <c r="U77" s="181">
        <f t="shared" ca="1" si="220"/>
        <v>0</v>
      </c>
      <c r="V77" s="125" t="str">
        <f t="shared" ca="1" si="204"/>
        <v>NIFTY22MARFUT</v>
      </c>
      <c r="W77" s="166" t="e">
        <f ca="1">VLOOKUP($V77,Reference!BA:BD,4,0)</f>
        <v>#N/A</v>
      </c>
      <c r="X77" s="168">
        <f t="shared" ca="1" si="205"/>
        <v>0</v>
      </c>
      <c r="Y77" s="168">
        <f t="shared" ca="1" si="206"/>
        <v>0</v>
      </c>
      <c r="Z77" s="168">
        <f t="shared" ca="1" si="215"/>
        <v>0</v>
      </c>
      <c r="AA77" s="168">
        <f t="shared" ca="1" si="207"/>
        <v>0</v>
      </c>
      <c r="AB77" s="168">
        <f t="shared" ca="1" si="208"/>
        <v>0</v>
      </c>
      <c r="AC77" s="124">
        <f t="shared" ca="1" si="209"/>
        <v>0</v>
      </c>
      <c r="AD77" s="120">
        <f t="shared" ca="1" si="221"/>
        <v>-0.29041095890410956</v>
      </c>
      <c r="AE77" s="120">
        <f t="shared" ca="1" si="222"/>
        <v>20</v>
      </c>
      <c r="AF77" s="120"/>
      <c r="AG77" s="120"/>
      <c r="AH77" s="120">
        <f t="shared" ca="1" si="14"/>
        <v>0</v>
      </c>
      <c r="AI77" s="120"/>
      <c r="AJ77" s="120">
        <f t="shared" ca="1" si="15"/>
        <v>23.727</v>
      </c>
      <c r="AK77" s="120"/>
      <c r="AL77" s="147"/>
      <c r="AM77" s="160"/>
      <c r="AN77" s="160"/>
      <c r="AO77" s="160"/>
      <c r="AP77" s="160"/>
      <c r="AQ77" s="160"/>
      <c r="AR77" s="160"/>
      <c r="AS77" s="160"/>
      <c r="AT77" s="160"/>
      <c r="AU77" s="160"/>
      <c r="AV77" s="160"/>
      <c r="AW77" s="160"/>
      <c r="AX77" s="160"/>
      <c r="AY77" s="160"/>
      <c r="AZ77" s="160"/>
      <c r="BA77" s="160"/>
      <c r="BB77" s="160"/>
      <c r="BC77" s="160"/>
      <c r="BD77" s="160"/>
      <c r="BE77" s="160"/>
      <c r="BF77" s="160"/>
      <c r="BG77" s="160"/>
      <c r="BS77" s="13">
        <v>2</v>
      </c>
      <c r="BT77" s="128">
        <v>44491</v>
      </c>
      <c r="BU77" s="121" t="s">
        <v>8</v>
      </c>
      <c r="BV77" s="120" t="s">
        <v>482</v>
      </c>
      <c r="BW77" s="121" t="s">
        <v>502</v>
      </c>
      <c r="BX77" s="120">
        <v>18400</v>
      </c>
      <c r="BY77" s="120">
        <v>41.7</v>
      </c>
      <c r="BZ77" s="120">
        <v>47.945</v>
      </c>
      <c r="CA77" s="124">
        <v>-3216.6708800000001</v>
      </c>
      <c r="CB77" s="120">
        <v>1.1497601918465228</v>
      </c>
      <c r="CC77" s="120">
        <v>500</v>
      </c>
      <c r="CD77" s="120">
        <v>50</v>
      </c>
      <c r="CE77" s="124">
        <v>20850</v>
      </c>
    </row>
    <row r="78" spans="1:83" hidden="1">
      <c r="A78" s="13">
        <f t="shared" ca="1" si="28"/>
        <v>71</v>
      </c>
      <c r="B78" s="128">
        <v>44627</v>
      </c>
      <c r="C78" s="121" t="s">
        <v>8</v>
      </c>
      <c r="D78" s="121">
        <v>1</v>
      </c>
      <c r="E78" s="120" t="s">
        <v>481</v>
      </c>
      <c r="F78" s="121" t="s">
        <v>502</v>
      </c>
      <c r="G78" s="120">
        <v>17000</v>
      </c>
      <c r="H78" s="122">
        <v>44651</v>
      </c>
      <c r="I78" s="120">
        <v>100</v>
      </c>
      <c r="J78" s="120">
        <v>84.94</v>
      </c>
      <c r="K78" s="120">
        <v>467</v>
      </c>
      <c r="L78" s="124">
        <f t="shared" ca="1" si="212"/>
        <v>0</v>
      </c>
      <c r="M78" s="124">
        <f t="shared" ca="1" si="213"/>
        <v>-38206</v>
      </c>
      <c r="N78" s="120">
        <f t="shared" ref="N78:N79" ca="1" si="223">K78/$J78</f>
        <v>5.4979985872380501</v>
      </c>
      <c r="O78" s="164">
        <f t="shared" ref="O78:O79" ca="1" si="224">J78*(1+$O$6*IF(C78="B",-1,1))</f>
        <v>106.175</v>
      </c>
      <c r="P78" s="168">
        <f t="shared" ca="1" si="20"/>
        <v>8494</v>
      </c>
      <c r="Q78" s="168" t="e">
        <f t="shared" ref="Q78:Q79" ca="1" si="225">(W78-J78)*I78*IF(C78="B",1,-1)*IF(K78=0,1,0)</f>
        <v>#N/A</v>
      </c>
      <c r="R78" s="184">
        <f t="shared" ca="1" si="214"/>
        <v>0</v>
      </c>
      <c r="S78" s="124">
        <f t="shared" ref="S78:S79" ca="1" si="226">(1-$S$6)*J78</f>
        <v>8.493999999999998</v>
      </c>
      <c r="T78" s="120">
        <f ca="1">VLOOKUP(TRIM($F78),Reference!B:C,2,0)</f>
        <v>15938.65</v>
      </c>
      <c r="U78" s="125">
        <f t="shared" ref="U78:U79" ca="1" si="227">AC78</f>
        <v>0</v>
      </c>
      <c r="V78" s="125" t="str">
        <f t="shared" ca="1" si="204"/>
        <v>NIFTY22MAR17000CE</v>
      </c>
      <c r="W78" s="166" t="e">
        <f ca="1">VLOOKUP($V78,Reference!BA:BD,4,0)</f>
        <v>#N/A</v>
      </c>
      <c r="X78" s="168">
        <f t="shared" ca="1" si="205"/>
        <v>0</v>
      </c>
      <c r="Y78" s="168">
        <f t="shared" ca="1" si="206"/>
        <v>0</v>
      </c>
      <c r="Z78" s="168">
        <f t="shared" ca="1" si="215"/>
        <v>0</v>
      </c>
      <c r="AA78" s="168">
        <f t="shared" ca="1" si="207"/>
        <v>0</v>
      </c>
      <c r="AB78" s="168">
        <f t="shared" ca="1" si="208"/>
        <v>0</v>
      </c>
      <c r="AC78" s="124">
        <f t="shared" ca="1" si="209"/>
        <v>0</v>
      </c>
      <c r="AD78" s="120">
        <f t="shared" ref="AD78:AD79" ca="1" si="228">(H78-TODAY())/365</f>
        <v>-0.29041095890410956</v>
      </c>
      <c r="AE78" s="120">
        <f t="shared" ref="AE78:AE79" ca="1" si="229">IF(I78&lt;&gt;0,20,0)</f>
        <v>20</v>
      </c>
      <c r="AF78" s="120"/>
      <c r="AG78" s="120"/>
      <c r="AH78" s="120">
        <f t="shared" ca="1" si="14"/>
        <v>4.2469999999999999</v>
      </c>
      <c r="AI78" s="120"/>
      <c r="AJ78" s="120">
        <f t="shared" ca="1" si="15"/>
        <v>0</v>
      </c>
      <c r="AK78" s="120"/>
      <c r="AL78" s="145">
        <v>1</v>
      </c>
      <c r="AM78" s="161"/>
      <c r="AN78" s="161"/>
      <c r="AO78" s="161"/>
      <c r="AP78" s="161"/>
      <c r="AQ78" s="161"/>
      <c r="AR78" s="161"/>
      <c r="AS78" s="161"/>
      <c r="AT78" s="161"/>
      <c r="AU78" s="161"/>
      <c r="AV78" s="161"/>
      <c r="AW78" s="161"/>
      <c r="AX78" s="161"/>
      <c r="AY78" s="161"/>
      <c r="AZ78" s="161"/>
      <c r="BA78" s="161"/>
      <c r="BB78" s="161"/>
      <c r="BC78" s="161"/>
      <c r="BD78" s="161"/>
      <c r="BE78" s="161"/>
      <c r="BF78" s="161"/>
      <c r="BG78" s="161"/>
      <c r="BS78" s="11">
        <v>3</v>
      </c>
      <c r="BT78" s="11">
        <v>44491</v>
      </c>
      <c r="BU78" s="11" t="s">
        <v>8</v>
      </c>
      <c r="BV78" s="11" t="s">
        <v>481</v>
      </c>
      <c r="BW78" s="11" t="s">
        <v>502</v>
      </c>
      <c r="BX78" s="11">
        <v>18700</v>
      </c>
      <c r="BY78" s="11">
        <v>34.75</v>
      </c>
      <c r="BZ78" s="11">
        <v>0.05</v>
      </c>
      <c r="CA78" s="11">
        <v>17263.657599999999</v>
      </c>
      <c r="CB78" s="11">
        <v>1.4388489208633094E-3</v>
      </c>
      <c r="CC78" s="11">
        <v>500</v>
      </c>
      <c r="CD78" s="11">
        <v>50</v>
      </c>
      <c r="CE78" s="11">
        <v>17375</v>
      </c>
    </row>
    <row r="79" spans="1:83" hidden="1">
      <c r="A79" s="13">
        <f t="shared" ca="1" si="28"/>
        <v>72</v>
      </c>
      <c r="B79" s="128">
        <v>44627</v>
      </c>
      <c r="C79" s="121" t="s">
        <v>8</v>
      </c>
      <c r="D79" s="121">
        <v>1</v>
      </c>
      <c r="E79" s="120" t="s">
        <v>481</v>
      </c>
      <c r="F79" s="121" t="s">
        <v>506</v>
      </c>
      <c r="G79" s="120">
        <v>36500</v>
      </c>
      <c r="H79" s="122">
        <v>44651</v>
      </c>
      <c r="I79" s="120">
        <v>25</v>
      </c>
      <c r="J79" s="120">
        <v>235.5</v>
      </c>
      <c r="K79" s="120">
        <v>2.75</v>
      </c>
      <c r="L79" s="124">
        <f t="shared" ca="1" si="212"/>
        <v>0</v>
      </c>
      <c r="M79" s="124">
        <f t="shared" ca="1" si="213"/>
        <v>5818.75</v>
      </c>
      <c r="N79" s="120">
        <f t="shared" ca="1" si="223"/>
        <v>1.167728237791932E-2</v>
      </c>
      <c r="O79" s="164">
        <f t="shared" ca="1" si="224"/>
        <v>294.375</v>
      </c>
      <c r="P79" s="168">
        <f t="shared" ca="1" si="20"/>
        <v>5887.5</v>
      </c>
      <c r="Q79" s="168" t="e">
        <f t="shared" ca="1" si="225"/>
        <v>#N/A</v>
      </c>
      <c r="R79" s="184">
        <f t="shared" ca="1" si="214"/>
        <v>0</v>
      </c>
      <c r="S79" s="124">
        <f t="shared" ca="1" si="226"/>
        <v>23.549999999999994</v>
      </c>
      <c r="T79" s="120">
        <f ca="1">VLOOKUP(TRIM($F79),Reference!B:C,2,0)</f>
        <v>34651.199999999997</v>
      </c>
      <c r="U79" s="125">
        <f t="shared" ca="1" si="227"/>
        <v>0</v>
      </c>
      <c r="V79" s="125" t="str">
        <f t="shared" ca="1" si="204"/>
        <v>BANKNIFTY22MAR36500CE</v>
      </c>
      <c r="W79" s="166" t="e">
        <f ca="1">VLOOKUP($V79,Reference!BA:BD,4,0)</f>
        <v>#N/A</v>
      </c>
      <c r="X79" s="168">
        <f t="shared" ca="1" si="205"/>
        <v>0</v>
      </c>
      <c r="Y79" s="168">
        <f t="shared" ca="1" si="206"/>
        <v>0</v>
      </c>
      <c r="Z79" s="168">
        <f t="shared" ca="1" si="215"/>
        <v>0</v>
      </c>
      <c r="AA79" s="168">
        <f t="shared" ca="1" si="207"/>
        <v>0</v>
      </c>
      <c r="AB79" s="168">
        <f t="shared" ca="1" si="208"/>
        <v>0</v>
      </c>
      <c r="AC79" s="124">
        <f t="shared" ca="1" si="209"/>
        <v>0</v>
      </c>
      <c r="AD79" s="120">
        <f t="shared" ca="1" si="228"/>
        <v>-0.29041095890410956</v>
      </c>
      <c r="AE79" s="120">
        <f t="shared" ca="1" si="229"/>
        <v>20</v>
      </c>
      <c r="AF79" s="120"/>
      <c r="AG79" s="120"/>
      <c r="AH79" s="120">
        <f t="shared" ca="1" si="14"/>
        <v>2.9437500000000001</v>
      </c>
      <c r="AI79" s="120"/>
      <c r="AJ79" s="120">
        <f t="shared" ca="1" si="15"/>
        <v>0</v>
      </c>
      <c r="AK79" s="120"/>
      <c r="AM79" s="161"/>
      <c r="AN79" s="161"/>
      <c r="AO79" s="161"/>
      <c r="AP79" s="161"/>
      <c r="AQ79" s="161"/>
      <c r="AR79" s="161"/>
      <c r="AS79" s="161"/>
      <c r="AT79" s="161"/>
      <c r="AU79" s="161"/>
      <c r="AV79" s="161"/>
      <c r="AW79" s="161"/>
      <c r="AX79" s="161"/>
      <c r="AY79" s="161"/>
      <c r="AZ79" s="161"/>
      <c r="BA79" s="161"/>
      <c r="BB79" s="161"/>
      <c r="BC79" s="161"/>
      <c r="BD79" s="161"/>
      <c r="BE79" s="161"/>
      <c r="BF79" s="161"/>
      <c r="BG79" s="161"/>
      <c r="BS79" s="11">
        <v>2</v>
      </c>
      <c r="BT79" s="11">
        <v>44491</v>
      </c>
      <c r="BU79" s="11" t="s">
        <v>8</v>
      </c>
      <c r="BV79" s="11" t="s">
        <v>482</v>
      </c>
      <c r="BW79" s="11" t="s">
        <v>502</v>
      </c>
      <c r="BX79" s="11">
        <v>18400</v>
      </c>
      <c r="BY79" s="11">
        <v>41.7</v>
      </c>
      <c r="BZ79" s="11">
        <v>47.945</v>
      </c>
      <c r="CA79" s="11">
        <v>-3216.6708800000001</v>
      </c>
      <c r="CB79" s="11">
        <v>1.1497601918465228</v>
      </c>
      <c r="CC79" s="11">
        <v>500</v>
      </c>
      <c r="CD79" s="11">
        <v>50</v>
      </c>
      <c r="CE79" s="11">
        <v>20850</v>
      </c>
    </row>
    <row r="80" spans="1:83" hidden="1">
      <c r="A80" s="13">
        <f t="shared" ca="1" si="28"/>
        <v>73</v>
      </c>
      <c r="B80" s="128">
        <v>44627</v>
      </c>
      <c r="C80" s="121" t="s">
        <v>8</v>
      </c>
      <c r="D80" s="121">
        <v>1</v>
      </c>
      <c r="E80" s="120" t="s">
        <v>481</v>
      </c>
      <c r="F80" s="121" t="s">
        <v>506</v>
      </c>
      <c r="G80" s="120">
        <v>36000</v>
      </c>
      <c r="H80" s="122">
        <v>44651</v>
      </c>
      <c r="I80" s="120">
        <v>25</v>
      </c>
      <c r="J80" s="120">
        <v>277.3</v>
      </c>
      <c r="K80" s="120">
        <v>375</v>
      </c>
      <c r="L80" s="124">
        <f t="shared" ca="1" si="212"/>
        <v>0</v>
      </c>
      <c r="M80" s="124">
        <f t="shared" ca="1" si="213"/>
        <v>-2442.4999999999995</v>
      </c>
      <c r="N80" s="120">
        <f t="shared" ref="N80:N82" ca="1" si="230">K80/$J80</f>
        <v>1.3523260007212405</v>
      </c>
      <c r="O80" s="164">
        <f t="shared" ref="O80:O82" ca="1" si="231">J80*(1+$O$6*IF(C80="B",-1,1))</f>
        <v>346.625</v>
      </c>
      <c r="P80" s="168">
        <f t="shared" ca="1" si="20"/>
        <v>6932.5</v>
      </c>
      <c r="Q80" s="168" t="e">
        <f t="shared" ref="Q80:Q82" ca="1" si="232">(W80-J80)*I80*IF(C80="B",1,-1)*IF(K80=0,1,0)</f>
        <v>#N/A</v>
      </c>
      <c r="R80" s="184">
        <f t="shared" ca="1" si="214"/>
        <v>0</v>
      </c>
      <c r="S80" s="124">
        <f t="shared" ref="S80:S82" ca="1" si="233">(1-$S$6)*J80</f>
        <v>27.729999999999993</v>
      </c>
      <c r="T80" s="120">
        <f ca="1">VLOOKUP(TRIM($F80),Reference!B:C,2,0)</f>
        <v>34651.199999999997</v>
      </c>
      <c r="U80" s="125">
        <f t="shared" ref="U80:U82" ca="1" si="234">AC80</f>
        <v>0</v>
      </c>
      <c r="V80" s="125" t="str">
        <f t="shared" ca="1" si="204"/>
        <v>BANKNIFTY22MAR36000CE</v>
      </c>
      <c r="W80" s="166" t="e">
        <f ca="1">VLOOKUP($V80,Reference!BA:BD,4,0)</f>
        <v>#N/A</v>
      </c>
      <c r="X80" s="168">
        <f t="shared" ca="1" si="205"/>
        <v>0</v>
      </c>
      <c r="Y80" s="168">
        <f t="shared" ca="1" si="206"/>
        <v>0</v>
      </c>
      <c r="Z80" s="168">
        <f t="shared" ca="1" si="215"/>
        <v>0</v>
      </c>
      <c r="AA80" s="168">
        <f t="shared" ca="1" si="207"/>
        <v>0</v>
      </c>
      <c r="AB80" s="168">
        <f t="shared" ca="1" si="208"/>
        <v>0</v>
      </c>
      <c r="AC80" s="124">
        <f t="shared" ca="1" si="209"/>
        <v>0</v>
      </c>
      <c r="AD80" s="120">
        <f t="shared" ref="AD80:AD82" ca="1" si="235">(H80-TODAY())/365</f>
        <v>-0.29041095890410956</v>
      </c>
      <c r="AE80" s="120">
        <f t="shared" ref="AE80:AE82" ca="1" si="236">IF(I80&lt;&gt;0,20,0)</f>
        <v>20</v>
      </c>
      <c r="AF80" s="120"/>
      <c r="AG80" s="120"/>
      <c r="AH80" s="120">
        <f t="shared" ca="1" si="14"/>
        <v>3.4662500000000001</v>
      </c>
      <c r="AI80" s="120"/>
      <c r="AJ80" s="120">
        <f t="shared" ca="1" si="15"/>
        <v>0</v>
      </c>
      <c r="AK80" s="120"/>
      <c r="AM80" s="161"/>
      <c r="AN80" s="161"/>
      <c r="AO80" s="161"/>
      <c r="AP80" s="161"/>
      <c r="AQ80" s="161"/>
      <c r="AR80" s="161"/>
      <c r="AS80" s="161"/>
      <c r="AT80" s="161"/>
      <c r="AU80" s="161"/>
      <c r="AV80" s="161"/>
      <c r="AW80" s="161"/>
      <c r="AX80" s="161"/>
      <c r="AY80" s="161"/>
      <c r="AZ80" s="161"/>
      <c r="BA80" s="161"/>
      <c r="BB80" s="161"/>
      <c r="BC80" s="161"/>
      <c r="BD80" s="161"/>
      <c r="BE80" s="161"/>
      <c r="BF80" s="161"/>
      <c r="BG80" s="161"/>
      <c r="BS80" s="11">
        <v>2</v>
      </c>
      <c r="BT80" s="11">
        <v>44491</v>
      </c>
      <c r="BU80" s="11" t="s">
        <v>8</v>
      </c>
      <c r="BV80" s="11" t="s">
        <v>482</v>
      </c>
      <c r="BW80" s="11" t="s">
        <v>502</v>
      </c>
      <c r="BX80" s="11">
        <v>18400</v>
      </c>
      <c r="BY80" s="11">
        <v>41.7</v>
      </c>
      <c r="BZ80" s="11">
        <v>47.945</v>
      </c>
      <c r="CA80" s="11">
        <v>-3216.6708800000001</v>
      </c>
      <c r="CB80" s="11">
        <v>1.1497601918465228</v>
      </c>
      <c r="CC80" s="11">
        <v>500</v>
      </c>
      <c r="CD80" s="11">
        <v>50</v>
      </c>
      <c r="CE80" s="11">
        <v>20850</v>
      </c>
    </row>
    <row r="81" spans="1:83" hidden="1">
      <c r="A81" s="13">
        <f t="shared" ca="1" si="28"/>
        <v>74</v>
      </c>
      <c r="B81" s="128">
        <v>44627</v>
      </c>
      <c r="C81" s="121" t="s">
        <v>6</v>
      </c>
      <c r="D81" s="121">
        <v>1</v>
      </c>
      <c r="E81" s="120" t="s">
        <v>632</v>
      </c>
      <c r="F81" s="121" t="s">
        <v>506</v>
      </c>
      <c r="G81" s="120"/>
      <c r="H81" s="122">
        <v>44651</v>
      </c>
      <c r="I81" s="120">
        <v>25</v>
      </c>
      <c r="J81" s="120">
        <v>32771.550000000003</v>
      </c>
      <c r="K81" s="120">
        <v>35700</v>
      </c>
      <c r="L81" s="124">
        <f t="shared" ca="1" si="212"/>
        <v>0</v>
      </c>
      <c r="M81" s="124">
        <f t="shared" ca="1" si="213"/>
        <v>73211.249999999927</v>
      </c>
      <c r="N81" s="120">
        <f t="shared" ca="1" si="230"/>
        <v>1.0893595206818107</v>
      </c>
      <c r="O81" s="164">
        <f t="shared" ca="1" si="231"/>
        <v>24578.662500000002</v>
      </c>
      <c r="P81" s="168">
        <f t="shared" ca="1" si="20"/>
        <v>819288.75000000012</v>
      </c>
      <c r="Q81" s="168" t="e">
        <f t="shared" ca="1" si="232"/>
        <v>#N/A</v>
      </c>
      <c r="R81" s="184">
        <f t="shared" ca="1" si="214"/>
        <v>0</v>
      </c>
      <c r="S81" s="124">
        <f t="shared" ca="1" si="233"/>
        <v>3277.1549999999997</v>
      </c>
      <c r="T81" s="120">
        <f ca="1">VLOOKUP(TRIM($F81),Reference!B:C,2,0)</f>
        <v>34651.199999999997</v>
      </c>
      <c r="U81" s="181">
        <f t="shared" ca="1" si="234"/>
        <v>0</v>
      </c>
      <c r="V81" s="125" t="str">
        <f t="shared" ca="1" si="204"/>
        <v>BANKNIFTY22MARFUT</v>
      </c>
      <c r="W81" s="166" t="e">
        <f ca="1">VLOOKUP($V81,Reference!BA:BD,4,0)</f>
        <v>#N/A</v>
      </c>
      <c r="X81" s="168">
        <f t="shared" ca="1" si="205"/>
        <v>0</v>
      </c>
      <c r="Y81" s="168">
        <f t="shared" ca="1" si="206"/>
        <v>0</v>
      </c>
      <c r="Z81" s="168">
        <f t="shared" ca="1" si="215"/>
        <v>0</v>
      </c>
      <c r="AA81" s="168">
        <f t="shared" ca="1" si="207"/>
        <v>0</v>
      </c>
      <c r="AB81" s="168">
        <f t="shared" ca="1" si="208"/>
        <v>0</v>
      </c>
      <c r="AC81" s="124">
        <f t="shared" ca="1" si="209"/>
        <v>0</v>
      </c>
      <c r="AD81" s="120">
        <f t="shared" ca="1" si="235"/>
        <v>-0.29041095890410956</v>
      </c>
      <c r="AE81" s="120">
        <f t="shared" ca="1" si="236"/>
        <v>20</v>
      </c>
      <c r="AF81" s="120"/>
      <c r="AG81" s="120"/>
      <c r="AH81" s="120">
        <f t="shared" ca="1" si="14"/>
        <v>0</v>
      </c>
      <c r="AI81" s="120"/>
      <c r="AJ81" s="120">
        <f t="shared" ca="1" si="15"/>
        <v>24.578662500000004</v>
      </c>
      <c r="AK81" s="120"/>
      <c r="AL81" s="147"/>
      <c r="AM81" s="160"/>
      <c r="AN81" s="160"/>
      <c r="AO81" s="160"/>
      <c r="AP81" s="160"/>
      <c r="AQ81" s="160"/>
      <c r="AR81" s="160"/>
      <c r="AS81" s="160"/>
      <c r="AT81" s="160"/>
      <c r="AU81" s="160"/>
      <c r="AV81" s="160"/>
      <c r="AW81" s="160"/>
      <c r="AX81" s="160"/>
      <c r="AY81" s="160"/>
      <c r="AZ81" s="160"/>
      <c r="BA81" s="160"/>
      <c r="BB81" s="160"/>
      <c r="BC81" s="160"/>
      <c r="BD81" s="160"/>
      <c r="BE81" s="160"/>
      <c r="BF81" s="160"/>
      <c r="BG81" s="160"/>
      <c r="BS81" s="13">
        <v>2</v>
      </c>
      <c r="BT81" s="128">
        <v>44491</v>
      </c>
      <c r="BU81" s="121" t="s">
        <v>8</v>
      </c>
      <c r="BV81" s="120" t="s">
        <v>482</v>
      </c>
      <c r="BW81" s="121" t="s">
        <v>502</v>
      </c>
      <c r="BX81" s="120">
        <v>18400</v>
      </c>
      <c r="BY81" s="120">
        <v>41.7</v>
      </c>
      <c r="BZ81" s="120">
        <v>47.945</v>
      </c>
      <c r="CA81" s="124">
        <v>-3216.6708800000001</v>
      </c>
      <c r="CB81" s="120">
        <v>1.1497601918465228</v>
      </c>
      <c r="CC81" s="120">
        <v>500</v>
      </c>
      <c r="CD81" s="120">
        <v>50</v>
      </c>
      <c r="CE81" s="124">
        <v>20850</v>
      </c>
    </row>
    <row r="82" spans="1:83" hidden="1">
      <c r="A82" s="13">
        <f t="shared" ca="1" si="28"/>
        <v>75</v>
      </c>
      <c r="B82" s="128">
        <v>44615</v>
      </c>
      <c r="C82" s="121" t="s">
        <v>8</v>
      </c>
      <c r="D82" s="121">
        <v>1</v>
      </c>
      <c r="E82" s="120" t="s">
        <v>482</v>
      </c>
      <c r="F82" s="121" t="s">
        <v>506</v>
      </c>
      <c r="G82" s="120">
        <v>32000</v>
      </c>
      <c r="H82" s="122">
        <v>44651</v>
      </c>
      <c r="I82" s="120">
        <v>25</v>
      </c>
      <c r="J82" s="120">
        <v>163.5</v>
      </c>
      <c r="K82" s="120">
        <v>1175.75</v>
      </c>
      <c r="L82" s="124">
        <f t="shared" ca="1" si="212"/>
        <v>0</v>
      </c>
      <c r="M82" s="124">
        <f t="shared" ca="1" si="213"/>
        <v>-25306.25</v>
      </c>
      <c r="N82" s="120">
        <f t="shared" ca="1" si="230"/>
        <v>7.1911314984709476</v>
      </c>
      <c r="O82" s="164">
        <f t="shared" ca="1" si="231"/>
        <v>204.375</v>
      </c>
      <c r="P82" s="168">
        <f t="shared" ca="1" si="20"/>
        <v>4087.5</v>
      </c>
      <c r="Q82" s="168" t="e">
        <f t="shared" ca="1" si="232"/>
        <v>#N/A</v>
      </c>
      <c r="R82" s="184">
        <f t="shared" ca="1" si="214"/>
        <v>0</v>
      </c>
      <c r="S82" s="124">
        <f t="shared" ca="1" si="233"/>
        <v>16.349999999999998</v>
      </c>
      <c r="T82" s="120">
        <f ca="1">VLOOKUP(TRIM($F82),Reference!B:C,2,0)</f>
        <v>34651.199999999997</v>
      </c>
      <c r="U82" s="125">
        <f t="shared" ca="1" si="234"/>
        <v>0</v>
      </c>
      <c r="V82" s="125" t="str">
        <f t="shared" ca="1" si="204"/>
        <v>BANKNIFTY22MAR32000PE</v>
      </c>
      <c r="W82" s="166" t="e">
        <f ca="1">VLOOKUP($V82,Reference!BA:BD,4,0)</f>
        <v>#N/A</v>
      </c>
      <c r="X82" s="168">
        <f t="shared" ca="1" si="205"/>
        <v>0</v>
      </c>
      <c r="Y82" s="168">
        <f t="shared" ca="1" si="206"/>
        <v>0</v>
      </c>
      <c r="Z82" s="168">
        <f t="shared" ca="1" si="215"/>
        <v>0</v>
      </c>
      <c r="AA82" s="168">
        <f t="shared" ca="1" si="207"/>
        <v>0</v>
      </c>
      <c r="AB82" s="168">
        <f t="shared" ca="1" si="208"/>
        <v>0</v>
      </c>
      <c r="AC82" s="124">
        <f t="shared" ca="1" si="209"/>
        <v>0</v>
      </c>
      <c r="AD82" s="120">
        <f t="shared" ca="1" si="235"/>
        <v>-0.29041095890410956</v>
      </c>
      <c r="AE82" s="120">
        <f t="shared" ca="1" si="236"/>
        <v>20</v>
      </c>
      <c r="AF82" s="120"/>
      <c r="AG82" s="120"/>
      <c r="AH82" s="120">
        <f t="shared" ca="1" si="14"/>
        <v>2.0437500000000002</v>
      </c>
      <c r="AI82" s="120"/>
      <c r="AJ82" s="120">
        <f t="shared" ca="1" si="15"/>
        <v>0</v>
      </c>
      <c r="AK82" s="120"/>
      <c r="AM82" s="161"/>
      <c r="AN82" s="161"/>
      <c r="AO82" s="161"/>
      <c r="AP82" s="161"/>
      <c r="AQ82" s="161"/>
      <c r="AR82" s="161"/>
      <c r="AS82" s="161"/>
      <c r="AT82" s="161"/>
      <c r="AU82" s="161"/>
      <c r="AV82" s="161"/>
      <c r="AW82" s="161"/>
      <c r="AX82" s="161"/>
      <c r="AY82" s="161"/>
      <c r="AZ82" s="161"/>
      <c r="BA82" s="161"/>
      <c r="BB82" s="161"/>
      <c r="BC82" s="161"/>
      <c r="BD82" s="161"/>
      <c r="BE82" s="161"/>
      <c r="BF82" s="161"/>
      <c r="BG82" s="161"/>
      <c r="BS82" s="11">
        <v>2</v>
      </c>
      <c r="BT82" s="11">
        <v>44491</v>
      </c>
      <c r="BU82" s="11" t="s">
        <v>8</v>
      </c>
      <c r="BV82" s="11" t="s">
        <v>482</v>
      </c>
      <c r="BW82" s="11" t="s">
        <v>502</v>
      </c>
      <c r="BX82" s="11">
        <v>18400</v>
      </c>
      <c r="BY82" s="11">
        <v>41.7</v>
      </c>
      <c r="BZ82" s="11">
        <v>47.945</v>
      </c>
      <c r="CA82" s="11">
        <v>-3216.6708800000001</v>
      </c>
      <c r="CB82" s="11">
        <v>1.1497601918465228</v>
      </c>
      <c r="CC82" s="11">
        <v>500</v>
      </c>
      <c r="CD82" s="11">
        <v>50</v>
      </c>
      <c r="CE82" s="11">
        <v>20850</v>
      </c>
    </row>
    <row r="83" spans="1:83" hidden="1">
      <c r="A83" s="13">
        <f t="shared" ca="1" si="28"/>
        <v>76</v>
      </c>
      <c r="B83" s="128">
        <v>44628</v>
      </c>
      <c r="C83" s="121" t="s">
        <v>8</v>
      </c>
      <c r="D83" s="121">
        <v>1</v>
      </c>
      <c r="E83" s="120" t="s">
        <v>482</v>
      </c>
      <c r="F83" s="121" t="s">
        <v>506</v>
      </c>
      <c r="G83" s="120">
        <v>31000</v>
      </c>
      <c r="H83" s="122">
        <v>44651</v>
      </c>
      <c r="I83" s="120">
        <v>50</v>
      </c>
      <c r="J83" s="120">
        <v>833.1</v>
      </c>
      <c r="K83" s="120">
        <v>108.75</v>
      </c>
      <c r="L83" s="124">
        <f t="shared" ca="1" si="212"/>
        <v>0</v>
      </c>
      <c r="M83" s="124">
        <f t="shared" ca="1" si="213"/>
        <v>36217.5</v>
      </c>
      <c r="N83" s="120">
        <f t="shared" ref="N83:N85" ca="1" si="237">K83/$J83</f>
        <v>0.13053655023406555</v>
      </c>
      <c r="O83" s="164">
        <f t="shared" ref="O83:O85" ca="1" si="238">J83*(1+$O$6*IF(C83="B",-1,1))</f>
        <v>1041.375</v>
      </c>
      <c r="P83" s="168">
        <f t="shared" ca="1" si="20"/>
        <v>41655</v>
      </c>
      <c r="Q83" s="168" t="e">
        <f t="shared" ref="Q83:Q85" ca="1" si="239">(W83-J83)*I83*IF(C83="B",1,-1)*IF(K83=0,1,0)</f>
        <v>#N/A</v>
      </c>
      <c r="R83" s="184">
        <f t="shared" ca="1" si="214"/>
        <v>0</v>
      </c>
      <c r="S83" s="124">
        <f t="shared" ref="S83:S85" ca="1" si="240">(1-$S$6)*J83</f>
        <v>83.309999999999988</v>
      </c>
      <c r="T83" s="120">
        <f ca="1">VLOOKUP(TRIM($F83),Reference!B:C,2,0)</f>
        <v>34651.199999999997</v>
      </c>
      <c r="U83" s="125">
        <f t="shared" ref="U83:U85" ca="1" si="241">AC83</f>
        <v>0</v>
      </c>
      <c r="V83" s="125" t="str">
        <f t="shared" ca="1" si="204"/>
        <v>BANKNIFTY22MAR31000PE</v>
      </c>
      <c r="W83" s="166" t="e">
        <f ca="1">VLOOKUP($V83,Reference!BA:BD,4,0)</f>
        <v>#N/A</v>
      </c>
      <c r="X83" s="168">
        <f t="shared" ca="1" si="205"/>
        <v>0</v>
      </c>
      <c r="Y83" s="168">
        <f t="shared" ca="1" si="206"/>
        <v>0</v>
      </c>
      <c r="Z83" s="168">
        <f t="shared" ca="1" si="215"/>
        <v>0</v>
      </c>
      <c r="AA83" s="168">
        <f t="shared" ca="1" si="207"/>
        <v>0</v>
      </c>
      <c r="AB83" s="168">
        <f t="shared" ca="1" si="208"/>
        <v>0</v>
      </c>
      <c r="AC83" s="124">
        <f t="shared" ca="1" si="209"/>
        <v>0</v>
      </c>
      <c r="AD83" s="120">
        <f t="shared" ref="AD83:AD85" ca="1" si="242">(H83-TODAY())/365</f>
        <v>-0.29041095890410956</v>
      </c>
      <c r="AE83" s="120">
        <f t="shared" ref="AE83:AE85" ca="1" si="243">IF(I83&lt;&gt;0,20,0)</f>
        <v>20</v>
      </c>
      <c r="AF83" s="120"/>
      <c r="AG83" s="120"/>
      <c r="AH83" s="120">
        <f t="shared" ca="1" si="14"/>
        <v>20.827500000000001</v>
      </c>
      <c r="AI83" s="120"/>
      <c r="AJ83" s="120">
        <f t="shared" ca="1" si="15"/>
        <v>0</v>
      </c>
      <c r="AK83" s="120"/>
      <c r="AM83" s="161"/>
      <c r="AN83" s="161"/>
      <c r="AO83" s="161"/>
      <c r="AP83" s="161"/>
      <c r="AQ83" s="161"/>
      <c r="AR83" s="161"/>
      <c r="AS83" s="161"/>
      <c r="AT83" s="161"/>
      <c r="AU83" s="161"/>
      <c r="AV83" s="161"/>
      <c r="AW83" s="161"/>
      <c r="AX83" s="161"/>
      <c r="AY83" s="161"/>
      <c r="AZ83" s="161"/>
      <c r="BA83" s="161"/>
      <c r="BB83" s="161"/>
      <c r="BC83" s="161"/>
      <c r="BD83" s="161"/>
      <c r="BE83" s="161"/>
      <c r="BF83" s="161"/>
      <c r="BG83" s="161"/>
      <c r="BS83" s="11">
        <v>2</v>
      </c>
      <c r="BT83" s="11">
        <v>44491</v>
      </c>
      <c r="BU83" s="11" t="s">
        <v>8</v>
      </c>
      <c r="BV83" s="11" t="s">
        <v>482</v>
      </c>
      <c r="BW83" s="11" t="s">
        <v>502</v>
      </c>
      <c r="BX83" s="11">
        <v>18400</v>
      </c>
      <c r="BY83" s="11">
        <v>41.7</v>
      </c>
      <c r="BZ83" s="11">
        <v>47.945</v>
      </c>
      <c r="CA83" s="11">
        <v>-3216.6708800000001</v>
      </c>
      <c r="CB83" s="11">
        <v>1.1497601918465228</v>
      </c>
      <c r="CC83" s="11">
        <v>500</v>
      </c>
      <c r="CD83" s="11">
        <v>50</v>
      </c>
      <c r="CE83" s="11">
        <v>20850</v>
      </c>
    </row>
    <row r="84" spans="1:83" hidden="1">
      <c r="A84" s="13">
        <f t="shared" ca="1" si="28"/>
        <v>77</v>
      </c>
      <c r="B84" s="128">
        <v>44629</v>
      </c>
      <c r="C84" s="121" t="s">
        <v>8</v>
      </c>
      <c r="D84" s="121">
        <v>1</v>
      </c>
      <c r="E84" s="120" t="s">
        <v>481</v>
      </c>
      <c r="F84" s="121" t="s">
        <v>90</v>
      </c>
      <c r="G84" s="120">
        <v>4000</v>
      </c>
      <c r="H84" s="122">
        <v>44651</v>
      </c>
      <c r="I84" s="120">
        <v>150</v>
      </c>
      <c r="J84" s="120">
        <v>13</v>
      </c>
      <c r="K84" s="120">
        <v>0.05</v>
      </c>
      <c r="L84" s="124">
        <f t="shared" ca="1" si="212"/>
        <v>0</v>
      </c>
      <c r="M84" s="124">
        <f t="shared" ca="1" si="213"/>
        <v>1942.5</v>
      </c>
      <c r="N84" s="120">
        <f t="shared" ca="1" si="237"/>
        <v>3.8461538461538464E-3</v>
      </c>
      <c r="O84" s="164">
        <f t="shared" ca="1" si="238"/>
        <v>16.25</v>
      </c>
      <c r="P84" s="168">
        <f t="shared" ca="1" si="20"/>
        <v>1950</v>
      </c>
      <c r="Q84" s="168" t="e">
        <f t="shared" ca="1" si="239"/>
        <v>#N/A</v>
      </c>
      <c r="R84" s="184">
        <f t="shared" ca="1" si="214"/>
        <v>0</v>
      </c>
      <c r="S84" s="124">
        <f t="shared" ca="1" si="240"/>
        <v>1.2999999999999998</v>
      </c>
      <c r="T84" s="120">
        <f ca="1">VLOOKUP(TRIM($F84),Reference!B:C,2,0)</f>
        <v>3003</v>
      </c>
      <c r="U84" s="125">
        <f t="shared" ca="1" si="241"/>
        <v>0</v>
      </c>
      <c r="V84" s="125" t="str">
        <f t="shared" ca="1" si="204"/>
        <v>TCS22MAR4000CE</v>
      </c>
      <c r="W84" s="166" t="e">
        <f ca="1">VLOOKUP($V84,Reference!BA:BD,4,0)</f>
        <v>#N/A</v>
      </c>
      <c r="X84" s="168">
        <f t="shared" ca="1" si="205"/>
        <v>0</v>
      </c>
      <c r="Y84" s="168">
        <f t="shared" ca="1" si="206"/>
        <v>0</v>
      </c>
      <c r="Z84" s="168">
        <f t="shared" ca="1" si="215"/>
        <v>0</v>
      </c>
      <c r="AA84" s="168">
        <f t="shared" ca="1" si="207"/>
        <v>0</v>
      </c>
      <c r="AB84" s="168">
        <f t="shared" ca="1" si="208"/>
        <v>0</v>
      </c>
      <c r="AC84" s="124">
        <f t="shared" ca="1" si="209"/>
        <v>0</v>
      </c>
      <c r="AD84" s="120">
        <f t="shared" ca="1" si="242"/>
        <v>-0.29041095890410956</v>
      </c>
      <c r="AE84" s="120">
        <f t="shared" ca="1" si="243"/>
        <v>20</v>
      </c>
      <c r="AF84" s="120"/>
      <c r="AG84" s="120"/>
      <c r="AH84" s="120">
        <f t="shared" ca="1" si="14"/>
        <v>0.97499999999999998</v>
      </c>
      <c r="AI84" s="120"/>
      <c r="AJ84" s="120">
        <f t="shared" ca="1" si="15"/>
        <v>0</v>
      </c>
      <c r="AK84" s="120"/>
      <c r="AM84" s="161"/>
      <c r="AN84" s="161"/>
      <c r="AO84" s="161"/>
      <c r="AP84" s="161"/>
      <c r="AQ84" s="161"/>
      <c r="AR84" s="161"/>
      <c r="AS84" s="161"/>
      <c r="AT84" s="161"/>
      <c r="AU84" s="161"/>
      <c r="AV84" s="161"/>
      <c r="AW84" s="161"/>
      <c r="AX84" s="161"/>
      <c r="AY84" s="161"/>
      <c r="AZ84" s="161"/>
      <c r="BA84" s="161"/>
      <c r="BB84" s="161"/>
      <c r="BC84" s="161"/>
      <c r="BD84" s="161"/>
      <c r="BE84" s="161"/>
      <c r="BF84" s="161"/>
      <c r="BG84" s="161"/>
      <c r="BS84" s="11">
        <v>2</v>
      </c>
      <c r="BT84" s="11">
        <v>44491</v>
      </c>
      <c r="BU84" s="11" t="s">
        <v>8</v>
      </c>
      <c r="BV84" s="11" t="s">
        <v>482</v>
      </c>
      <c r="BW84" s="11" t="s">
        <v>502</v>
      </c>
      <c r="BX84" s="11">
        <v>18400</v>
      </c>
      <c r="BY84" s="11">
        <v>41.7</v>
      </c>
      <c r="BZ84" s="11">
        <v>47.945</v>
      </c>
      <c r="CA84" s="11">
        <v>-3216.6708800000001</v>
      </c>
      <c r="CB84" s="11">
        <v>1.1497601918465228</v>
      </c>
      <c r="CC84" s="11">
        <v>500</v>
      </c>
      <c r="CD84" s="11">
        <v>50</v>
      </c>
      <c r="CE84" s="11">
        <v>20850</v>
      </c>
    </row>
    <row r="85" spans="1:83" hidden="1">
      <c r="A85" s="13">
        <f t="shared" ref="A85:A159" ca="1" si="244">A84+1</f>
        <v>78</v>
      </c>
      <c r="B85" s="128">
        <v>44629</v>
      </c>
      <c r="C85" s="121" t="s">
        <v>6</v>
      </c>
      <c r="D85" s="121">
        <v>1</v>
      </c>
      <c r="E85" s="120" t="s">
        <v>632</v>
      </c>
      <c r="F85" s="121" t="s">
        <v>90</v>
      </c>
      <c r="G85" s="120"/>
      <c r="H85" s="122">
        <v>44651</v>
      </c>
      <c r="I85" s="120">
        <v>150</v>
      </c>
      <c r="J85" s="120">
        <v>3650.2</v>
      </c>
      <c r="K85" s="120">
        <v>3681.95</v>
      </c>
      <c r="L85" s="124">
        <f t="shared" ca="1" si="212"/>
        <v>0</v>
      </c>
      <c r="M85" s="124">
        <f t="shared" ca="1" si="213"/>
        <v>4762.5</v>
      </c>
      <c r="N85" s="120">
        <f t="shared" ca="1" si="237"/>
        <v>1.0086981535258341</v>
      </c>
      <c r="O85" s="164">
        <f t="shared" ca="1" si="238"/>
        <v>2737.6499999999996</v>
      </c>
      <c r="P85" s="168">
        <f t="shared" ref="P85:P159" ca="1" si="245">$J85*$I85*$D85</f>
        <v>547530</v>
      </c>
      <c r="Q85" s="168" t="e">
        <f t="shared" ca="1" si="239"/>
        <v>#N/A</v>
      </c>
      <c r="R85" s="184">
        <f t="shared" ca="1" si="214"/>
        <v>0</v>
      </c>
      <c r="S85" s="124">
        <f t="shared" ca="1" si="240"/>
        <v>365.01999999999992</v>
      </c>
      <c r="T85" s="120">
        <f ca="1">VLOOKUP(TRIM($F85),Reference!B:C,2,0)</f>
        <v>3003</v>
      </c>
      <c r="U85" s="181">
        <f t="shared" ca="1" si="241"/>
        <v>0</v>
      </c>
      <c r="V85" s="125" t="str">
        <f t="shared" ca="1" si="204"/>
        <v>TCS22MARFUT</v>
      </c>
      <c r="W85" s="166" t="e">
        <f ca="1">VLOOKUP($V85,Reference!BA:BD,4,0)</f>
        <v>#N/A</v>
      </c>
      <c r="X85" s="168">
        <f t="shared" ca="1" si="205"/>
        <v>0</v>
      </c>
      <c r="Y85" s="168">
        <f t="shared" ca="1" si="206"/>
        <v>0</v>
      </c>
      <c r="Z85" s="168">
        <f t="shared" ca="1" si="215"/>
        <v>0</v>
      </c>
      <c r="AA85" s="168">
        <f t="shared" ca="1" si="207"/>
        <v>0</v>
      </c>
      <c r="AB85" s="168">
        <f t="shared" ca="1" si="208"/>
        <v>0</v>
      </c>
      <c r="AC85" s="124">
        <f t="shared" ca="1" si="209"/>
        <v>0</v>
      </c>
      <c r="AD85" s="120">
        <f t="shared" ca="1" si="242"/>
        <v>-0.29041095890410956</v>
      </c>
      <c r="AE85" s="120">
        <f t="shared" ca="1" si="243"/>
        <v>20</v>
      </c>
      <c r="AF85" s="120"/>
      <c r="AG85" s="120"/>
      <c r="AH85" s="120">
        <f t="shared" ref="AH85:AH159" ca="1" si="246">0.05%*$P85*(IF($C85="B",0,1))</f>
        <v>0</v>
      </c>
      <c r="AI85" s="120"/>
      <c r="AJ85" s="120">
        <f t="shared" ref="AJ85:AJ159" ca="1" si="247">300/10000000*$P85*(IF($C85="B",1,0))</f>
        <v>16.425900000000002</v>
      </c>
      <c r="AK85" s="120"/>
      <c r="AL85" s="147"/>
      <c r="AM85" s="160"/>
      <c r="AN85" s="160"/>
      <c r="AO85" s="160"/>
      <c r="AP85" s="160"/>
      <c r="AQ85" s="160"/>
      <c r="AR85" s="160"/>
      <c r="AS85" s="160"/>
      <c r="AT85" s="160"/>
      <c r="AU85" s="160"/>
      <c r="AV85" s="160"/>
      <c r="AW85" s="160"/>
      <c r="AX85" s="160"/>
      <c r="AY85" s="160"/>
      <c r="AZ85" s="160"/>
      <c r="BA85" s="160"/>
      <c r="BB85" s="160"/>
      <c r="BC85" s="160"/>
      <c r="BD85" s="160"/>
      <c r="BE85" s="160"/>
      <c r="BF85" s="160"/>
      <c r="BG85" s="160"/>
      <c r="BS85" s="13">
        <v>2</v>
      </c>
      <c r="BT85" s="128">
        <v>44491</v>
      </c>
      <c r="BU85" s="121" t="s">
        <v>8</v>
      </c>
      <c r="BV85" s="120" t="s">
        <v>482</v>
      </c>
      <c r="BW85" s="121" t="s">
        <v>502</v>
      </c>
      <c r="BX85" s="120">
        <v>18400</v>
      </c>
      <c r="BY85" s="120">
        <v>41.7</v>
      </c>
      <c r="BZ85" s="120">
        <v>47.945</v>
      </c>
      <c r="CA85" s="124">
        <v>-3216.6708800000001</v>
      </c>
      <c r="CB85" s="120">
        <v>1.1497601918465228</v>
      </c>
      <c r="CC85" s="120">
        <v>500</v>
      </c>
      <c r="CD85" s="120">
        <v>50</v>
      </c>
      <c r="CE85" s="124">
        <v>20850</v>
      </c>
    </row>
    <row r="86" spans="1:83" hidden="1">
      <c r="A86" s="13">
        <f t="shared" ca="1" si="28"/>
        <v>79</v>
      </c>
      <c r="B86" s="128">
        <v>44629</v>
      </c>
      <c r="C86" s="121" t="s">
        <v>8</v>
      </c>
      <c r="D86" s="121">
        <v>1</v>
      </c>
      <c r="E86" s="120" t="s">
        <v>481</v>
      </c>
      <c r="F86" s="121" t="s">
        <v>284</v>
      </c>
      <c r="G86" s="120">
        <v>480</v>
      </c>
      <c r="H86" s="122">
        <v>44651</v>
      </c>
      <c r="I86" s="120">
        <v>2850</v>
      </c>
      <c r="J86" s="120">
        <v>3.1</v>
      </c>
      <c r="K86" s="120">
        <v>0.05</v>
      </c>
      <c r="L86" s="124">
        <f t="shared" ca="1" si="212"/>
        <v>0</v>
      </c>
      <c r="M86" s="124">
        <f t="shared" ca="1" si="213"/>
        <v>8692.5</v>
      </c>
      <c r="N86" s="120">
        <f t="shared" ref="N86:N87" ca="1" si="248">K86/$J86</f>
        <v>1.6129032258064516E-2</v>
      </c>
      <c r="O86" s="164">
        <f t="shared" ref="O86:O87" ca="1" si="249">J86*(1+$O$6*IF(C86="B",-1,1))</f>
        <v>3.875</v>
      </c>
      <c r="P86" s="168">
        <f t="shared" ca="1" si="20"/>
        <v>8835</v>
      </c>
      <c r="Q86" s="168" t="e">
        <f t="shared" ref="Q86:Q87" ca="1" si="250">(W86-J86)*I86*IF(C86="B",1,-1)*IF(K86=0,1,0)</f>
        <v>#N/A</v>
      </c>
      <c r="R86" s="184">
        <f t="shared" ca="1" si="214"/>
        <v>0</v>
      </c>
      <c r="S86" s="124">
        <f t="shared" ref="S86:S87" ca="1" si="251">(1-$S$6)*J86</f>
        <v>0.30999999999999994</v>
      </c>
      <c r="T86" s="120">
        <f ca="1">VLOOKUP(TRIM($F86),Reference!B:C,2,0)</f>
        <v>428</v>
      </c>
      <c r="U86" s="125">
        <f t="shared" ref="U86:U87" ca="1" si="252">AC86</f>
        <v>0</v>
      </c>
      <c r="V86" s="125" t="str">
        <f t="shared" ca="1" si="204"/>
        <v>TATAMOTORS22MAR480CE</v>
      </c>
      <c r="W86" s="166" t="e">
        <f ca="1">VLOOKUP($V86,Reference!BA:BD,4,0)</f>
        <v>#N/A</v>
      </c>
      <c r="X86" s="168">
        <f t="shared" ca="1" si="205"/>
        <v>0</v>
      </c>
      <c r="Y86" s="168">
        <f t="shared" ca="1" si="206"/>
        <v>0</v>
      </c>
      <c r="Z86" s="168">
        <f t="shared" ca="1" si="215"/>
        <v>0</v>
      </c>
      <c r="AA86" s="168">
        <f t="shared" ca="1" si="207"/>
        <v>0</v>
      </c>
      <c r="AB86" s="168">
        <f t="shared" ca="1" si="208"/>
        <v>0</v>
      </c>
      <c r="AC86" s="124">
        <f t="shared" ca="1" si="209"/>
        <v>0</v>
      </c>
      <c r="AD86" s="120">
        <f t="shared" ref="AD86:AD87" ca="1" si="253">(H86-TODAY())/365</f>
        <v>-0.29041095890410956</v>
      </c>
      <c r="AE86" s="120">
        <f t="shared" ref="AE86:AE87" ca="1" si="254">IF(I86&lt;&gt;0,20,0)</f>
        <v>20</v>
      </c>
      <c r="AF86" s="120"/>
      <c r="AG86" s="120"/>
      <c r="AH86" s="120">
        <f t="shared" ca="1" si="14"/>
        <v>4.4175000000000004</v>
      </c>
      <c r="AI86" s="120"/>
      <c r="AJ86" s="120">
        <f t="shared" ca="1" si="15"/>
        <v>0</v>
      </c>
      <c r="AK86" s="120"/>
      <c r="AM86" s="161"/>
      <c r="AN86" s="161"/>
      <c r="AO86" s="161"/>
      <c r="AP86" s="161"/>
      <c r="AQ86" s="161"/>
      <c r="AR86" s="161"/>
      <c r="AS86" s="161"/>
      <c r="AT86" s="161"/>
      <c r="AU86" s="161"/>
      <c r="AV86" s="161"/>
      <c r="AW86" s="161"/>
      <c r="AX86" s="161"/>
      <c r="AY86" s="161"/>
      <c r="AZ86" s="161"/>
      <c r="BA86" s="161"/>
      <c r="BB86" s="161"/>
      <c r="BC86" s="161"/>
      <c r="BD86" s="161"/>
      <c r="BE86" s="161"/>
      <c r="BF86" s="161"/>
      <c r="BG86" s="161"/>
      <c r="BS86" s="11">
        <v>2</v>
      </c>
      <c r="BT86" s="11">
        <v>44491</v>
      </c>
      <c r="BU86" s="11" t="s">
        <v>8</v>
      </c>
      <c r="BV86" s="11" t="s">
        <v>482</v>
      </c>
      <c r="BW86" s="11" t="s">
        <v>502</v>
      </c>
      <c r="BX86" s="11">
        <v>18400</v>
      </c>
      <c r="BY86" s="11">
        <v>41.7</v>
      </c>
      <c r="BZ86" s="11">
        <v>47.945</v>
      </c>
      <c r="CA86" s="11">
        <v>-3216.6708800000001</v>
      </c>
      <c r="CB86" s="11">
        <v>1.1497601918465228</v>
      </c>
      <c r="CC86" s="11">
        <v>500</v>
      </c>
      <c r="CD86" s="11">
        <v>50</v>
      </c>
      <c r="CE86" s="11">
        <v>20850</v>
      </c>
    </row>
    <row r="87" spans="1:83" hidden="1">
      <c r="A87" s="13">
        <f t="shared" ca="1" si="244"/>
        <v>80</v>
      </c>
      <c r="B87" s="128">
        <v>44629</v>
      </c>
      <c r="C87" s="121" t="s">
        <v>6</v>
      </c>
      <c r="D87" s="121">
        <v>1</v>
      </c>
      <c r="E87" s="120" t="s">
        <v>632</v>
      </c>
      <c r="F87" s="121" t="s">
        <v>284</v>
      </c>
      <c r="G87" s="120"/>
      <c r="H87" s="122">
        <v>44651</v>
      </c>
      <c r="I87" s="120">
        <v>2850</v>
      </c>
      <c r="J87" s="120">
        <v>406.3</v>
      </c>
      <c r="K87" s="120">
        <v>408.53</v>
      </c>
      <c r="L87" s="124">
        <f t="shared" ca="1" si="212"/>
        <v>0</v>
      </c>
      <c r="M87" s="124">
        <f t="shared" ca="1" si="213"/>
        <v>6355.49999999989</v>
      </c>
      <c r="N87" s="120">
        <f t="shared" ca="1" si="248"/>
        <v>1.0054885552547377</v>
      </c>
      <c r="O87" s="164">
        <f t="shared" ca="1" si="249"/>
        <v>304.72500000000002</v>
      </c>
      <c r="P87" s="168">
        <f t="shared" ca="1" si="245"/>
        <v>1157955</v>
      </c>
      <c r="Q87" s="168" t="e">
        <f t="shared" ca="1" si="250"/>
        <v>#N/A</v>
      </c>
      <c r="R87" s="184">
        <f t="shared" ca="1" si="214"/>
        <v>0</v>
      </c>
      <c r="S87" s="124">
        <f t="shared" ca="1" si="251"/>
        <v>40.629999999999995</v>
      </c>
      <c r="T87" s="120">
        <f ca="1">VLOOKUP(TRIM($F87),Reference!B:C,2,0)</f>
        <v>428</v>
      </c>
      <c r="U87" s="181">
        <f t="shared" ca="1" si="252"/>
        <v>0</v>
      </c>
      <c r="V87" s="125" t="str">
        <f t="shared" ca="1" si="204"/>
        <v>TATAMOTORS22MARFUT</v>
      </c>
      <c r="W87" s="166" t="e">
        <f ca="1">VLOOKUP($V87,Reference!BA:BD,4,0)</f>
        <v>#N/A</v>
      </c>
      <c r="X87" s="168">
        <f t="shared" ca="1" si="205"/>
        <v>0</v>
      </c>
      <c r="Y87" s="168">
        <f t="shared" ca="1" si="206"/>
        <v>0</v>
      </c>
      <c r="Z87" s="168">
        <f t="shared" ca="1" si="215"/>
        <v>0</v>
      </c>
      <c r="AA87" s="168">
        <f t="shared" ca="1" si="207"/>
        <v>0</v>
      </c>
      <c r="AB87" s="168">
        <f t="shared" ca="1" si="208"/>
        <v>0</v>
      </c>
      <c r="AC87" s="124">
        <f t="shared" ca="1" si="209"/>
        <v>0</v>
      </c>
      <c r="AD87" s="120">
        <f t="shared" ca="1" si="253"/>
        <v>-0.29041095890410956</v>
      </c>
      <c r="AE87" s="120">
        <f t="shared" ca="1" si="254"/>
        <v>20</v>
      </c>
      <c r="AF87" s="120"/>
      <c r="AG87" s="120"/>
      <c r="AH87" s="120">
        <f t="shared" ca="1" si="246"/>
        <v>0</v>
      </c>
      <c r="AI87" s="120"/>
      <c r="AJ87" s="120">
        <f t="shared" ca="1" si="247"/>
        <v>34.73865</v>
      </c>
      <c r="AK87" s="120"/>
      <c r="AL87" s="147"/>
      <c r="AM87" s="160"/>
      <c r="AN87" s="160"/>
      <c r="AO87" s="160"/>
      <c r="AP87" s="160"/>
      <c r="AQ87" s="160"/>
      <c r="AR87" s="160"/>
      <c r="AS87" s="160"/>
      <c r="AT87" s="160"/>
      <c r="AU87" s="160"/>
      <c r="AV87" s="160"/>
      <c r="AW87" s="160"/>
      <c r="AX87" s="160"/>
      <c r="AY87" s="160"/>
      <c r="AZ87" s="160"/>
      <c r="BA87" s="160"/>
      <c r="BB87" s="160"/>
      <c r="BC87" s="160"/>
      <c r="BD87" s="160"/>
      <c r="BE87" s="160"/>
      <c r="BF87" s="160"/>
      <c r="BG87" s="160"/>
      <c r="BS87" s="13">
        <v>2</v>
      </c>
      <c r="BT87" s="128">
        <v>44491</v>
      </c>
      <c r="BU87" s="121" t="s">
        <v>8</v>
      </c>
      <c r="BV87" s="120" t="s">
        <v>482</v>
      </c>
      <c r="BW87" s="121" t="s">
        <v>502</v>
      </c>
      <c r="BX87" s="120">
        <v>18400</v>
      </c>
      <c r="BY87" s="120">
        <v>41.7</v>
      </c>
      <c r="BZ87" s="120">
        <v>47.945</v>
      </c>
      <c r="CA87" s="124">
        <v>-3216.6708800000001</v>
      </c>
      <c r="CB87" s="120">
        <v>1.1497601918465228</v>
      </c>
      <c r="CC87" s="120">
        <v>500</v>
      </c>
      <c r="CD87" s="120">
        <v>50</v>
      </c>
      <c r="CE87" s="124">
        <v>20850</v>
      </c>
    </row>
    <row r="88" spans="1:83" hidden="1">
      <c r="A88" s="13">
        <f t="shared" ca="1" si="244"/>
        <v>81</v>
      </c>
      <c r="B88" s="128">
        <v>44629</v>
      </c>
      <c r="C88" s="121" t="s">
        <v>6</v>
      </c>
      <c r="D88" s="121">
        <v>1</v>
      </c>
      <c r="E88" s="120" t="s">
        <v>632</v>
      </c>
      <c r="F88" s="121" t="s">
        <v>284</v>
      </c>
      <c r="G88" s="120"/>
      <c r="H88" s="122">
        <v>44651</v>
      </c>
      <c r="I88" s="120">
        <v>2850</v>
      </c>
      <c r="J88" s="120">
        <v>408.1</v>
      </c>
      <c r="K88" s="120">
        <v>430.4</v>
      </c>
      <c r="L88" s="124">
        <f t="shared" ca="1" si="212"/>
        <v>0</v>
      </c>
      <c r="M88" s="124">
        <f t="shared" ca="1" si="213"/>
        <v>63554.999999999869</v>
      </c>
      <c r="N88" s="120">
        <f t="shared" ref="N88:N90" ca="1" si="255">K88/$J88</f>
        <v>1.0546434697378093</v>
      </c>
      <c r="O88" s="164">
        <f t="shared" ref="O88:O90" ca="1" si="256">J88*(1+$O$6*IF(C88="B",-1,1))</f>
        <v>306.07500000000005</v>
      </c>
      <c r="P88" s="168">
        <f t="shared" ca="1" si="245"/>
        <v>1163085</v>
      </c>
      <c r="Q88" s="168" t="e">
        <f t="shared" ref="Q88:Q90" ca="1" si="257">(W88-J88)*I88*IF(C88="B",1,-1)*IF(K88=0,1,0)</f>
        <v>#N/A</v>
      </c>
      <c r="R88" s="184">
        <f t="shared" ca="1" si="214"/>
        <v>0</v>
      </c>
      <c r="S88" s="124">
        <f t="shared" ref="S88:S90" ca="1" si="258">(1-$S$6)*J88</f>
        <v>40.809999999999995</v>
      </c>
      <c r="T88" s="120">
        <f ca="1">VLOOKUP(TRIM($F88),Reference!B:C,2,0)</f>
        <v>428</v>
      </c>
      <c r="U88" s="181">
        <f t="shared" ref="U88:U90" ca="1" si="259">AC88</f>
        <v>0</v>
      </c>
      <c r="V88" s="125" t="str">
        <f t="shared" ca="1" si="204"/>
        <v>TATAMOTORS22MARFUT</v>
      </c>
      <c r="W88" s="166" t="e">
        <f ca="1">VLOOKUP($V88,Reference!BA:BD,4,0)</f>
        <v>#N/A</v>
      </c>
      <c r="X88" s="168">
        <f t="shared" ca="1" si="205"/>
        <v>0</v>
      </c>
      <c r="Y88" s="168">
        <f t="shared" ca="1" si="206"/>
        <v>0</v>
      </c>
      <c r="Z88" s="168">
        <f t="shared" ca="1" si="215"/>
        <v>0</v>
      </c>
      <c r="AA88" s="168">
        <f t="shared" ca="1" si="207"/>
        <v>0</v>
      </c>
      <c r="AB88" s="168">
        <f t="shared" ca="1" si="208"/>
        <v>0</v>
      </c>
      <c r="AC88" s="124">
        <f t="shared" ca="1" si="209"/>
        <v>0</v>
      </c>
      <c r="AD88" s="120">
        <f t="shared" ref="AD88:AD90" ca="1" si="260">(H88-TODAY())/365</f>
        <v>-0.29041095890410956</v>
      </c>
      <c r="AE88" s="120">
        <f t="shared" ref="AE88:AE90" ca="1" si="261">IF(I88&lt;&gt;0,20,0)</f>
        <v>20</v>
      </c>
      <c r="AF88" s="120"/>
      <c r="AG88" s="120"/>
      <c r="AH88" s="120">
        <f t="shared" ca="1" si="246"/>
        <v>0</v>
      </c>
      <c r="AI88" s="120"/>
      <c r="AJ88" s="120">
        <f t="shared" ca="1" si="247"/>
        <v>34.89255</v>
      </c>
      <c r="AK88" s="120"/>
      <c r="AL88" s="147"/>
      <c r="AM88" s="160"/>
      <c r="AN88" s="160"/>
      <c r="AO88" s="160"/>
      <c r="AP88" s="160"/>
      <c r="AQ88" s="160"/>
      <c r="AR88" s="160"/>
      <c r="AS88" s="160"/>
      <c r="AT88" s="160"/>
      <c r="AU88" s="160"/>
      <c r="AV88" s="160"/>
      <c r="AW88" s="160"/>
      <c r="AX88" s="160"/>
      <c r="AY88" s="160"/>
      <c r="AZ88" s="160"/>
      <c r="BA88" s="160"/>
      <c r="BB88" s="160"/>
      <c r="BC88" s="160"/>
      <c r="BD88" s="160"/>
      <c r="BE88" s="160"/>
      <c r="BF88" s="160"/>
      <c r="BG88" s="160"/>
      <c r="BS88" s="13">
        <v>2</v>
      </c>
      <c r="BT88" s="128">
        <v>44491</v>
      </c>
      <c r="BU88" s="121" t="s">
        <v>8</v>
      </c>
      <c r="BV88" s="120" t="s">
        <v>482</v>
      </c>
      <c r="BW88" s="121" t="s">
        <v>502</v>
      </c>
      <c r="BX88" s="120">
        <v>18400</v>
      </c>
      <c r="BY88" s="120">
        <v>41.7</v>
      </c>
      <c r="BZ88" s="120">
        <v>47.945</v>
      </c>
      <c r="CA88" s="124">
        <v>-3216.6708800000001</v>
      </c>
      <c r="CB88" s="120">
        <v>1.1497601918465228</v>
      </c>
      <c r="CC88" s="120">
        <v>500</v>
      </c>
      <c r="CD88" s="120">
        <v>50</v>
      </c>
      <c r="CE88" s="124">
        <v>20850</v>
      </c>
    </row>
    <row r="89" spans="1:83" hidden="1">
      <c r="A89" s="13">
        <f t="shared" ca="1" si="244"/>
        <v>82</v>
      </c>
      <c r="B89" s="128">
        <v>44635</v>
      </c>
      <c r="C89" s="121" t="s">
        <v>6</v>
      </c>
      <c r="D89" s="121">
        <v>1</v>
      </c>
      <c r="E89" s="120" t="s">
        <v>632</v>
      </c>
      <c r="F89" s="121" t="s">
        <v>126</v>
      </c>
      <c r="G89" s="120"/>
      <c r="H89" s="122">
        <v>44651</v>
      </c>
      <c r="I89" s="120">
        <v>3750</v>
      </c>
      <c r="J89" s="120">
        <v>221.5</v>
      </c>
      <c r="K89" s="120">
        <v>227</v>
      </c>
      <c r="L89" s="124">
        <f t="shared" ca="1" si="212"/>
        <v>0</v>
      </c>
      <c r="M89" s="124">
        <f t="shared" ca="1" si="213"/>
        <v>20625</v>
      </c>
      <c r="N89" s="120">
        <f t="shared" ca="1" si="255"/>
        <v>1.0248306997742664</v>
      </c>
      <c r="O89" s="164">
        <f t="shared" ca="1" si="256"/>
        <v>166.125</v>
      </c>
      <c r="P89" s="168">
        <f t="shared" ca="1" si="245"/>
        <v>830625</v>
      </c>
      <c r="Q89" s="168" t="e">
        <f t="shared" ca="1" si="257"/>
        <v>#N/A</v>
      </c>
      <c r="R89" s="184">
        <f t="shared" ca="1" si="214"/>
        <v>0</v>
      </c>
      <c r="S89" s="124">
        <f t="shared" ca="1" si="258"/>
        <v>22.149999999999995</v>
      </c>
      <c r="T89" s="120">
        <f ca="1">VLOOKUP(TRIM($F89),Reference!B:C,2,0)</f>
        <v>162.15</v>
      </c>
      <c r="U89" s="181">
        <f t="shared" ca="1" si="259"/>
        <v>0</v>
      </c>
      <c r="V89" s="125" t="str">
        <f t="shared" ca="1" si="204"/>
        <v>IEX22MARFUT</v>
      </c>
      <c r="W89" s="166" t="e">
        <f ca="1">VLOOKUP($V89,Reference!BA:BD,4,0)</f>
        <v>#N/A</v>
      </c>
      <c r="X89" s="168">
        <f t="shared" ca="1" si="205"/>
        <v>0</v>
      </c>
      <c r="Y89" s="168">
        <f t="shared" ca="1" si="206"/>
        <v>0</v>
      </c>
      <c r="Z89" s="168">
        <f t="shared" ca="1" si="215"/>
        <v>0</v>
      </c>
      <c r="AA89" s="168">
        <f t="shared" ca="1" si="207"/>
        <v>0</v>
      </c>
      <c r="AB89" s="168">
        <f t="shared" ca="1" si="208"/>
        <v>0</v>
      </c>
      <c r="AC89" s="124">
        <f t="shared" ca="1" si="209"/>
        <v>0</v>
      </c>
      <c r="AD89" s="120">
        <f t="shared" ca="1" si="260"/>
        <v>-0.29041095890410956</v>
      </c>
      <c r="AE89" s="120">
        <f t="shared" ca="1" si="261"/>
        <v>20</v>
      </c>
      <c r="AF89" s="120"/>
      <c r="AG89" s="120"/>
      <c r="AH89" s="120">
        <f t="shared" ca="1" si="246"/>
        <v>0</v>
      </c>
      <c r="AI89" s="120"/>
      <c r="AJ89" s="120">
        <f t="shared" ca="1" si="247"/>
        <v>24.918749999999999</v>
      </c>
      <c r="AK89" s="120"/>
      <c r="AL89" s="147"/>
      <c r="AM89" s="160"/>
      <c r="AN89" s="160"/>
      <c r="AO89" s="160"/>
      <c r="AP89" s="160"/>
      <c r="AQ89" s="160"/>
      <c r="AR89" s="160"/>
      <c r="AS89" s="160"/>
      <c r="AT89" s="160"/>
      <c r="AU89" s="160"/>
      <c r="AV89" s="160"/>
      <c r="AW89" s="160"/>
      <c r="AX89" s="160"/>
      <c r="AY89" s="160"/>
      <c r="AZ89" s="160"/>
      <c r="BA89" s="160"/>
      <c r="BB89" s="160"/>
      <c r="BC89" s="160"/>
      <c r="BD89" s="160"/>
      <c r="BE89" s="160"/>
      <c r="BF89" s="160"/>
      <c r="BG89" s="160"/>
      <c r="BS89" s="13">
        <v>2</v>
      </c>
      <c r="BT89" s="128">
        <v>44491</v>
      </c>
      <c r="BU89" s="121" t="s">
        <v>8</v>
      </c>
      <c r="BV89" s="120" t="s">
        <v>482</v>
      </c>
      <c r="BW89" s="121" t="s">
        <v>502</v>
      </c>
      <c r="BX89" s="120">
        <v>18400</v>
      </c>
      <c r="BY89" s="120">
        <v>41.7</v>
      </c>
      <c r="BZ89" s="120">
        <v>47.945</v>
      </c>
      <c r="CA89" s="124">
        <v>-3216.6708800000001</v>
      </c>
      <c r="CB89" s="120">
        <v>1.1497601918465228</v>
      </c>
      <c r="CC89" s="120">
        <v>500</v>
      </c>
      <c r="CD89" s="120">
        <v>50</v>
      </c>
      <c r="CE89" s="124">
        <v>20850</v>
      </c>
    </row>
    <row r="90" spans="1:83" hidden="1">
      <c r="A90" s="13">
        <f t="shared" ca="1" si="244"/>
        <v>83</v>
      </c>
      <c r="B90" s="128">
        <v>44635</v>
      </c>
      <c r="C90" s="121" t="s">
        <v>6</v>
      </c>
      <c r="D90" s="121">
        <v>1</v>
      </c>
      <c r="E90" s="120" t="s">
        <v>632</v>
      </c>
      <c r="F90" s="121" t="s">
        <v>506</v>
      </c>
      <c r="G90" s="120"/>
      <c r="H90" s="122">
        <v>44651</v>
      </c>
      <c r="I90" s="120">
        <v>25</v>
      </c>
      <c r="J90" s="120">
        <v>35050</v>
      </c>
      <c r="K90" s="120">
        <v>35700</v>
      </c>
      <c r="L90" s="124">
        <f t="shared" ca="1" si="212"/>
        <v>0</v>
      </c>
      <c r="M90" s="124">
        <f t="shared" ca="1" si="213"/>
        <v>16250</v>
      </c>
      <c r="N90" s="120">
        <f t="shared" ca="1" si="255"/>
        <v>1.0185449358059915</v>
      </c>
      <c r="O90" s="164">
        <f t="shared" ca="1" si="256"/>
        <v>26287.5</v>
      </c>
      <c r="P90" s="168">
        <f t="shared" ca="1" si="245"/>
        <v>876250</v>
      </c>
      <c r="Q90" s="168" t="e">
        <f t="shared" ca="1" si="257"/>
        <v>#N/A</v>
      </c>
      <c r="R90" s="184">
        <f t="shared" ca="1" si="214"/>
        <v>0</v>
      </c>
      <c r="S90" s="124">
        <f t="shared" ca="1" si="258"/>
        <v>3504.9999999999991</v>
      </c>
      <c r="T90" s="120">
        <f ca="1">VLOOKUP(TRIM($F90),Reference!B:C,2,0)</f>
        <v>34651.199999999997</v>
      </c>
      <c r="U90" s="181">
        <f t="shared" ca="1" si="259"/>
        <v>0</v>
      </c>
      <c r="V90" s="125" t="str">
        <f t="shared" ca="1" si="204"/>
        <v>BANKNIFTY22MARFUT</v>
      </c>
      <c r="W90" s="166" t="e">
        <f ca="1">VLOOKUP($V90,Reference!BA:BD,4,0)</f>
        <v>#N/A</v>
      </c>
      <c r="X90" s="168">
        <f t="shared" ca="1" si="205"/>
        <v>0</v>
      </c>
      <c r="Y90" s="168">
        <f t="shared" ca="1" si="206"/>
        <v>0</v>
      </c>
      <c r="Z90" s="168">
        <f t="shared" ca="1" si="215"/>
        <v>0</v>
      </c>
      <c r="AA90" s="168">
        <f t="shared" ca="1" si="207"/>
        <v>0</v>
      </c>
      <c r="AB90" s="168">
        <f t="shared" ca="1" si="208"/>
        <v>0</v>
      </c>
      <c r="AC90" s="124">
        <f t="shared" ca="1" si="209"/>
        <v>0</v>
      </c>
      <c r="AD90" s="120">
        <f t="shared" ca="1" si="260"/>
        <v>-0.29041095890410956</v>
      </c>
      <c r="AE90" s="120">
        <f t="shared" ca="1" si="261"/>
        <v>20</v>
      </c>
      <c r="AF90" s="120"/>
      <c r="AG90" s="120"/>
      <c r="AH90" s="120">
        <f t="shared" ca="1" si="246"/>
        <v>0</v>
      </c>
      <c r="AI90" s="120"/>
      <c r="AJ90" s="120">
        <f t="shared" ca="1" si="247"/>
        <v>26.287500000000001</v>
      </c>
      <c r="AK90" s="120"/>
      <c r="AL90" s="147"/>
      <c r="AM90" s="160"/>
      <c r="AN90" s="160"/>
      <c r="AO90" s="160"/>
      <c r="AP90" s="160"/>
      <c r="AQ90" s="160"/>
      <c r="AR90" s="160"/>
      <c r="AS90" s="160"/>
      <c r="AT90" s="160"/>
      <c r="AU90" s="160"/>
      <c r="AV90" s="160"/>
      <c r="AW90" s="160"/>
      <c r="AX90" s="160"/>
      <c r="AY90" s="160"/>
      <c r="AZ90" s="160"/>
      <c r="BA90" s="160"/>
      <c r="BB90" s="160"/>
      <c r="BC90" s="160"/>
      <c r="BD90" s="160"/>
      <c r="BE90" s="160"/>
      <c r="BF90" s="160"/>
      <c r="BG90" s="160"/>
      <c r="BS90" s="13">
        <v>2</v>
      </c>
      <c r="BT90" s="128">
        <v>44491</v>
      </c>
      <c r="BU90" s="121" t="s">
        <v>8</v>
      </c>
      <c r="BV90" s="120" t="s">
        <v>482</v>
      </c>
      <c r="BW90" s="121" t="s">
        <v>502</v>
      </c>
      <c r="BX90" s="120">
        <v>18400</v>
      </c>
      <c r="BY90" s="120">
        <v>41.7</v>
      </c>
      <c r="BZ90" s="120">
        <v>47.945</v>
      </c>
      <c r="CA90" s="124">
        <v>-3216.6708800000001</v>
      </c>
      <c r="CB90" s="120">
        <v>1.1497601918465228</v>
      </c>
      <c r="CC90" s="120">
        <v>500</v>
      </c>
      <c r="CD90" s="120">
        <v>50</v>
      </c>
      <c r="CE90" s="124">
        <v>20850</v>
      </c>
    </row>
    <row r="91" spans="1:83" hidden="1">
      <c r="A91" s="13">
        <f t="shared" ca="1" si="244"/>
        <v>84</v>
      </c>
      <c r="B91" s="128">
        <v>44635</v>
      </c>
      <c r="C91" s="121" t="s">
        <v>6</v>
      </c>
      <c r="D91" s="121">
        <v>1</v>
      </c>
      <c r="E91" s="120" t="s">
        <v>632</v>
      </c>
      <c r="F91" s="121" t="s">
        <v>502</v>
      </c>
      <c r="G91" s="120"/>
      <c r="H91" s="122">
        <v>44651</v>
      </c>
      <c r="I91" s="120">
        <v>50</v>
      </c>
      <c r="J91" s="120">
        <v>16674</v>
      </c>
      <c r="K91" s="120">
        <v>17442.650000000001</v>
      </c>
      <c r="L91" s="124">
        <f t="shared" ca="1" si="212"/>
        <v>0</v>
      </c>
      <c r="M91" s="124">
        <f t="shared" ca="1" si="213"/>
        <v>38432.500000000073</v>
      </c>
      <c r="N91" s="120">
        <f t="shared" ref="N91:N93" ca="1" si="262">K91/$J91</f>
        <v>1.0460987165647115</v>
      </c>
      <c r="O91" s="164">
        <f t="shared" ref="O91:O93" ca="1" si="263">J91*(1+$O$6*IF(C91="B",-1,1))</f>
        <v>12505.5</v>
      </c>
      <c r="P91" s="168">
        <f t="shared" ca="1" si="245"/>
        <v>833700</v>
      </c>
      <c r="Q91" s="168" t="e">
        <f t="shared" ref="Q91:Q93" ca="1" si="264">(W91-J91)*I91*IF(C91="B",1,-1)*IF(K91=0,1,0)</f>
        <v>#N/A</v>
      </c>
      <c r="R91" s="184">
        <f t="shared" ca="1" si="214"/>
        <v>0</v>
      </c>
      <c r="S91" s="124">
        <f t="shared" ref="S91:S93" ca="1" si="265">(1-$S$6)*J91</f>
        <v>1667.3999999999996</v>
      </c>
      <c r="T91" s="120">
        <f ca="1">VLOOKUP(TRIM($F91),Reference!B:C,2,0)</f>
        <v>15938.65</v>
      </c>
      <c r="U91" s="181">
        <f t="shared" ref="U91:U93" ca="1" si="266">AC91</f>
        <v>0</v>
      </c>
      <c r="V91" s="125" t="str">
        <f t="shared" ca="1" si="204"/>
        <v>NIFTY22MARFUT</v>
      </c>
      <c r="W91" s="166" t="e">
        <f ca="1">VLOOKUP($V91,Reference!BA:BD,4,0)</f>
        <v>#N/A</v>
      </c>
      <c r="X91" s="168">
        <f t="shared" ca="1" si="205"/>
        <v>0</v>
      </c>
      <c r="Y91" s="168">
        <f t="shared" ca="1" si="206"/>
        <v>0</v>
      </c>
      <c r="Z91" s="168">
        <f t="shared" ca="1" si="215"/>
        <v>0</v>
      </c>
      <c r="AA91" s="168">
        <f t="shared" ca="1" si="207"/>
        <v>0</v>
      </c>
      <c r="AB91" s="168">
        <f t="shared" ca="1" si="208"/>
        <v>0</v>
      </c>
      <c r="AC91" s="124">
        <f t="shared" ca="1" si="209"/>
        <v>0</v>
      </c>
      <c r="AD91" s="120">
        <f t="shared" ref="AD91:AD93" ca="1" si="267">(H91-TODAY())/365</f>
        <v>-0.29041095890410956</v>
      </c>
      <c r="AE91" s="120">
        <f t="shared" ref="AE91:AE93" ca="1" si="268">IF(I91&lt;&gt;0,20,0)</f>
        <v>20</v>
      </c>
      <c r="AF91" s="120"/>
      <c r="AG91" s="120"/>
      <c r="AH91" s="120">
        <f t="shared" ca="1" si="246"/>
        <v>0</v>
      </c>
      <c r="AI91" s="120"/>
      <c r="AJ91" s="120">
        <f t="shared" ca="1" si="247"/>
        <v>25.010999999999999</v>
      </c>
      <c r="AK91" s="120"/>
      <c r="AL91" s="147"/>
      <c r="AM91" s="160"/>
      <c r="AN91" s="160"/>
      <c r="AO91" s="160"/>
      <c r="AP91" s="160"/>
      <c r="AQ91" s="160"/>
      <c r="AR91" s="160"/>
      <c r="AS91" s="160"/>
      <c r="AT91" s="160"/>
      <c r="AU91" s="160"/>
      <c r="AV91" s="160"/>
      <c r="AW91" s="160"/>
      <c r="AX91" s="160"/>
      <c r="AY91" s="160"/>
      <c r="AZ91" s="160"/>
      <c r="BA91" s="160"/>
      <c r="BB91" s="160"/>
      <c r="BC91" s="160"/>
      <c r="BD91" s="160"/>
      <c r="BE91" s="160"/>
      <c r="BF91" s="160"/>
      <c r="BG91" s="160"/>
      <c r="BS91" s="13">
        <v>2</v>
      </c>
      <c r="BT91" s="128">
        <v>44491</v>
      </c>
      <c r="BU91" s="121" t="s">
        <v>8</v>
      </c>
      <c r="BV91" s="120" t="s">
        <v>482</v>
      </c>
      <c r="BW91" s="121" t="s">
        <v>502</v>
      </c>
      <c r="BX91" s="120">
        <v>18400</v>
      </c>
      <c r="BY91" s="120">
        <v>41.7</v>
      </c>
      <c r="BZ91" s="120">
        <v>47.945</v>
      </c>
      <c r="CA91" s="124">
        <v>-3216.6708800000001</v>
      </c>
      <c r="CB91" s="120">
        <v>1.1497601918465228</v>
      </c>
      <c r="CC91" s="120">
        <v>500</v>
      </c>
      <c r="CD91" s="120">
        <v>50</v>
      </c>
      <c r="CE91" s="124">
        <v>20850</v>
      </c>
    </row>
    <row r="92" spans="1:83" hidden="1">
      <c r="A92" s="13">
        <f t="shared" ca="1" si="244"/>
        <v>85</v>
      </c>
      <c r="B92" s="128">
        <v>44636</v>
      </c>
      <c r="C92" s="121" t="s">
        <v>6</v>
      </c>
      <c r="D92" s="121">
        <v>1</v>
      </c>
      <c r="E92" s="120" t="s">
        <v>632</v>
      </c>
      <c r="F92" s="121" t="s">
        <v>506</v>
      </c>
      <c r="G92" s="120"/>
      <c r="H92" s="122">
        <v>44651</v>
      </c>
      <c r="I92" s="120">
        <v>25</v>
      </c>
      <c r="J92" s="120">
        <v>35675</v>
      </c>
      <c r="K92" s="120">
        <v>35730</v>
      </c>
      <c r="L92" s="124">
        <f t="shared" ca="1" si="212"/>
        <v>0</v>
      </c>
      <c r="M92" s="124">
        <f t="shared" ca="1" si="213"/>
        <v>1375</v>
      </c>
      <c r="N92" s="120">
        <f t="shared" ca="1" si="262"/>
        <v>1.0015416958654519</v>
      </c>
      <c r="O92" s="164">
        <f t="shared" ca="1" si="263"/>
        <v>26756.25</v>
      </c>
      <c r="P92" s="168">
        <f t="shared" ca="1" si="245"/>
        <v>891875</v>
      </c>
      <c r="Q92" s="168" t="e">
        <f t="shared" ca="1" si="264"/>
        <v>#N/A</v>
      </c>
      <c r="R92" s="184">
        <f t="shared" ca="1" si="214"/>
        <v>0</v>
      </c>
      <c r="S92" s="124">
        <f t="shared" ca="1" si="265"/>
        <v>3567.4999999999991</v>
      </c>
      <c r="T92" s="120">
        <f ca="1">VLOOKUP(TRIM($F92),Reference!B:C,2,0)</f>
        <v>34651.199999999997</v>
      </c>
      <c r="U92" s="181">
        <f t="shared" ca="1" si="266"/>
        <v>0</v>
      </c>
      <c r="V92" s="125" t="str">
        <f t="shared" ca="1" si="204"/>
        <v>BANKNIFTY22MARFUT</v>
      </c>
      <c r="W92" s="166" t="e">
        <f ca="1">VLOOKUP($V92,Reference!BA:BD,4,0)</f>
        <v>#N/A</v>
      </c>
      <c r="X92" s="168">
        <f t="shared" ca="1" si="205"/>
        <v>0</v>
      </c>
      <c r="Y92" s="168">
        <f t="shared" ca="1" si="206"/>
        <v>0</v>
      </c>
      <c r="Z92" s="168">
        <f t="shared" ca="1" si="215"/>
        <v>0</v>
      </c>
      <c r="AA92" s="168">
        <f t="shared" ca="1" si="207"/>
        <v>0</v>
      </c>
      <c r="AB92" s="168">
        <f t="shared" ca="1" si="208"/>
        <v>0</v>
      </c>
      <c r="AC92" s="124">
        <f t="shared" ca="1" si="209"/>
        <v>0</v>
      </c>
      <c r="AD92" s="120">
        <f t="shared" ca="1" si="267"/>
        <v>-0.29041095890410956</v>
      </c>
      <c r="AE92" s="120">
        <f t="shared" ca="1" si="268"/>
        <v>20</v>
      </c>
      <c r="AF92" s="120"/>
      <c r="AG92" s="120"/>
      <c r="AH92" s="120">
        <f t="shared" ca="1" si="246"/>
        <v>0</v>
      </c>
      <c r="AI92" s="120"/>
      <c r="AJ92" s="120">
        <f t="shared" ca="1" si="247"/>
        <v>26.756250000000001</v>
      </c>
      <c r="AK92" s="120"/>
      <c r="AL92" s="147"/>
      <c r="AM92" s="160"/>
      <c r="AN92" s="160"/>
      <c r="AO92" s="160"/>
      <c r="AP92" s="160"/>
      <c r="AQ92" s="160"/>
      <c r="AR92" s="160"/>
      <c r="AS92" s="160"/>
      <c r="AT92" s="160"/>
      <c r="AU92" s="160"/>
      <c r="AV92" s="160"/>
      <c r="AW92" s="160"/>
      <c r="AX92" s="160"/>
      <c r="AY92" s="160"/>
      <c r="AZ92" s="160"/>
      <c r="BA92" s="160"/>
      <c r="BB92" s="160"/>
      <c r="BC92" s="160"/>
      <c r="BD92" s="160"/>
      <c r="BE92" s="160"/>
      <c r="BF92" s="160"/>
      <c r="BG92" s="160"/>
      <c r="BS92" s="13">
        <v>2</v>
      </c>
      <c r="BT92" s="128">
        <v>44491</v>
      </c>
      <c r="BU92" s="121" t="s">
        <v>8</v>
      </c>
      <c r="BV92" s="120" t="s">
        <v>482</v>
      </c>
      <c r="BW92" s="121" t="s">
        <v>502</v>
      </c>
      <c r="BX92" s="120">
        <v>18400</v>
      </c>
      <c r="BY92" s="120">
        <v>41.7</v>
      </c>
      <c r="BZ92" s="120">
        <v>47.945</v>
      </c>
      <c r="CA92" s="124">
        <v>-3216.6708800000001</v>
      </c>
      <c r="CB92" s="120">
        <v>1.1497601918465228</v>
      </c>
      <c r="CC92" s="120">
        <v>500</v>
      </c>
      <c r="CD92" s="120">
        <v>50</v>
      </c>
      <c r="CE92" s="124">
        <v>20850</v>
      </c>
    </row>
    <row r="93" spans="1:83" hidden="1">
      <c r="A93" s="13">
        <f t="shared" ca="1" si="244"/>
        <v>86</v>
      </c>
      <c r="B93" s="128">
        <v>44636</v>
      </c>
      <c r="C93" s="121" t="s">
        <v>6</v>
      </c>
      <c r="D93" s="121">
        <v>1</v>
      </c>
      <c r="E93" s="120" t="s">
        <v>632</v>
      </c>
      <c r="F93" s="121" t="s">
        <v>506</v>
      </c>
      <c r="G93" s="120"/>
      <c r="H93" s="122">
        <v>44651</v>
      </c>
      <c r="I93" s="120">
        <v>25</v>
      </c>
      <c r="J93" s="120">
        <v>35650</v>
      </c>
      <c r="K93" s="120">
        <v>35654.9</v>
      </c>
      <c r="L93" s="124">
        <f t="shared" ca="1" si="212"/>
        <v>0</v>
      </c>
      <c r="M93" s="124">
        <f t="shared" ca="1" si="213"/>
        <v>122.50000000003638</v>
      </c>
      <c r="N93" s="120">
        <f t="shared" ca="1" si="262"/>
        <v>1.0001374474053297</v>
      </c>
      <c r="O93" s="164">
        <f t="shared" ca="1" si="263"/>
        <v>26737.5</v>
      </c>
      <c r="P93" s="168">
        <f t="shared" ca="1" si="245"/>
        <v>891250</v>
      </c>
      <c r="Q93" s="168" t="e">
        <f t="shared" ca="1" si="264"/>
        <v>#N/A</v>
      </c>
      <c r="R93" s="184">
        <f t="shared" ca="1" si="214"/>
        <v>0</v>
      </c>
      <c r="S93" s="124">
        <f t="shared" ca="1" si="265"/>
        <v>3564.9999999999991</v>
      </c>
      <c r="T93" s="120">
        <f ca="1">VLOOKUP(TRIM($F93),Reference!B:C,2,0)</f>
        <v>34651.199999999997</v>
      </c>
      <c r="U93" s="181">
        <f t="shared" ca="1" si="266"/>
        <v>0</v>
      </c>
      <c r="V93" s="125" t="str">
        <f t="shared" ca="1" si="204"/>
        <v>BANKNIFTY22MARFUT</v>
      </c>
      <c r="W93" s="166" t="e">
        <f ca="1">VLOOKUP($V93,Reference!BA:BD,4,0)</f>
        <v>#N/A</v>
      </c>
      <c r="X93" s="168">
        <f t="shared" ca="1" si="205"/>
        <v>0</v>
      </c>
      <c r="Y93" s="168">
        <f t="shared" ca="1" si="206"/>
        <v>0</v>
      </c>
      <c r="Z93" s="168">
        <f t="shared" ca="1" si="215"/>
        <v>0</v>
      </c>
      <c r="AA93" s="168">
        <f t="shared" ca="1" si="207"/>
        <v>0</v>
      </c>
      <c r="AB93" s="168">
        <f t="shared" ca="1" si="208"/>
        <v>0</v>
      </c>
      <c r="AC93" s="124">
        <f t="shared" ca="1" si="209"/>
        <v>0</v>
      </c>
      <c r="AD93" s="120">
        <f t="shared" ca="1" si="267"/>
        <v>-0.29041095890410956</v>
      </c>
      <c r="AE93" s="120">
        <f t="shared" ca="1" si="268"/>
        <v>20</v>
      </c>
      <c r="AF93" s="120"/>
      <c r="AG93" s="120"/>
      <c r="AH93" s="120">
        <f t="shared" ca="1" si="246"/>
        <v>0</v>
      </c>
      <c r="AI93" s="120"/>
      <c r="AJ93" s="120">
        <f t="shared" ca="1" si="247"/>
        <v>26.737500000000001</v>
      </c>
      <c r="AK93" s="120"/>
      <c r="AL93" s="147"/>
      <c r="AM93" s="160"/>
      <c r="AN93" s="160"/>
      <c r="AO93" s="160"/>
      <c r="AP93" s="160"/>
      <c r="AQ93" s="160"/>
      <c r="AR93" s="160"/>
      <c r="AS93" s="160"/>
      <c r="AT93" s="160"/>
      <c r="AU93" s="160"/>
      <c r="AV93" s="160"/>
      <c r="AW93" s="160"/>
      <c r="AX93" s="160"/>
      <c r="AY93" s="160"/>
      <c r="AZ93" s="160"/>
      <c r="BA93" s="160"/>
      <c r="BB93" s="160"/>
      <c r="BC93" s="160"/>
      <c r="BD93" s="160"/>
      <c r="BE93" s="160"/>
      <c r="BF93" s="160"/>
      <c r="BG93" s="160"/>
      <c r="BS93" s="13">
        <v>2</v>
      </c>
      <c r="BT93" s="128">
        <v>44491</v>
      </c>
      <c r="BU93" s="121" t="s">
        <v>8</v>
      </c>
      <c r="BV93" s="120" t="s">
        <v>482</v>
      </c>
      <c r="BW93" s="121" t="s">
        <v>502</v>
      </c>
      <c r="BX93" s="120">
        <v>18400</v>
      </c>
      <c r="BY93" s="120">
        <v>41.7</v>
      </c>
      <c r="BZ93" s="120">
        <v>47.945</v>
      </c>
      <c r="CA93" s="124">
        <v>-3216.6708800000001</v>
      </c>
      <c r="CB93" s="120">
        <v>1.1497601918465228</v>
      </c>
      <c r="CC93" s="120">
        <v>500</v>
      </c>
      <c r="CD93" s="120">
        <v>50</v>
      </c>
      <c r="CE93" s="124">
        <v>20850</v>
      </c>
    </row>
    <row r="94" spans="1:83" hidden="1">
      <c r="A94" s="13">
        <f t="shared" ca="1" si="244"/>
        <v>87</v>
      </c>
      <c r="B94" s="128">
        <v>44636</v>
      </c>
      <c r="C94" s="121" t="s">
        <v>6</v>
      </c>
      <c r="D94" s="121">
        <v>1</v>
      </c>
      <c r="E94" s="120" t="s">
        <v>632</v>
      </c>
      <c r="F94" s="121" t="s">
        <v>506</v>
      </c>
      <c r="G94" s="120"/>
      <c r="H94" s="122">
        <v>44651</v>
      </c>
      <c r="I94" s="120">
        <v>25</v>
      </c>
      <c r="J94" s="120">
        <v>35620</v>
      </c>
      <c r="K94" s="120">
        <v>36400</v>
      </c>
      <c r="L94" s="124">
        <f t="shared" ca="1" si="212"/>
        <v>0</v>
      </c>
      <c r="M94" s="124">
        <f t="shared" ca="1" si="213"/>
        <v>19500</v>
      </c>
      <c r="N94" s="120">
        <f t="shared" ref="N94" ca="1" si="269">K94/$J94</f>
        <v>1.0218978102189782</v>
      </c>
      <c r="O94" s="164">
        <f t="shared" ref="O94" ca="1" si="270">J94*(1+$O$6*IF(C94="B",-1,1))</f>
        <v>26715</v>
      </c>
      <c r="P94" s="168">
        <f t="shared" ca="1" si="245"/>
        <v>890500</v>
      </c>
      <c r="Q94" s="168" t="e">
        <f t="shared" ref="Q94" ca="1" si="271">(W94-J94)*I94*IF(C94="B",1,-1)*IF(K94=0,1,0)</f>
        <v>#N/A</v>
      </c>
      <c r="R94" s="184">
        <f t="shared" ca="1" si="214"/>
        <v>0</v>
      </c>
      <c r="S94" s="124">
        <f t="shared" ref="S94" ca="1" si="272">(1-$S$6)*J94</f>
        <v>3561.9999999999991</v>
      </c>
      <c r="T94" s="120">
        <f ca="1">VLOOKUP(TRIM($F94),Reference!B:C,2,0)</f>
        <v>34651.199999999997</v>
      </c>
      <c r="U94" s="181">
        <f t="shared" ref="U94" ca="1" si="273">AC94</f>
        <v>0</v>
      </c>
      <c r="V94" s="125" t="str">
        <f t="shared" ca="1" si="204"/>
        <v>BANKNIFTY22MARFUT</v>
      </c>
      <c r="W94" s="166" t="e">
        <f ca="1">VLOOKUP($V94,Reference!BA:BD,4,0)</f>
        <v>#N/A</v>
      </c>
      <c r="X94" s="168">
        <f t="shared" ca="1" si="205"/>
        <v>0</v>
      </c>
      <c r="Y94" s="168">
        <f t="shared" ca="1" si="206"/>
        <v>0</v>
      </c>
      <c r="Z94" s="168">
        <f t="shared" ca="1" si="215"/>
        <v>0</v>
      </c>
      <c r="AA94" s="168">
        <f t="shared" ca="1" si="207"/>
        <v>0</v>
      </c>
      <c r="AB94" s="168">
        <f t="shared" ca="1" si="208"/>
        <v>0</v>
      </c>
      <c r="AC94" s="124">
        <f t="shared" ca="1" si="209"/>
        <v>0</v>
      </c>
      <c r="AD94" s="120">
        <f t="shared" ref="AD94" ca="1" si="274">(H94-TODAY())/365</f>
        <v>-0.29041095890410956</v>
      </c>
      <c r="AE94" s="120">
        <f t="shared" ref="AE94" ca="1" si="275">IF(I94&lt;&gt;0,20,0)</f>
        <v>20</v>
      </c>
      <c r="AF94" s="120"/>
      <c r="AG94" s="120"/>
      <c r="AH94" s="120">
        <f t="shared" ca="1" si="246"/>
        <v>0</v>
      </c>
      <c r="AI94" s="120"/>
      <c r="AJ94" s="120">
        <f t="shared" ca="1" si="247"/>
        <v>26.715</v>
      </c>
      <c r="AK94" s="120"/>
      <c r="AL94" s="147"/>
      <c r="AM94" s="160"/>
      <c r="AN94" s="160"/>
      <c r="AO94" s="160"/>
      <c r="AP94" s="160"/>
      <c r="AQ94" s="160"/>
      <c r="AR94" s="160"/>
      <c r="AS94" s="160"/>
      <c r="AT94" s="160"/>
      <c r="AU94" s="160"/>
      <c r="AV94" s="160"/>
      <c r="AW94" s="160"/>
      <c r="AX94" s="160"/>
      <c r="AY94" s="160"/>
      <c r="AZ94" s="160"/>
      <c r="BA94" s="160"/>
      <c r="BB94" s="160"/>
      <c r="BC94" s="160"/>
      <c r="BD94" s="160"/>
      <c r="BE94" s="160"/>
      <c r="BF94" s="160"/>
      <c r="BG94" s="160"/>
      <c r="BS94" s="13">
        <v>2</v>
      </c>
      <c r="BT94" s="128">
        <v>44491</v>
      </c>
      <c r="BU94" s="121" t="s">
        <v>8</v>
      </c>
      <c r="BV94" s="120" t="s">
        <v>482</v>
      </c>
      <c r="BW94" s="121" t="s">
        <v>502</v>
      </c>
      <c r="BX94" s="120">
        <v>18400</v>
      </c>
      <c r="BY94" s="120">
        <v>41.7</v>
      </c>
      <c r="BZ94" s="120">
        <v>47.945</v>
      </c>
      <c r="CA94" s="124">
        <v>-3216.6708800000001</v>
      </c>
      <c r="CB94" s="120">
        <v>1.1497601918465228</v>
      </c>
      <c r="CC94" s="120">
        <v>500</v>
      </c>
      <c r="CD94" s="120">
        <v>50</v>
      </c>
      <c r="CE94" s="124">
        <v>20850</v>
      </c>
    </row>
    <row r="95" spans="1:83" hidden="1">
      <c r="A95" s="13">
        <f t="shared" ca="1" si="244"/>
        <v>88</v>
      </c>
      <c r="B95" s="128">
        <v>44637</v>
      </c>
      <c r="C95" s="121" t="s">
        <v>6</v>
      </c>
      <c r="D95" s="121">
        <v>1</v>
      </c>
      <c r="E95" s="120" t="s">
        <v>632</v>
      </c>
      <c r="F95" s="121" t="s">
        <v>502</v>
      </c>
      <c r="G95" s="120"/>
      <c r="H95" s="122">
        <v>44679</v>
      </c>
      <c r="I95" s="120">
        <v>50</v>
      </c>
      <c r="J95" s="120">
        <v>17366.3</v>
      </c>
      <c r="K95" s="120">
        <v>17140</v>
      </c>
      <c r="L95" s="124">
        <f t="shared" ca="1" si="212"/>
        <v>0</v>
      </c>
      <c r="M95" s="124">
        <f t="shared" ca="1" si="213"/>
        <v>-11314.999999999964</v>
      </c>
      <c r="N95" s="120">
        <f t="shared" ref="N95:N97" ca="1" si="276">K95/$J95</f>
        <v>0.98696901470088627</v>
      </c>
      <c r="O95" s="164">
        <f t="shared" ref="O95:O97" ca="1" si="277">J95*(1+$O$6*IF(C95="B",-1,1))</f>
        <v>13024.724999999999</v>
      </c>
      <c r="P95" s="168">
        <f t="shared" ca="1" si="245"/>
        <v>868315</v>
      </c>
      <c r="Q95" s="168" t="e">
        <f t="shared" ref="Q95:Q97" ca="1" si="278">(W95-J95)*I95*IF(C95="B",1,-1)*IF(K95=0,1,0)</f>
        <v>#N/A</v>
      </c>
      <c r="R95" s="184">
        <f t="shared" ca="1" si="214"/>
        <v>0</v>
      </c>
      <c r="S95" s="124">
        <f t="shared" ref="S95:S97" ca="1" si="279">(1-$S$6)*J95</f>
        <v>1736.6299999999997</v>
      </c>
      <c r="T95" s="120">
        <f ca="1">VLOOKUP(TRIM($F95),Reference!B:C,2,0)</f>
        <v>15938.65</v>
      </c>
      <c r="U95" s="181">
        <f t="shared" ref="U95:U97" ca="1" si="280">AC95</f>
        <v>0</v>
      </c>
      <c r="V95" s="125" t="str">
        <f t="shared" ca="1" si="204"/>
        <v>NIFTY22APRFUT</v>
      </c>
      <c r="W95" s="166" t="e">
        <f ca="1">VLOOKUP($V95,Reference!BA:BD,4,0)</f>
        <v>#N/A</v>
      </c>
      <c r="X95" s="168">
        <f t="shared" ca="1" si="205"/>
        <v>0</v>
      </c>
      <c r="Y95" s="168">
        <f t="shared" ca="1" si="206"/>
        <v>0</v>
      </c>
      <c r="Z95" s="168">
        <f t="shared" ca="1" si="215"/>
        <v>0</v>
      </c>
      <c r="AA95" s="168">
        <f t="shared" ca="1" si="207"/>
        <v>0</v>
      </c>
      <c r="AB95" s="168">
        <f t="shared" ca="1" si="208"/>
        <v>0</v>
      </c>
      <c r="AC95" s="124">
        <f t="shared" ca="1" si="209"/>
        <v>0</v>
      </c>
      <c r="AD95" s="120">
        <f t="shared" ref="AD95:AD97" ca="1" si="281">(H95-TODAY())/365</f>
        <v>-0.21369863013698631</v>
      </c>
      <c r="AE95" s="120">
        <f t="shared" ref="AE95:AE97" ca="1" si="282">IF(I95&lt;&gt;0,20,0)</f>
        <v>20</v>
      </c>
      <c r="AF95" s="120"/>
      <c r="AG95" s="120"/>
      <c r="AH95" s="120">
        <f t="shared" ca="1" si="246"/>
        <v>0</v>
      </c>
      <c r="AI95" s="120"/>
      <c r="AJ95" s="120">
        <f t="shared" ca="1" si="247"/>
        <v>26.04945</v>
      </c>
      <c r="AK95" s="120"/>
      <c r="AL95" s="147"/>
      <c r="AM95" s="160"/>
      <c r="AN95" s="160"/>
      <c r="AO95" s="160"/>
      <c r="AP95" s="160"/>
      <c r="AQ95" s="160"/>
      <c r="AR95" s="160"/>
      <c r="AS95" s="160"/>
      <c r="AT95" s="160"/>
      <c r="AU95" s="160"/>
      <c r="AV95" s="160"/>
      <c r="AW95" s="160"/>
      <c r="AX95" s="160"/>
      <c r="AY95" s="160"/>
      <c r="AZ95" s="160"/>
      <c r="BA95" s="160"/>
      <c r="BB95" s="160"/>
      <c r="BC95" s="160"/>
      <c r="BD95" s="160"/>
      <c r="BE95" s="160"/>
      <c r="BF95" s="160"/>
      <c r="BG95" s="160"/>
      <c r="BS95" s="13">
        <v>2</v>
      </c>
      <c r="BT95" s="128">
        <v>44491</v>
      </c>
      <c r="BU95" s="121" t="s">
        <v>8</v>
      </c>
      <c r="BV95" s="120" t="s">
        <v>482</v>
      </c>
      <c r="BW95" s="121" t="s">
        <v>502</v>
      </c>
      <c r="BX95" s="120">
        <v>18400</v>
      </c>
      <c r="BY95" s="120">
        <v>41.7</v>
      </c>
      <c r="BZ95" s="120">
        <v>47.945</v>
      </c>
      <c r="CA95" s="124">
        <v>-3216.6708800000001</v>
      </c>
      <c r="CB95" s="120">
        <v>1.1497601918465228</v>
      </c>
      <c r="CC95" s="120">
        <v>500</v>
      </c>
      <c r="CD95" s="120">
        <v>50</v>
      </c>
      <c r="CE95" s="124">
        <v>20850</v>
      </c>
    </row>
    <row r="96" spans="1:83" hidden="1">
      <c r="A96" s="13">
        <f t="shared" ca="1" si="244"/>
        <v>89</v>
      </c>
      <c r="B96" s="128">
        <v>44627</v>
      </c>
      <c r="C96" s="121" t="s">
        <v>8</v>
      </c>
      <c r="D96" s="121">
        <v>1</v>
      </c>
      <c r="E96" s="120" t="s">
        <v>481</v>
      </c>
      <c r="F96" s="121" t="s">
        <v>502</v>
      </c>
      <c r="G96" s="120">
        <v>17000</v>
      </c>
      <c r="H96" s="122">
        <v>44651</v>
      </c>
      <c r="I96" s="120">
        <v>50</v>
      </c>
      <c r="J96" s="120">
        <v>84.94</v>
      </c>
      <c r="K96" s="120">
        <v>460.45</v>
      </c>
      <c r="L96" s="124">
        <f t="shared" ca="1" si="212"/>
        <v>0</v>
      </c>
      <c r="M96" s="124">
        <f t="shared" ca="1" si="213"/>
        <v>-18775.5</v>
      </c>
      <c r="N96" s="120">
        <f t="shared" ca="1" si="276"/>
        <v>5.4208853308217568</v>
      </c>
      <c r="O96" s="164">
        <f t="shared" ca="1" si="277"/>
        <v>106.175</v>
      </c>
      <c r="P96" s="168">
        <f t="shared" ca="1" si="245"/>
        <v>4247</v>
      </c>
      <c r="Q96" s="168" t="e">
        <f t="shared" ca="1" si="278"/>
        <v>#N/A</v>
      </c>
      <c r="R96" s="184">
        <f t="shared" ca="1" si="214"/>
        <v>0</v>
      </c>
      <c r="S96" s="124">
        <f t="shared" ca="1" si="279"/>
        <v>8.493999999999998</v>
      </c>
      <c r="T96" s="120">
        <f ca="1">VLOOKUP(TRIM($F96),Reference!B:C,2,0)</f>
        <v>15938.65</v>
      </c>
      <c r="U96" s="125">
        <f t="shared" ca="1" si="280"/>
        <v>0</v>
      </c>
      <c r="V96" s="125" t="str">
        <f t="shared" ca="1" si="204"/>
        <v>NIFTY22MAR17000CE</v>
      </c>
      <c r="W96" s="166" t="e">
        <f ca="1">VLOOKUP($V96,Reference!BA:BD,4,0)</f>
        <v>#N/A</v>
      </c>
      <c r="X96" s="168">
        <f t="shared" ca="1" si="205"/>
        <v>0</v>
      </c>
      <c r="Y96" s="168">
        <f t="shared" ca="1" si="206"/>
        <v>0</v>
      </c>
      <c r="Z96" s="168">
        <f t="shared" ca="1" si="215"/>
        <v>0</v>
      </c>
      <c r="AA96" s="168">
        <f t="shared" ca="1" si="207"/>
        <v>0</v>
      </c>
      <c r="AB96" s="168">
        <f t="shared" ca="1" si="208"/>
        <v>0</v>
      </c>
      <c r="AC96" s="124">
        <f t="shared" ca="1" si="209"/>
        <v>0</v>
      </c>
      <c r="AD96" s="120">
        <f t="shared" ca="1" si="281"/>
        <v>-0.29041095890410956</v>
      </c>
      <c r="AE96" s="120">
        <f t="shared" ca="1" si="282"/>
        <v>20</v>
      </c>
      <c r="AF96" s="120"/>
      <c r="AG96" s="120"/>
      <c r="AH96" s="120">
        <f t="shared" ca="1" si="246"/>
        <v>2.1234999999999999</v>
      </c>
      <c r="AI96" s="120"/>
      <c r="AJ96" s="120">
        <f t="shared" ca="1" si="247"/>
        <v>0</v>
      </c>
      <c r="AK96" s="120"/>
      <c r="AL96" s="145">
        <v>1</v>
      </c>
      <c r="AM96" s="161"/>
      <c r="AN96" s="161"/>
      <c r="AO96" s="161"/>
      <c r="AP96" s="161"/>
      <c r="AQ96" s="161"/>
      <c r="AR96" s="161"/>
      <c r="AS96" s="161"/>
      <c r="AT96" s="161"/>
      <c r="AU96" s="161"/>
      <c r="AV96" s="161"/>
      <c r="AW96" s="161"/>
      <c r="AX96" s="161"/>
      <c r="AY96" s="161"/>
      <c r="AZ96" s="161"/>
      <c r="BA96" s="161"/>
      <c r="BB96" s="161"/>
      <c r="BC96" s="161"/>
      <c r="BD96" s="161"/>
      <c r="BE96" s="161"/>
      <c r="BF96" s="161"/>
      <c r="BG96" s="161"/>
      <c r="BS96" s="11">
        <v>3</v>
      </c>
      <c r="BT96" s="11">
        <v>44491</v>
      </c>
      <c r="BU96" s="11" t="s">
        <v>8</v>
      </c>
      <c r="BV96" s="11" t="s">
        <v>481</v>
      </c>
      <c r="BW96" s="11" t="s">
        <v>502</v>
      </c>
      <c r="BX96" s="11">
        <v>18700</v>
      </c>
      <c r="BY96" s="11">
        <v>34.75</v>
      </c>
      <c r="BZ96" s="11">
        <v>0.05</v>
      </c>
      <c r="CA96" s="11">
        <v>17263.657599999999</v>
      </c>
      <c r="CB96" s="11">
        <v>1.4388489208633094E-3</v>
      </c>
      <c r="CC96" s="11">
        <v>500</v>
      </c>
      <c r="CD96" s="11">
        <v>50</v>
      </c>
      <c r="CE96" s="11">
        <v>17375</v>
      </c>
    </row>
    <row r="97" spans="1:83" hidden="1">
      <c r="A97" s="13">
        <f t="shared" ca="1" si="244"/>
        <v>90</v>
      </c>
      <c r="B97" s="128">
        <v>44627</v>
      </c>
      <c r="C97" s="121" t="s">
        <v>8</v>
      </c>
      <c r="D97" s="121">
        <v>1</v>
      </c>
      <c r="E97" s="120" t="s">
        <v>481</v>
      </c>
      <c r="F97" s="121" t="s">
        <v>502</v>
      </c>
      <c r="G97" s="120">
        <v>17000</v>
      </c>
      <c r="H97" s="122">
        <v>44651</v>
      </c>
      <c r="I97" s="120">
        <v>50</v>
      </c>
      <c r="J97" s="120">
        <v>84.94</v>
      </c>
      <c r="K97" s="120">
        <v>398</v>
      </c>
      <c r="L97" s="124">
        <f t="shared" ca="1" si="212"/>
        <v>0</v>
      </c>
      <c r="M97" s="124">
        <f t="shared" ca="1" si="213"/>
        <v>-15653</v>
      </c>
      <c r="N97" s="120">
        <f t="shared" ca="1" si="276"/>
        <v>4.6856604662114432</v>
      </c>
      <c r="O97" s="164">
        <f t="shared" ca="1" si="277"/>
        <v>106.175</v>
      </c>
      <c r="P97" s="168">
        <f t="shared" ca="1" si="245"/>
        <v>4247</v>
      </c>
      <c r="Q97" s="168" t="e">
        <f t="shared" ca="1" si="278"/>
        <v>#N/A</v>
      </c>
      <c r="R97" s="184">
        <f t="shared" ca="1" si="214"/>
        <v>0</v>
      </c>
      <c r="S97" s="124">
        <f t="shared" ca="1" si="279"/>
        <v>8.493999999999998</v>
      </c>
      <c r="T97" s="120">
        <f ca="1">VLOOKUP(TRIM($F97),Reference!B:C,2,0)</f>
        <v>15938.65</v>
      </c>
      <c r="U97" s="125">
        <f t="shared" ca="1" si="280"/>
        <v>0</v>
      </c>
      <c r="V97" s="125" t="str">
        <f t="shared" ca="1" si="204"/>
        <v>NIFTY22MAR17000CE</v>
      </c>
      <c r="W97" s="166" t="e">
        <f ca="1">VLOOKUP($V97,Reference!BA:BD,4,0)</f>
        <v>#N/A</v>
      </c>
      <c r="X97" s="168">
        <f t="shared" ca="1" si="205"/>
        <v>0</v>
      </c>
      <c r="Y97" s="168">
        <f t="shared" ca="1" si="206"/>
        <v>0</v>
      </c>
      <c r="Z97" s="168">
        <f t="shared" ca="1" si="215"/>
        <v>0</v>
      </c>
      <c r="AA97" s="168">
        <f t="shared" ca="1" si="207"/>
        <v>0</v>
      </c>
      <c r="AB97" s="168">
        <f t="shared" ca="1" si="208"/>
        <v>0</v>
      </c>
      <c r="AC97" s="124">
        <f t="shared" ca="1" si="209"/>
        <v>0</v>
      </c>
      <c r="AD97" s="120">
        <f t="shared" ca="1" si="281"/>
        <v>-0.29041095890410956</v>
      </c>
      <c r="AE97" s="120">
        <f t="shared" ca="1" si="282"/>
        <v>20</v>
      </c>
      <c r="AF97" s="120"/>
      <c r="AG97" s="120"/>
      <c r="AH97" s="120">
        <f t="shared" ca="1" si="246"/>
        <v>2.1234999999999999</v>
      </c>
      <c r="AI97" s="120"/>
      <c r="AJ97" s="120">
        <f t="shared" ca="1" si="247"/>
        <v>0</v>
      </c>
      <c r="AK97" s="120"/>
      <c r="AL97" s="145">
        <v>1</v>
      </c>
      <c r="AM97" s="161"/>
      <c r="AN97" s="161"/>
      <c r="AO97" s="161"/>
      <c r="AP97" s="161"/>
      <c r="AQ97" s="161"/>
      <c r="AR97" s="161"/>
      <c r="AS97" s="161"/>
      <c r="AT97" s="161"/>
      <c r="AU97" s="161"/>
      <c r="AV97" s="161"/>
      <c r="AW97" s="161"/>
      <c r="AX97" s="161"/>
      <c r="AY97" s="161"/>
      <c r="AZ97" s="161"/>
      <c r="BA97" s="161"/>
      <c r="BB97" s="161"/>
      <c r="BC97" s="161"/>
      <c r="BD97" s="161"/>
      <c r="BE97" s="161"/>
      <c r="BF97" s="161"/>
      <c r="BG97" s="161"/>
      <c r="BS97" s="11">
        <v>3</v>
      </c>
      <c r="BT97" s="11">
        <v>44491</v>
      </c>
      <c r="BU97" s="11" t="s">
        <v>8</v>
      </c>
      <c r="BV97" s="11" t="s">
        <v>481</v>
      </c>
      <c r="BW97" s="11" t="s">
        <v>502</v>
      </c>
      <c r="BX97" s="11">
        <v>18700</v>
      </c>
      <c r="BY97" s="11">
        <v>34.75</v>
      </c>
      <c r="BZ97" s="11">
        <v>0.05</v>
      </c>
      <c r="CA97" s="11">
        <v>17263.657599999999</v>
      </c>
      <c r="CB97" s="11">
        <v>1.4388489208633094E-3</v>
      </c>
      <c r="CC97" s="11">
        <v>500</v>
      </c>
      <c r="CD97" s="11">
        <v>50</v>
      </c>
      <c r="CE97" s="11">
        <v>17375</v>
      </c>
    </row>
    <row r="98" spans="1:83" hidden="1">
      <c r="A98" s="13">
        <f t="shared" ca="1" si="244"/>
        <v>91</v>
      </c>
      <c r="B98" s="128">
        <v>44641</v>
      </c>
      <c r="C98" s="121" t="s">
        <v>8</v>
      </c>
      <c r="D98" s="121">
        <v>1</v>
      </c>
      <c r="E98" s="120" t="s">
        <v>481</v>
      </c>
      <c r="F98" s="121" t="s">
        <v>502</v>
      </c>
      <c r="G98" s="120">
        <v>17500</v>
      </c>
      <c r="H98" s="122">
        <v>44651</v>
      </c>
      <c r="I98" s="120">
        <v>50</v>
      </c>
      <c r="J98" s="120">
        <v>176.15</v>
      </c>
      <c r="K98" s="120">
        <v>3.1</v>
      </c>
      <c r="L98" s="124">
        <f t="shared" ca="1" si="212"/>
        <v>0</v>
      </c>
      <c r="M98" s="124">
        <f t="shared" ca="1" si="213"/>
        <v>8652.5</v>
      </c>
      <c r="N98" s="120">
        <f t="shared" ref="N98" ca="1" si="283">K98/$J98</f>
        <v>1.7598637524836785E-2</v>
      </c>
      <c r="O98" s="164">
        <f t="shared" ref="O98" ca="1" si="284">J98*(1+$O$6*IF(C98="B",-1,1))</f>
        <v>220.1875</v>
      </c>
      <c r="P98" s="168">
        <f t="shared" ca="1" si="245"/>
        <v>8807.5</v>
      </c>
      <c r="Q98" s="168" t="e">
        <f t="shared" ref="Q98" ca="1" si="285">(W98-J98)*I98*IF(C98="B",1,-1)*IF(K98=0,1,0)</f>
        <v>#N/A</v>
      </c>
      <c r="R98" s="184">
        <f t="shared" ca="1" si="214"/>
        <v>0</v>
      </c>
      <c r="S98" s="124">
        <f t="shared" ref="S98" ca="1" si="286">(1-$S$6)*J98</f>
        <v>17.614999999999995</v>
      </c>
      <c r="T98" s="120">
        <f ca="1">VLOOKUP(TRIM($F98),Reference!B:C,2,0)</f>
        <v>15938.65</v>
      </c>
      <c r="U98" s="125">
        <f t="shared" ref="U98" ca="1" si="287">AC98</f>
        <v>0</v>
      </c>
      <c r="V98" s="125" t="str">
        <f t="shared" ca="1" si="204"/>
        <v>NIFTY22MAR17500CE</v>
      </c>
      <c r="W98" s="166" t="e">
        <f ca="1">VLOOKUP($V98,Reference!BA:BD,4,0)</f>
        <v>#N/A</v>
      </c>
      <c r="X98" s="168">
        <f t="shared" ca="1" si="205"/>
        <v>0</v>
      </c>
      <c r="Y98" s="168">
        <f t="shared" ca="1" si="206"/>
        <v>0</v>
      </c>
      <c r="Z98" s="168">
        <f t="shared" ca="1" si="215"/>
        <v>0</v>
      </c>
      <c r="AA98" s="168">
        <f t="shared" ca="1" si="207"/>
        <v>0</v>
      </c>
      <c r="AB98" s="168">
        <f t="shared" ca="1" si="208"/>
        <v>0</v>
      </c>
      <c r="AC98" s="124">
        <f t="shared" ca="1" si="209"/>
        <v>0</v>
      </c>
      <c r="AD98" s="120">
        <f t="shared" ref="AD98" ca="1" si="288">(H98-TODAY())/365</f>
        <v>-0.29041095890410956</v>
      </c>
      <c r="AE98" s="120">
        <f t="shared" ref="AE98" ca="1" si="289">IF(I98&lt;&gt;0,20,0)</f>
        <v>20</v>
      </c>
      <c r="AF98" s="120"/>
      <c r="AG98" s="120"/>
      <c r="AH98" s="120">
        <f t="shared" ca="1" si="246"/>
        <v>4.4037500000000005</v>
      </c>
      <c r="AI98" s="120"/>
      <c r="AJ98" s="120">
        <f t="shared" ca="1" si="247"/>
        <v>0</v>
      </c>
      <c r="AK98" s="120"/>
      <c r="AL98" s="145">
        <v>1</v>
      </c>
      <c r="AM98" s="161"/>
      <c r="AN98" s="161"/>
      <c r="AO98" s="161"/>
      <c r="AP98" s="161"/>
      <c r="AQ98" s="161"/>
      <c r="AR98" s="161"/>
      <c r="AS98" s="161"/>
      <c r="AT98" s="161"/>
      <c r="AU98" s="161"/>
      <c r="AV98" s="161"/>
      <c r="AW98" s="161"/>
      <c r="AX98" s="161"/>
      <c r="AY98" s="161"/>
      <c r="AZ98" s="161"/>
      <c r="BA98" s="161"/>
      <c r="BB98" s="161"/>
      <c r="BC98" s="161"/>
      <c r="BD98" s="161"/>
      <c r="BE98" s="161"/>
      <c r="BF98" s="161"/>
      <c r="BG98" s="161"/>
      <c r="BS98" s="11">
        <v>3</v>
      </c>
      <c r="BT98" s="11">
        <v>44491</v>
      </c>
      <c r="BU98" s="11" t="s">
        <v>8</v>
      </c>
      <c r="BV98" s="11" t="s">
        <v>481</v>
      </c>
      <c r="BW98" s="11" t="s">
        <v>502</v>
      </c>
      <c r="BX98" s="11">
        <v>18700</v>
      </c>
      <c r="BY98" s="11">
        <v>34.75</v>
      </c>
      <c r="BZ98" s="11">
        <v>0.05</v>
      </c>
      <c r="CA98" s="11">
        <v>17263.657599999999</v>
      </c>
      <c r="CB98" s="11">
        <v>1.4388489208633094E-3</v>
      </c>
      <c r="CC98" s="11">
        <v>500</v>
      </c>
      <c r="CD98" s="11">
        <v>50</v>
      </c>
      <c r="CE98" s="11">
        <v>17375</v>
      </c>
    </row>
    <row r="99" spans="1:83" hidden="1">
      <c r="A99" s="13">
        <f t="shared" ca="1" si="244"/>
        <v>92</v>
      </c>
      <c r="B99" s="128">
        <v>44642</v>
      </c>
      <c r="C99" s="121" t="s">
        <v>8</v>
      </c>
      <c r="D99" s="121">
        <v>1</v>
      </c>
      <c r="E99" s="120" t="s">
        <v>481</v>
      </c>
      <c r="F99" s="121" t="s">
        <v>502</v>
      </c>
      <c r="G99" s="120">
        <v>17500</v>
      </c>
      <c r="H99" s="122">
        <v>44651</v>
      </c>
      <c r="I99" s="120">
        <v>50</v>
      </c>
      <c r="J99" s="120">
        <v>147</v>
      </c>
      <c r="K99" s="120">
        <v>3.1</v>
      </c>
      <c r="L99" s="124">
        <f t="shared" ca="1" si="212"/>
        <v>0</v>
      </c>
      <c r="M99" s="124">
        <f t="shared" ca="1" si="213"/>
        <v>7195</v>
      </c>
      <c r="N99" s="120">
        <f t="shared" ref="N99:N100" ca="1" si="290">K99/$J99</f>
        <v>2.1088435374149662E-2</v>
      </c>
      <c r="O99" s="164">
        <f t="shared" ref="O99:O100" ca="1" si="291">J99*(1+$O$6*IF(C99="B",-1,1))</f>
        <v>183.75</v>
      </c>
      <c r="P99" s="168">
        <f t="shared" ca="1" si="245"/>
        <v>7350</v>
      </c>
      <c r="Q99" s="168" t="e">
        <f t="shared" ref="Q99:Q100" ca="1" si="292">(W99-J99)*I99*IF(C99="B",1,-1)*IF(K99=0,1,0)</f>
        <v>#N/A</v>
      </c>
      <c r="R99" s="184">
        <f t="shared" ca="1" si="214"/>
        <v>0</v>
      </c>
      <c r="S99" s="124">
        <f t="shared" ref="S99:S100" ca="1" si="293">(1-$S$6)*J99</f>
        <v>14.699999999999998</v>
      </c>
      <c r="T99" s="120">
        <f ca="1">VLOOKUP(TRIM($F99),Reference!B:C,2,0)</f>
        <v>15938.65</v>
      </c>
      <c r="U99" s="125">
        <f t="shared" ref="U99:U100" ca="1" si="294">AC99</f>
        <v>0</v>
      </c>
      <c r="V99" s="125" t="str">
        <f t="shared" ca="1" si="204"/>
        <v>NIFTY22MAR17500CE</v>
      </c>
      <c r="W99" s="166" t="e">
        <f ca="1">VLOOKUP($V99,Reference!BA:BD,4,0)</f>
        <v>#N/A</v>
      </c>
      <c r="X99" s="168">
        <f t="shared" ca="1" si="205"/>
        <v>0</v>
      </c>
      <c r="Y99" s="168">
        <f t="shared" ca="1" si="206"/>
        <v>0</v>
      </c>
      <c r="Z99" s="168">
        <f t="shared" ca="1" si="215"/>
        <v>0</v>
      </c>
      <c r="AA99" s="168">
        <f t="shared" ca="1" si="207"/>
        <v>0</v>
      </c>
      <c r="AB99" s="168">
        <f t="shared" ca="1" si="208"/>
        <v>0</v>
      </c>
      <c r="AC99" s="124">
        <f t="shared" ca="1" si="209"/>
        <v>0</v>
      </c>
      <c r="AD99" s="120">
        <f t="shared" ref="AD99:AD100" ca="1" si="295">(H99-TODAY())/365</f>
        <v>-0.29041095890410956</v>
      </c>
      <c r="AE99" s="120">
        <f t="shared" ref="AE99:AE100" ca="1" si="296">IF(I99&lt;&gt;0,20,0)</f>
        <v>20</v>
      </c>
      <c r="AF99" s="120"/>
      <c r="AG99" s="120"/>
      <c r="AH99" s="120">
        <f t="shared" ca="1" si="246"/>
        <v>3.6750000000000003</v>
      </c>
      <c r="AI99" s="120"/>
      <c r="AJ99" s="120">
        <f t="shared" ca="1" si="247"/>
        <v>0</v>
      </c>
      <c r="AK99" s="120"/>
      <c r="AL99" s="145">
        <v>1</v>
      </c>
      <c r="AM99" s="161"/>
      <c r="AN99" s="161"/>
      <c r="AO99" s="161"/>
      <c r="AP99" s="161"/>
      <c r="AQ99" s="161"/>
      <c r="AR99" s="161"/>
      <c r="AS99" s="161"/>
      <c r="AT99" s="161"/>
      <c r="AU99" s="161"/>
      <c r="AV99" s="161"/>
      <c r="AW99" s="161"/>
      <c r="AX99" s="161"/>
      <c r="AY99" s="161"/>
      <c r="AZ99" s="161"/>
      <c r="BA99" s="161"/>
      <c r="BB99" s="161"/>
      <c r="BC99" s="161"/>
      <c r="BD99" s="161"/>
      <c r="BE99" s="161"/>
      <c r="BF99" s="161"/>
      <c r="BG99" s="161"/>
      <c r="BS99" s="11">
        <v>3</v>
      </c>
      <c r="BT99" s="11">
        <v>44491</v>
      </c>
      <c r="BU99" s="11" t="s">
        <v>8</v>
      </c>
      <c r="BV99" s="11" t="s">
        <v>481</v>
      </c>
      <c r="BW99" s="11" t="s">
        <v>502</v>
      </c>
      <c r="BX99" s="11">
        <v>18700</v>
      </c>
      <c r="BY99" s="11">
        <v>34.75</v>
      </c>
      <c r="BZ99" s="11">
        <v>0.05</v>
      </c>
      <c r="CA99" s="11">
        <v>17263.657599999999</v>
      </c>
      <c r="CB99" s="11">
        <v>1.4388489208633094E-3</v>
      </c>
      <c r="CC99" s="11">
        <v>500</v>
      </c>
      <c r="CD99" s="11">
        <v>50</v>
      </c>
      <c r="CE99" s="11">
        <v>17375</v>
      </c>
    </row>
    <row r="100" spans="1:83" hidden="1">
      <c r="A100" s="13">
        <f t="shared" ca="1" si="244"/>
        <v>93</v>
      </c>
      <c r="B100" s="128">
        <v>44642</v>
      </c>
      <c r="C100" s="121" t="s">
        <v>8</v>
      </c>
      <c r="D100" s="121">
        <v>1</v>
      </c>
      <c r="E100" s="120" t="s">
        <v>481</v>
      </c>
      <c r="F100" s="121" t="s">
        <v>502</v>
      </c>
      <c r="G100" s="120">
        <v>17650</v>
      </c>
      <c r="H100" s="122">
        <v>44651</v>
      </c>
      <c r="I100" s="120">
        <v>50</v>
      </c>
      <c r="J100" s="120">
        <v>100.8</v>
      </c>
      <c r="K100" s="120">
        <v>0.5</v>
      </c>
      <c r="L100" s="124">
        <f t="shared" ca="1" si="212"/>
        <v>0</v>
      </c>
      <c r="M100" s="124">
        <f t="shared" ca="1" si="213"/>
        <v>5015</v>
      </c>
      <c r="N100" s="120">
        <f t="shared" ca="1" si="290"/>
        <v>4.96031746031746E-3</v>
      </c>
      <c r="O100" s="164">
        <f t="shared" ca="1" si="291"/>
        <v>126</v>
      </c>
      <c r="P100" s="168">
        <f t="shared" ca="1" si="245"/>
        <v>5040</v>
      </c>
      <c r="Q100" s="168" t="e">
        <f t="shared" ca="1" si="292"/>
        <v>#N/A</v>
      </c>
      <c r="R100" s="184">
        <f t="shared" ca="1" si="214"/>
        <v>0</v>
      </c>
      <c r="S100" s="124">
        <f t="shared" ca="1" si="293"/>
        <v>10.079999999999998</v>
      </c>
      <c r="T100" s="120">
        <f ca="1">VLOOKUP(TRIM($F100),Reference!B:C,2,0)</f>
        <v>15938.65</v>
      </c>
      <c r="U100" s="125">
        <f t="shared" ca="1" si="294"/>
        <v>0</v>
      </c>
      <c r="V100" s="125" t="str">
        <f t="shared" ca="1" si="204"/>
        <v>NIFTY22MAR17650CE</v>
      </c>
      <c r="W100" s="166" t="e">
        <f ca="1">VLOOKUP($V100,Reference!BA:BD,4,0)</f>
        <v>#N/A</v>
      </c>
      <c r="X100" s="168">
        <f t="shared" ca="1" si="205"/>
        <v>0</v>
      </c>
      <c r="Y100" s="168">
        <f t="shared" ca="1" si="206"/>
        <v>0</v>
      </c>
      <c r="Z100" s="168">
        <f t="shared" ca="1" si="215"/>
        <v>0</v>
      </c>
      <c r="AA100" s="168">
        <f t="shared" ca="1" si="207"/>
        <v>0</v>
      </c>
      <c r="AB100" s="168">
        <f t="shared" ca="1" si="208"/>
        <v>0</v>
      </c>
      <c r="AC100" s="124">
        <f t="shared" ca="1" si="209"/>
        <v>0</v>
      </c>
      <c r="AD100" s="120">
        <f t="shared" ca="1" si="295"/>
        <v>-0.29041095890410956</v>
      </c>
      <c r="AE100" s="120">
        <f t="shared" ca="1" si="296"/>
        <v>20</v>
      </c>
      <c r="AF100" s="120"/>
      <c r="AG100" s="120"/>
      <c r="AH100" s="120">
        <f t="shared" ca="1" si="246"/>
        <v>2.52</v>
      </c>
      <c r="AI100" s="120"/>
      <c r="AJ100" s="120">
        <f t="shared" ca="1" si="247"/>
        <v>0</v>
      </c>
      <c r="AK100" s="120"/>
      <c r="AL100" s="145">
        <v>1</v>
      </c>
      <c r="AM100" s="161"/>
      <c r="AN100" s="161"/>
      <c r="AO100" s="161"/>
      <c r="AP100" s="161"/>
      <c r="AQ100" s="161"/>
      <c r="AR100" s="161"/>
      <c r="AS100" s="161"/>
      <c r="AT100" s="161"/>
      <c r="AU100" s="161"/>
      <c r="AV100" s="161"/>
      <c r="AW100" s="161"/>
      <c r="AX100" s="161"/>
      <c r="AY100" s="161"/>
      <c r="AZ100" s="161"/>
      <c r="BA100" s="161"/>
      <c r="BB100" s="161"/>
      <c r="BC100" s="161"/>
      <c r="BD100" s="161"/>
      <c r="BE100" s="161"/>
      <c r="BF100" s="161"/>
      <c r="BG100" s="161"/>
      <c r="BS100" s="11">
        <v>3</v>
      </c>
      <c r="BT100" s="11">
        <v>44491</v>
      </c>
      <c r="BU100" s="11" t="s">
        <v>8</v>
      </c>
      <c r="BV100" s="11" t="s">
        <v>481</v>
      </c>
      <c r="BW100" s="11" t="s">
        <v>502</v>
      </c>
      <c r="BX100" s="11">
        <v>18700</v>
      </c>
      <c r="BY100" s="11">
        <v>34.75</v>
      </c>
      <c r="BZ100" s="11">
        <v>0.05</v>
      </c>
      <c r="CA100" s="11">
        <v>17263.657599999999</v>
      </c>
      <c r="CB100" s="11">
        <v>1.4388489208633094E-3</v>
      </c>
      <c r="CC100" s="11">
        <v>500</v>
      </c>
      <c r="CD100" s="11">
        <v>50</v>
      </c>
      <c r="CE100" s="11">
        <v>17375</v>
      </c>
    </row>
    <row r="101" spans="1:83" hidden="1">
      <c r="A101" s="13">
        <f t="shared" ca="1" si="244"/>
        <v>94</v>
      </c>
      <c r="B101" s="128">
        <v>44642</v>
      </c>
      <c r="C101" s="121" t="s">
        <v>8</v>
      </c>
      <c r="D101" s="121">
        <v>1</v>
      </c>
      <c r="E101" s="120" t="s">
        <v>481</v>
      </c>
      <c r="F101" s="121" t="s">
        <v>502</v>
      </c>
      <c r="G101" s="120">
        <v>17700</v>
      </c>
      <c r="H101" s="122">
        <v>44651</v>
      </c>
      <c r="I101" s="120">
        <v>50</v>
      </c>
      <c r="J101" s="120">
        <v>102</v>
      </c>
      <c r="K101" s="120">
        <v>0.45</v>
      </c>
      <c r="L101" s="124">
        <f t="shared" ca="1" si="212"/>
        <v>0</v>
      </c>
      <c r="M101" s="124">
        <f t="shared" ca="1" si="213"/>
        <v>5077.5</v>
      </c>
      <c r="N101" s="120">
        <f t="shared" ref="N101:N104" ca="1" si="297">K101/$J101</f>
        <v>4.4117647058823529E-3</v>
      </c>
      <c r="O101" s="164">
        <f t="shared" ref="O101:O104" ca="1" si="298">J101*(1+$O$6*IF(C101="B",-1,1))</f>
        <v>127.5</v>
      </c>
      <c r="P101" s="168">
        <f t="shared" ca="1" si="245"/>
        <v>5100</v>
      </c>
      <c r="Q101" s="168" t="e">
        <f t="shared" ref="Q101:Q104" ca="1" si="299">(W101-J101)*I101*IF(C101="B",1,-1)*IF(K101=0,1,0)</f>
        <v>#N/A</v>
      </c>
      <c r="R101" s="184">
        <f t="shared" ca="1" si="214"/>
        <v>0</v>
      </c>
      <c r="S101" s="124">
        <f t="shared" ref="S101:S104" ca="1" si="300">(1-$S$6)*J101</f>
        <v>10.199999999999998</v>
      </c>
      <c r="T101" s="120">
        <f ca="1">VLOOKUP(TRIM($F101),Reference!B:C,2,0)</f>
        <v>15938.65</v>
      </c>
      <c r="U101" s="125">
        <f t="shared" ref="U101:U104" ca="1" si="301">AC101</f>
        <v>0</v>
      </c>
      <c r="V101" s="125" t="str">
        <f t="shared" ca="1" si="204"/>
        <v>NIFTY22MAR17700CE</v>
      </c>
      <c r="W101" s="166" t="e">
        <f ca="1">VLOOKUP($V101,Reference!BA:BD,4,0)</f>
        <v>#N/A</v>
      </c>
      <c r="X101" s="168">
        <f t="shared" ca="1" si="205"/>
        <v>0</v>
      </c>
      <c r="Y101" s="168">
        <f t="shared" ca="1" si="206"/>
        <v>0</v>
      </c>
      <c r="Z101" s="168">
        <f t="shared" ca="1" si="215"/>
        <v>0</v>
      </c>
      <c r="AA101" s="168">
        <f t="shared" ca="1" si="207"/>
        <v>0</v>
      </c>
      <c r="AB101" s="168">
        <f t="shared" ca="1" si="208"/>
        <v>0</v>
      </c>
      <c r="AC101" s="124">
        <f t="shared" ca="1" si="209"/>
        <v>0</v>
      </c>
      <c r="AD101" s="120">
        <f t="shared" ref="AD101:AD104" ca="1" si="302">(H101-TODAY())/365</f>
        <v>-0.29041095890410956</v>
      </c>
      <c r="AE101" s="120">
        <f t="shared" ref="AE101:AE104" ca="1" si="303">IF(I101&lt;&gt;0,20,0)</f>
        <v>20</v>
      </c>
      <c r="AF101" s="120"/>
      <c r="AG101" s="120"/>
      <c r="AH101" s="120">
        <f t="shared" ca="1" si="246"/>
        <v>2.5500000000000003</v>
      </c>
      <c r="AI101" s="120"/>
      <c r="AJ101" s="120">
        <f t="shared" ca="1" si="247"/>
        <v>0</v>
      </c>
      <c r="AK101" s="120"/>
      <c r="AL101" s="145">
        <v>1</v>
      </c>
      <c r="AM101" s="161"/>
      <c r="AN101" s="161"/>
      <c r="AO101" s="161"/>
      <c r="AP101" s="161"/>
      <c r="AQ101" s="161"/>
      <c r="AR101" s="161"/>
      <c r="AS101" s="161"/>
      <c r="AT101" s="161"/>
      <c r="AU101" s="161"/>
      <c r="AV101" s="161"/>
      <c r="AW101" s="161"/>
      <c r="AX101" s="161"/>
      <c r="AY101" s="161"/>
      <c r="AZ101" s="161"/>
      <c r="BA101" s="161"/>
      <c r="BB101" s="161"/>
      <c r="BC101" s="161"/>
      <c r="BD101" s="161"/>
      <c r="BE101" s="161"/>
      <c r="BF101" s="161"/>
      <c r="BG101" s="161"/>
      <c r="BS101" s="11">
        <v>3</v>
      </c>
      <c r="BT101" s="11">
        <v>44491</v>
      </c>
      <c r="BU101" s="11" t="s">
        <v>8</v>
      </c>
      <c r="BV101" s="11" t="s">
        <v>481</v>
      </c>
      <c r="BW101" s="11" t="s">
        <v>502</v>
      </c>
      <c r="BX101" s="11">
        <v>18700</v>
      </c>
      <c r="BY101" s="11">
        <v>34.75</v>
      </c>
      <c r="BZ101" s="11">
        <v>0.05</v>
      </c>
      <c r="CA101" s="11">
        <v>17263.657599999999</v>
      </c>
      <c r="CB101" s="11">
        <v>1.4388489208633094E-3</v>
      </c>
      <c r="CC101" s="11">
        <v>500</v>
      </c>
      <c r="CD101" s="11">
        <v>50</v>
      </c>
      <c r="CE101" s="11">
        <v>17375</v>
      </c>
    </row>
    <row r="102" spans="1:83" hidden="1">
      <c r="A102" s="13">
        <f t="shared" ca="1" si="244"/>
        <v>95</v>
      </c>
      <c r="B102" s="128">
        <v>44642</v>
      </c>
      <c r="C102" s="121" t="s">
        <v>6</v>
      </c>
      <c r="D102" s="121">
        <v>1</v>
      </c>
      <c r="E102" s="120" t="s">
        <v>632</v>
      </c>
      <c r="F102" s="121" t="s">
        <v>284</v>
      </c>
      <c r="G102" s="120"/>
      <c r="H102" s="122">
        <v>44679</v>
      </c>
      <c r="I102" s="120">
        <v>2850</v>
      </c>
      <c r="J102" s="120">
        <v>438.5</v>
      </c>
      <c r="K102" s="120">
        <v>459.5</v>
      </c>
      <c r="L102" s="124">
        <f t="shared" ca="1" si="212"/>
        <v>0</v>
      </c>
      <c r="M102" s="124">
        <f t="shared" ca="1" si="213"/>
        <v>59850</v>
      </c>
      <c r="N102" s="120">
        <f t="shared" ca="1" si="297"/>
        <v>1.047890535917902</v>
      </c>
      <c r="O102" s="164">
        <f t="shared" ca="1" si="298"/>
        <v>328.875</v>
      </c>
      <c r="P102" s="168">
        <f t="shared" ca="1" si="245"/>
        <v>1249725</v>
      </c>
      <c r="Q102" s="168" t="e">
        <f t="shared" ca="1" si="299"/>
        <v>#N/A</v>
      </c>
      <c r="R102" s="184">
        <f t="shared" ca="1" si="214"/>
        <v>0</v>
      </c>
      <c r="S102" s="124">
        <f t="shared" ca="1" si="300"/>
        <v>43.849999999999987</v>
      </c>
      <c r="T102" s="120">
        <f ca="1">VLOOKUP(TRIM($F102),Reference!B:C,2,0)</f>
        <v>428</v>
      </c>
      <c r="U102" s="181">
        <f t="shared" ca="1" si="301"/>
        <v>0</v>
      </c>
      <c r="V102" s="125" t="str">
        <f t="shared" ca="1" si="204"/>
        <v>TATAMOTORS22APRFUT</v>
      </c>
      <c r="W102" s="166" t="e">
        <f ca="1">VLOOKUP($V102,Reference!BA:BD,4,0)</f>
        <v>#N/A</v>
      </c>
      <c r="X102" s="168">
        <f t="shared" ca="1" si="205"/>
        <v>0</v>
      </c>
      <c r="Y102" s="168">
        <f t="shared" ca="1" si="206"/>
        <v>0</v>
      </c>
      <c r="Z102" s="168">
        <f t="shared" ca="1" si="215"/>
        <v>0</v>
      </c>
      <c r="AA102" s="168">
        <f t="shared" ca="1" si="207"/>
        <v>0</v>
      </c>
      <c r="AB102" s="168">
        <f t="shared" ca="1" si="208"/>
        <v>0</v>
      </c>
      <c r="AC102" s="124">
        <f t="shared" ca="1" si="209"/>
        <v>0</v>
      </c>
      <c r="AD102" s="120">
        <f t="shared" ca="1" si="302"/>
        <v>-0.21369863013698631</v>
      </c>
      <c r="AE102" s="120">
        <f t="shared" ca="1" si="303"/>
        <v>20</v>
      </c>
      <c r="AF102" s="120"/>
      <c r="AG102" s="120"/>
      <c r="AH102" s="120">
        <f t="shared" ca="1" si="246"/>
        <v>0</v>
      </c>
      <c r="AI102" s="120"/>
      <c r="AJ102" s="120">
        <f t="shared" ca="1" si="247"/>
        <v>37.491750000000003</v>
      </c>
      <c r="AK102" s="120"/>
      <c r="AL102" s="147"/>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c r="BS102" s="13">
        <v>2</v>
      </c>
      <c r="BT102" s="128">
        <v>44491</v>
      </c>
      <c r="BU102" s="121" t="s">
        <v>8</v>
      </c>
      <c r="BV102" s="120" t="s">
        <v>482</v>
      </c>
      <c r="BW102" s="121" t="s">
        <v>502</v>
      </c>
      <c r="BX102" s="120">
        <v>18400</v>
      </c>
      <c r="BY102" s="120">
        <v>41.7</v>
      </c>
      <c r="BZ102" s="120">
        <v>47.945</v>
      </c>
      <c r="CA102" s="124">
        <v>-3216.6708800000001</v>
      </c>
      <c r="CB102" s="120">
        <v>1.1497601918465228</v>
      </c>
      <c r="CC102" s="120">
        <v>500</v>
      </c>
      <c r="CD102" s="120">
        <v>50</v>
      </c>
      <c r="CE102" s="124">
        <v>20850</v>
      </c>
    </row>
    <row r="103" spans="1:83" hidden="1">
      <c r="A103" s="13">
        <f t="shared" ca="1" si="244"/>
        <v>96</v>
      </c>
      <c r="B103" s="128">
        <v>44643</v>
      </c>
      <c r="C103" s="121" t="s">
        <v>6</v>
      </c>
      <c r="D103" s="121">
        <v>1</v>
      </c>
      <c r="E103" s="120" t="s">
        <v>632</v>
      </c>
      <c r="F103" s="121" t="s">
        <v>502</v>
      </c>
      <c r="G103" s="120"/>
      <c r="H103" s="122">
        <v>44651</v>
      </c>
      <c r="I103" s="120">
        <v>100</v>
      </c>
      <c r="J103" s="120">
        <v>17440</v>
      </c>
      <c r="K103" s="120">
        <v>17488.25</v>
      </c>
      <c r="L103" s="124">
        <f t="shared" ca="1" si="212"/>
        <v>0</v>
      </c>
      <c r="M103" s="124">
        <f t="shared" ca="1" si="213"/>
        <v>4825</v>
      </c>
      <c r="N103" s="120">
        <f t="shared" ca="1" si="297"/>
        <v>1.0027666284403669</v>
      </c>
      <c r="O103" s="164">
        <f t="shared" ca="1" si="298"/>
        <v>13080</v>
      </c>
      <c r="P103" s="168">
        <f t="shared" ca="1" si="245"/>
        <v>1744000</v>
      </c>
      <c r="Q103" s="168" t="e">
        <f t="shared" ca="1" si="299"/>
        <v>#N/A</v>
      </c>
      <c r="R103" s="184">
        <f t="shared" ca="1" si="214"/>
        <v>0</v>
      </c>
      <c r="S103" s="124">
        <f t="shared" ca="1" si="300"/>
        <v>1743.9999999999995</v>
      </c>
      <c r="T103" s="120">
        <f ca="1">VLOOKUP(TRIM($F103),Reference!B:C,2,0)</f>
        <v>15938.65</v>
      </c>
      <c r="U103" s="181">
        <f t="shared" ca="1" si="301"/>
        <v>0</v>
      </c>
      <c r="V103" s="125" t="str">
        <f t="shared" ca="1" si="204"/>
        <v>NIFTY22MARFUT</v>
      </c>
      <c r="W103" s="166" t="e">
        <f ca="1">VLOOKUP($V103,Reference!BA:BD,4,0)</f>
        <v>#N/A</v>
      </c>
      <c r="X103" s="168">
        <f t="shared" ca="1" si="205"/>
        <v>0</v>
      </c>
      <c r="Y103" s="168">
        <f t="shared" ca="1" si="206"/>
        <v>0</v>
      </c>
      <c r="Z103" s="168">
        <f t="shared" ca="1" si="215"/>
        <v>0</v>
      </c>
      <c r="AA103" s="168">
        <f t="shared" ca="1" si="207"/>
        <v>0</v>
      </c>
      <c r="AB103" s="168">
        <f t="shared" ca="1" si="208"/>
        <v>0</v>
      </c>
      <c r="AC103" s="124">
        <f t="shared" ca="1" si="209"/>
        <v>0</v>
      </c>
      <c r="AD103" s="120">
        <f t="shared" ca="1" si="302"/>
        <v>-0.29041095890410956</v>
      </c>
      <c r="AE103" s="120">
        <f t="shared" ca="1" si="303"/>
        <v>20</v>
      </c>
      <c r="AF103" s="120"/>
      <c r="AG103" s="120"/>
      <c r="AH103" s="120">
        <f t="shared" ca="1" si="246"/>
        <v>0</v>
      </c>
      <c r="AI103" s="120"/>
      <c r="AJ103" s="120">
        <f t="shared" ca="1" si="247"/>
        <v>52.32</v>
      </c>
      <c r="AK103" s="120"/>
      <c r="AL103" s="147"/>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S103" s="13">
        <v>2</v>
      </c>
      <c r="BT103" s="128">
        <v>44491</v>
      </c>
      <c r="BU103" s="121" t="s">
        <v>8</v>
      </c>
      <c r="BV103" s="120" t="s">
        <v>482</v>
      </c>
      <c r="BW103" s="121" t="s">
        <v>502</v>
      </c>
      <c r="BX103" s="120">
        <v>18400</v>
      </c>
      <c r="BY103" s="120">
        <v>41.7</v>
      </c>
      <c r="BZ103" s="120">
        <v>47.945</v>
      </c>
      <c r="CA103" s="124">
        <v>-3216.6708800000001</v>
      </c>
      <c r="CB103" s="120">
        <v>1.1497601918465228</v>
      </c>
      <c r="CC103" s="120">
        <v>500</v>
      </c>
      <c r="CD103" s="120">
        <v>50</v>
      </c>
      <c r="CE103" s="124">
        <v>20850</v>
      </c>
    </row>
    <row r="104" spans="1:83" hidden="1">
      <c r="A104" s="13">
        <f t="shared" ca="1" si="244"/>
        <v>97</v>
      </c>
      <c r="B104" s="128">
        <v>44623</v>
      </c>
      <c r="C104" s="121" t="s">
        <v>6</v>
      </c>
      <c r="D104" s="121">
        <v>1</v>
      </c>
      <c r="E104" s="120" t="s">
        <v>632</v>
      </c>
      <c r="F104" s="121" t="s">
        <v>130</v>
      </c>
      <c r="G104" s="120"/>
      <c r="H104" s="122">
        <v>44651</v>
      </c>
      <c r="I104" s="120">
        <v>6750</v>
      </c>
      <c r="J104" s="120">
        <v>230.3</v>
      </c>
      <c r="K104" s="120">
        <v>237</v>
      </c>
      <c r="L104" s="124">
        <f t="shared" ca="1" si="212"/>
        <v>0</v>
      </c>
      <c r="M104" s="124">
        <f t="shared" ca="1" si="213"/>
        <v>45224.99999999992</v>
      </c>
      <c r="N104" s="120">
        <f t="shared" ca="1" si="297"/>
        <v>1.0290924880590533</v>
      </c>
      <c r="O104" s="164">
        <f t="shared" ca="1" si="298"/>
        <v>172.72500000000002</v>
      </c>
      <c r="P104" s="168">
        <f t="shared" ca="1" si="245"/>
        <v>1554525</v>
      </c>
      <c r="Q104" s="168" t="e">
        <f t="shared" ca="1" si="299"/>
        <v>#N/A</v>
      </c>
      <c r="R104" s="184">
        <f t="shared" ca="1" si="214"/>
        <v>0</v>
      </c>
      <c r="S104" s="124">
        <f t="shared" ca="1" si="300"/>
        <v>23.029999999999998</v>
      </c>
      <c r="T104" s="120">
        <f ca="1">VLOOKUP(TRIM($F104),Reference!B:C,2,0)</f>
        <v>221.6</v>
      </c>
      <c r="U104" s="181">
        <f t="shared" ca="1" si="301"/>
        <v>0</v>
      </c>
      <c r="V104" s="125" t="str">
        <f t="shared" ca="1" si="204"/>
        <v>TATAPOWER22MARFUT</v>
      </c>
      <c r="W104" s="166" t="e">
        <f ca="1">VLOOKUP($V104,Reference!BA:BD,4,0)</f>
        <v>#N/A</v>
      </c>
      <c r="X104" s="168">
        <f t="shared" ca="1" si="205"/>
        <v>0</v>
      </c>
      <c r="Y104" s="168">
        <f t="shared" ca="1" si="206"/>
        <v>0</v>
      </c>
      <c r="Z104" s="168">
        <f t="shared" ca="1" si="215"/>
        <v>0</v>
      </c>
      <c r="AA104" s="168">
        <f t="shared" ca="1" si="207"/>
        <v>0</v>
      </c>
      <c r="AB104" s="168">
        <f t="shared" ca="1" si="208"/>
        <v>0</v>
      </c>
      <c r="AC104" s="124">
        <f t="shared" ca="1" si="209"/>
        <v>0</v>
      </c>
      <c r="AD104" s="120">
        <f t="shared" ca="1" si="302"/>
        <v>-0.29041095890410956</v>
      </c>
      <c r="AE104" s="120">
        <f t="shared" ca="1" si="303"/>
        <v>20</v>
      </c>
      <c r="AF104" s="120"/>
      <c r="AG104" s="120"/>
      <c r="AH104" s="120">
        <f t="shared" ca="1" si="246"/>
        <v>0</v>
      </c>
      <c r="AI104" s="120"/>
      <c r="AJ104" s="120">
        <f t="shared" ca="1" si="247"/>
        <v>46.635750000000002</v>
      </c>
      <c r="AK104" s="120"/>
      <c r="AL104" s="147"/>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c r="BS104" s="13">
        <v>2</v>
      </c>
      <c r="BT104" s="128">
        <v>44491</v>
      </c>
      <c r="BU104" s="121" t="s">
        <v>8</v>
      </c>
      <c r="BV104" s="120" t="s">
        <v>482</v>
      </c>
      <c r="BW104" s="121" t="s">
        <v>502</v>
      </c>
      <c r="BX104" s="120">
        <v>18400</v>
      </c>
      <c r="BY104" s="120">
        <v>41.7</v>
      </c>
      <c r="BZ104" s="120">
        <v>47.945</v>
      </c>
      <c r="CA104" s="124">
        <v>-3216.6708800000001</v>
      </c>
      <c r="CB104" s="120">
        <v>1.1497601918465228</v>
      </c>
      <c r="CC104" s="120">
        <v>500</v>
      </c>
      <c r="CD104" s="120">
        <v>50</v>
      </c>
      <c r="CE104" s="124">
        <v>20850</v>
      </c>
    </row>
    <row r="105" spans="1:83" hidden="1">
      <c r="A105" s="13">
        <f t="shared" ca="1" si="244"/>
        <v>98</v>
      </c>
      <c r="B105" s="128">
        <v>44674</v>
      </c>
      <c r="C105" s="121" t="s">
        <v>6</v>
      </c>
      <c r="D105" s="121">
        <v>1</v>
      </c>
      <c r="E105" s="120" t="s">
        <v>632</v>
      </c>
      <c r="F105" s="121" t="s">
        <v>130</v>
      </c>
      <c r="G105" s="120"/>
      <c r="H105" s="122">
        <v>44679</v>
      </c>
      <c r="I105" s="120">
        <v>6750</v>
      </c>
      <c r="J105" s="120">
        <v>237.6</v>
      </c>
      <c r="K105" s="120">
        <v>246.6</v>
      </c>
      <c r="L105" s="124">
        <f t="shared" ca="1" si="212"/>
        <v>0</v>
      </c>
      <c r="M105" s="124">
        <f t="shared" ca="1" si="213"/>
        <v>60750</v>
      </c>
      <c r="N105" s="120">
        <f t="shared" ref="N105:N106" ca="1" si="304">K105/$J105</f>
        <v>1.0378787878787878</v>
      </c>
      <c r="O105" s="164">
        <f t="shared" ref="O105:O106" ca="1" si="305">J105*(1+$O$6*IF(C105="B",-1,1))</f>
        <v>178.2</v>
      </c>
      <c r="P105" s="168">
        <f t="shared" ca="1" si="245"/>
        <v>1603800</v>
      </c>
      <c r="Q105" s="168" t="e">
        <f t="shared" ref="Q105:Q106" ca="1" si="306">(W105-J105)*I105*IF(C105="B",1,-1)*IF(K105=0,1,0)</f>
        <v>#N/A</v>
      </c>
      <c r="R105" s="184">
        <f t="shared" ca="1" si="214"/>
        <v>0</v>
      </c>
      <c r="S105" s="124">
        <f t="shared" ref="S105:S106" ca="1" si="307">(1-$S$6)*J105</f>
        <v>23.759999999999994</v>
      </c>
      <c r="T105" s="120">
        <f ca="1">VLOOKUP(TRIM($F105),Reference!B:C,2,0)</f>
        <v>221.6</v>
      </c>
      <c r="U105" s="181">
        <f t="shared" ref="U105:U106" ca="1" si="308">AC105</f>
        <v>0</v>
      </c>
      <c r="V105" s="125" t="str">
        <f t="shared" ca="1" si="204"/>
        <v>TATAPOWER22APRFUT</v>
      </c>
      <c r="W105" s="166" t="e">
        <f ca="1">VLOOKUP($V105,Reference!BA:BD,4,0)</f>
        <v>#N/A</v>
      </c>
      <c r="X105" s="168">
        <f t="shared" ca="1" si="205"/>
        <v>0</v>
      </c>
      <c r="Y105" s="168">
        <f t="shared" ca="1" si="206"/>
        <v>0</v>
      </c>
      <c r="Z105" s="168">
        <f t="shared" ca="1" si="215"/>
        <v>0</v>
      </c>
      <c r="AA105" s="168">
        <f t="shared" ca="1" si="207"/>
        <v>0</v>
      </c>
      <c r="AB105" s="168">
        <f t="shared" ca="1" si="208"/>
        <v>0</v>
      </c>
      <c r="AC105" s="124">
        <f t="shared" ca="1" si="209"/>
        <v>0</v>
      </c>
      <c r="AD105" s="120">
        <f t="shared" ref="AD105:AD106" ca="1" si="309">(H105-TODAY())/365</f>
        <v>-0.21369863013698631</v>
      </c>
      <c r="AE105" s="120">
        <f t="shared" ref="AE105:AE106" ca="1" si="310">IF(I105&lt;&gt;0,20,0)</f>
        <v>20</v>
      </c>
      <c r="AF105" s="120"/>
      <c r="AG105" s="120"/>
      <c r="AH105" s="120">
        <f t="shared" ca="1" si="246"/>
        <v>0</v>
      </c>
      <c r="AI105" s="120"/>
      <c r="AJ105" s="120">
        <f t="shared" ca="1" si="247"/>
        <v>48.114000000000004</v>
      </c>
      <c r="AK105" s="120"/>
      <c r="AL105" s="147"/>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c r="BS105" s="13">
        <v>2</v>
      </c>
      <c r="BT105" s="128">
        <v>44491</v>
      </c>
      <c r="BU105" s="121" t="s">
        <v>8</v>
      </c>
      <c r="BV105" s="120" t="s">
        <v>482</v>
      </c>
      <c r="BW105" s="121" t="s">
        <v>502</v>
      </c>
      <c r="BX105" s="120">
        <v>18400</v>
      </c>
      <c r="BY105" s="120">
        <v>41.7</v>
      </c>
      <c r="BZ105" s="120">
        <v>47.945</v>
      </c>
      <c r="CA105" s="124">
        <v>-3216.6708800000001</v>
      </c>
      <c r="CB105" s="120">
        <v>1.1497601918465228</v>
      </c>
      <c r="CC105" s="120">
        <v>500</v>
      </c>
      <c r="CD105" s="120">
        <v>50</v>
      </c>
      <c r="CE105" s="124">
        <v>20850</v>
      </c>
    </row>
    <row r="106" spans="1:83" hidden="1">
      <c r="A106" s="13">
        <f t="shared" ca="1" si="244"/>
        <v>99</v>
      </c>
      <c r="B106" s="128">
        <v>44644</v>
      </c>
      <c r="C106" s="121" t="s">
        <v>8</v>
      </c>
      <c r="D106" s="121">
        <v>1</v>
      </c>
      <c r="E106" s="120" t="s">
        <v>481</v>
      </c>
      <c r="F106" s="121" t="s">
        <v>130</v>
      </c>
      <c r="G106" s="120">
        <v>250</v>
      </c>
      <c r="H106" s="122">
        <v>44651</v>
      </c>
      <c r="I106" s="120">
        <v>6750</v>
      </c>
      <c r="J106" s="120">
        <v>2.0499999999999998</v>
      </c>
      <c r="K106" s="120">
        <v>2.1</v>
      </c>
      <c r="L106" s="124">
        <f t="shared" ca="1" si="212"/>
        <v>0</v>
      </c>
      <c r="M106" s="124">
        <f t="shared" ca="1" si="213"/>
        <v>-337.50000000000182</v>
      </c>
      <c r="N106" s="120">
        <f t="shared" ca="1" si="304"/>
        <v>1.024390243902439</v>
      </c>
      <c r="O106" s="164">
        <f t="shared" ca="1" si="305"/>
        <v>2.5625</v>
      </c>
      <c r="P106" s="168">
        <f t="shared" ca="1" si="245"/>
        <v>13837.499999999998</v>
      </c>
      <c r="Q106" s="168" t="e">
        <f t="shared" ca="1" si="306"/>
        <v>#N/A</v>
      </c>
      <c r="R106" s="184">
        <f t="shared" ca="1" si="214"/>
        <v>0</v>
      </c>
      <c r="S106" s="124">
        <f t="shared" ca="1" si="307"/>
        <v>0.20499999999999993</v>
      </c>
      <c r="T106" s="120">
        <f ca="1">VLOOKUP(TRIM($F106),Reference!B:C,2,0)</f>
        <v>221.6</v>
      </c>
      <c r="U106" s="181">
        <f t="shared" ca="1" si="308"/>
        <v>0</v>
      </c>
      <c r="V106" s="125" t="str">
        <f t="shared" ca="1" si="204"/>
        <v>TATAPOWER22MAR250CE</v>
      </c>
      <c r="W106" s="166" t="e">
        <f ca="1">VLOOKUP($V106,Reference!BA:BD,4,0)</f>
        <v>#N/A</v>
      </c>
      <c r="X106" s="168">
        <f t="shared" ca="1" si="205"/>
        <v>0</v>
      </c>
      <c r="Y106" s="168">
        <f t="shared" ca="1" si="206"/>
        <v>0</v>
      </c>
      <c r="Z106" s="168">
        <f t="shared" ca="1" si="215"/>
        <v>0</v>
      </c>
      <c r="AA106" s="168">
        <f t="shared" ca="1" si="207"/>
        <v>0</v>
      </c>
      <c r="AB106" s="168">
        <f t="shared" ca="1" si="208"/>
        <v>0</v>
      </c>
      <c r="AC106" s="124">
        <f t="shared" ca="1" si="209"/>
        <v>0</v>
      </c>
      <c r="AD106" s="120">
        <f t="shared" ca="1" si="309"/>
        <v>-0.29041095890410956</v>
      </c>
      <c r="AE106" s="120">
        <f t="shared" ca="1" si="310"/>
        <v>20</v>
      </c>
      <c r="AF106" s="120"/>
      <c r="AG106" s="120"/>
      <c r="AH106" s="120">
        <f t="shared" ca="1" si="246"/>
        <v>6.9187499999999993</v>
      </c>
      <c r="AI106" s="120"/>
      <c r="AJ106" s="120">
        <f t="shared" ca="1" si="247"/>
        <v>0</v>
      </c>
      <c r="AK106" s="120"/>
      <c r="AL106" s="147"/>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c r="BS106" s="13">
        <v>2</v>
      </c>
      <c r="BT106" s="128">
        <v>44491</v>
      </c>
      <c r="BU106" s="121" t="s">
        <v>8</v>
      </c>
      <c r="BV106" s="120" t="s">
        <v>482</v>
      </c>
      <c r="BW106" s="121" t="s">
        <v>502</v>
      </c>
      <c r="BX106" s="120">
        <v>18400</v>
      </c>
      <c r="BY106" s="120">
        <v>41.7</v>
      </c>
      <c r="BZ106" s="120">
        <v>47.945</v>
      </c>
      <c r="CA106" s="124">
        <v>-3216.6708800000001</v>
      </c>
      <c r="CB106" s="120">
        <v>1.1497601918465228</v>
      </c>
      <c r="CC106" s="120">
        <v>500</v>
      </c>
      <c r="CD106" s="120">
        <v>50</v>
      </c>
      <c r="CE106" s="124">
        <v>20850</v>
      </c>
    </row>
    <row r="107" spans="1:83" hidden="1">
      <c r="A107" s="13">
        <f t="shared" ca="1" si="244"/>
        <v>100</v>
      </c>
      <c r="B107" s="128">
        <v>44644</v>
      </c>
      <c r="C107" s="121" t="s">
        <v>6</v>
      </c>
      <c r="D107" s="121">
        <v>0</v>
      </c>
      <c r="E107" s="120" t="s">
        <v>632</v>
      </c>
      <c r="F107" s="121" t="s">
        <v>399</v>
      </c>
      <c r="G107" s="120"/>
      <c r="H107" s="122">
        <v>44679</v>
      </c>
      <c r="I107" s="120">
        <v>575</v>
      </c>
      <c r="J107" s="120">
        <v>1780.35</v>
      </c>
      <c r="K107" s="120">
        <v>1678</v>
      </c>
      <c r="L107" s="124">
        <f t="shared" ca="1" si="212"/>
        <v>0</v>
      </c>
      <c r="M107" s="124">
        <f t="shared" ca="1" si="213"/>
        <v>0</v>
      </c>
      <c r="N107" s="120">
        <f t="shared" ref="N107:N116" ca="1" si="311">K107/$J107</f>
        <v>0.94251130395708715</v>
      </c>
      <c r="O107" s="164">
        <f t="shared" ref="O107:O116" ca="1" si="312">J107*(1+$O$6*IF(C107="B",-1,1))</f>
        <v>1335.2624999999998</v>
      </c>
      <c r="P107" s="168">
        <f t="shared" ca="1" si="245"/>
        <v>0</v>
      </c>
      <c r="Q107" s="168" t="e">
        <f t="shared" ref="Q107:Q116" ca="1" si="313">(W107-J107)*I107*IF(C107="B",1,-1)*IF(K107=0,1,0)</f>
        <v>#N/A</v>
      </c>
      <c r="R107" s="184">
        <f t="shared" ca="1" si="214"/>
        <v>0</v>
      </c>
      <c r="S107" s="124">
        <f t="shared" ref="S107:S116" ca="1" si="314">(1-$S$6)*J107</f>
        <v>178.03499999999994</v>
      </c>
      <c r="T107" s="120">
        <f ca="1">VLOOKUP(TRIM($F107),Reference!B:C,2,0)</f>
        <v>1646</v>
      </c>
      <c r="U107" s="181">
        <f t="shared" ref="U107:U116" ca="1" si="315">AC107</f>
        <v>0</v>
      </c>
      <c r="V107" s="125" t="str">
        <f t="shared" ca="1" si="204"/>
        <v>LT22APRFUT</v>
      </c>
      <c r="W107" s="166" t="e">
        <f ca="1">VLOOKUP($V107,Reference!BA:BD,4,0)</f>
        <v>#N/A</v>
      </c>
      <c r="X107" s="168">
        <f t="shared" ca="1" si="205"/>
        <v>0</v>
      </c>
      <c r="Y107" s="168">
        <f t="shared" ca="1" si="206"/>
        <v>0</v>
      </c>
      <c r="Z107" s="168">
        <f t="shared" ca="1" si="215"/>
        <v>0</v>
      </c>
      <c r="AA107" s="168">
        <f t="shared" ca="1" si="207"/>
        <v>0</v>
      </c>
      <c r="AB107" s="168">
        <f t="shared" ca="1" si="208"/>
        <v>0</v>
      </c>
      <c r="AC107" s="124">
        <f t="shared" ca="1" si="209"/>
        <v>0</v>
      </c>
      <c r="AD107" s="120">
        <f t="shared" ref="AD107:AD116" ca="1" si="316">(H107-TODAY())/365</f>
        <v>-0.21369863013698631</v>
      </c>
      <c r="AE107" s="120">
        <f t="shared" ref="AE107:AE116" ca="1" si="317">IF(I107&lt;&gt;0,20,0)</f>
        <v>20</v>
      </c>
      <c r="AF107" s="120"/>
      <c r="AG107" s="120"/>
      <c r="AH107" s="120">
        <f t="shared" ca="1" si="246"/>
        <v>0</v>
      </c>
      <c r="AI107" s="120"/>
      <c r="AJ107" s="120">
        <f t="shared" ca="1" si="247"/>
        <v>0</v>
      </c>
      <c r="AK107" s="120"/>
      <c r="AL107" s="147"/>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c r="BS107" s="13">
        <v>2</v>
      </c>
      <c r="BT107" s="128">
        <v>44491</v>
      </c>
      <c r="BU107" s="121" t="s">
        <v>8</v>
      </c>
      <c r="BV107" s="120" t="s">
        <v>482</v>
      </c>
      <c r="BW107" s="121" t="s">
        <v>502</v>
      </c>
      <c r="BX107" s="120">
        <v>18400</v>
      </c>
      <c r="BY107" s="120">
        <v>41.7</v>
      </c>
      <c r="BZ107" s="120">
        <v>47.945</v>
      </c>
      <c r="CA107" s="124">
        <v>-3216.6708800000001</v>
      </c>
      <c r="CB107" s="120">
        <v>1.1497601918465228</v>
      </c>
      <c r="CC107" s="120">
        <v>500</v>
      </c>
      <c r="CD107" s="120">
        <v>50</v>
      </c>
      <c r="CE107" s="124">
        <v>20850</v>
      </c>
    </row>
    <row r="108" spans="1:83" hidden="1">
      <c r="A108" s="13">
        <f t="shared" ca="1" si="244"/>
        <v>101</v>
      </c>
      <c r="B108" s="128">
        <v>44644</v>
      </c>
      <c r="C108" s="121" t="s">
        <v>8</v>
      </c>
      <c r="D108" s="121">
        <v>1</v>
      </c>
      <c r="E108" s="120" t="s">
        <v>481</v>
      </c>
      <c r="F108" s="121" t="s">
        <v>399</v>
      </c>
      <c r="G108" s="120">
        <v>2000</v>
      </c>
      <c r="H108" s="122">
        <v>44679</v>
      </c>
      <c r="I108" s="120">
        <v>575</v>
      </c>
      <c r="J108" s="120">
        <v>9.75</v>
      </c>
      <c r="K108" s="120">
        <v>0.95</v>
      </c>
      <c r="L108" s="124">
        <f t="shared" ca="1" si="212"/>
        <v>0</v>
      </c>
      <c r="M108" s="124">
        <f t="shared" ca="1" si="213"/>
        <v>5060</v>
      </c>
      <c r="N108" s="120">
        <f t="shared" ca="1" si="311"/>
        <v>9.7435897435897437E-2</v>
      </c>
      <c r="O108" s="164">
        <f t="shared" ca="1" si="312"/>
        <v>12.1875</v>
      </c>
      <c r="P108" s="168">
        <f t="shared" ca="1" si="245"/>
        <v>5606.25</v>
      </c>
      <c r="Q108" s="168" t="e">
        <f t="shared" ca="1" si="313"/>
        <v>#N/A</v>
      </c>
      <c r="R108" s="184">
        <f t="shared" ca="1" si="214"/>
        <v>0</v>
      </c>
      <c r="S108" s="124">
        <f t="shared" ca="1" si="314"/>
        <v>0.97499999999999976</v>
      </c>
      <c r="T108" s="120">
        <f ca="1">VLOOKUP(TRIM($F108),Reference!B:C,2,0)</f>
        <v>1646</v>
      </c>
      <c r="U108" s="181">
        <f t="shared" ca="1" si="315"/>
        <v>0</v>
      </c>
      <c r="V108" s="125" t="str">
        <f t="shared" ca="1" si="204"/>
        <v>LT22APR2000CE</v>
      </c>
      <c r="W108" s="166" t="e">
        <f ca="1">VLOOKUP($V108,Reference!BA:BD,4,0)</f>
        <v>#N/A</v>
      </c>
      <c r="X108" s="168">
        <f t="shared" ca="1" si="205"/>
        <v>0</v>
      </c>
      <c r="Y108" s="168">
        <f t="shared" ca="1" si="206"/>
        <v>0</v>
      </c>
      <c r="Z108" s="168">
        <f t="shared" ca="1" si="215"/>
        <v>0</v>
      </c>
      <c r="AA108" s="168">
        <f t="shared" ca="1" si="207"/>
        <v>0</v>
      </c>
      <c r="AB108" s="168">
        <f t="shared" ca="1" si="208"/>
        <v>0</v>
      </c>
      <c r="AC108" s="124">
        <f t="shared" ca="1" si="209"/>
        <v>0</v>
      </c>
      <c r="AD108" s="120">
        <f t="shared" ca="1" si="316"/>
        <v>-0.21369863013698631</v>
      </c>
      <c r="AE108" s="120">
        <f t="shared" ca="1" si="317"/>
        <v>20</v>
      </c>
      <c r="AF108" s="120"/>
      <c r="AG108" s="120"/>
      <c r="AH108" s="120">
        <f t="shared" ca="1" si="246"/>
        <v>2.8031250000000001</v>
      </c>
      <c r="AI108" s="120"/>
      <c r="AJ108" s="120">
        <f t="shared" ca="1" si="247"/>
        <v>0</v>
      </c>
      <c r="AK108" s="120"/>
      <c r="AL108" s="147"/>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c r="BS108" s="13">
        <v>2</v>
      </c>
      <c r="BT108" s="128">
        <v>44491</v>
      </c>
      <c r="BU108" s="121" t="s">
        <v>8</v>
      </c>
      <c r="BV108" s="120" t="s">
        <v>482</v>
      </c>
      <c r="BW108" s="121" t="s">
        <v>502</v>
      </c>
      <c r="BX108" s="120">
        <v>18400</v>
      </c>
      <c r="BY108" s="120">
        <v>41.7</v>
      </c>
      <c r="BZ108" s="120">
        <v>47.945</v>
      </c>
      <c r="CA108" s="124">
        <v>-3216.6708800000001</v>
      </c>
      <c r="CB108" s="120">
        <v>1.1497601918465228</v>
      </c>
      <c r="CC108" s="120">
        <v>500</v>
      </c>
      <c r="CD108" s="120">
        <v>50</v>
      </c>
      <c r="CE108" s="124">
        <v>20850</v>
      </c>
    </row>
    <row r="109" spans="1:83" hidden="1">
      <c r="A109" s="13">
        <f t="shared" ca="1" si="244"/>
        <v>102</v>
      </c>
      <c r="B109" s="128">
        <v>44644</v>
      </c>
      <c r="C109" s="121" t="s">
        <v>6</v>
      </c>
      <c r="D109" s="121">
        <v>1</v>
      </c>
      <c r="E109" s="120" t="s">
        <v>632</v>
      </c>
      <c r="F109" s="121" t="s">
        <v>130</v>
      </c>
      <c r="G109" s="120"/>
      <c r="H109" s="122">
        <v>44679</v>
      </c>
      <c r="I109" s="120">
        <v>6750</v>
      </c>
      <c r="J109" s="120">
        <v>240.45</v>
      </c>
      <c r="K109" s="120">
        <v>246.6</v>
      </c>
      <c r="L109" s="124">
        <f t="shared" ca="1" si="212"/>
        <v>0</v>
      </c>
      <c r="M109" s="124">
        <f t="shared" ca="1" si="213"/>
        <v>41512.500000000036</v>
      </c>
      <c r="N109" s="120">
        <f t="shared" ca="1" si="311"/>
        <v>1.0255770430442919</v>
      </c>
      <c r="O109" s="164">
        <f t="shared" ca="1" si="312"/>
        <v>180.33749999999998</v>
      </c>
      <c r="P109" s="168">
        <f t="shared" ca="1" si="245"/>
        <v>1623037.5</v>
      </c>
      <c r="Q109" s="168" t="e">
        <f t="shared" ca="1" si="313"/>
        <v>#N/A</v>
      </c>
      <c r="R109" s="184">
        <f t="shared" ca="1" si="214"/>
        <v>0</v>
      </c>
      <c r="S109" s="124">
        <f t="shared" ca="1" si="314"/>
        <v>24.044999999999995</v>
      </c>
      <c r="T109" s="120">
        <f ca="1">VLOOKUP(TRIM($F109),Reference!B:C,2,0)</f>
        <v>221.6</v>
      </c>
      <c r="U109" s="181">
        <f t="shared" ca="1" si="315"/>
        <v>0</v>
      </c>
      <c r="V109" s="125" t="str">
        <f t="shared" ca="1" si="204"/>
        <v>TATAPOWER22APRFUT</v>
      </c>
      <c r="W109" s="166" t="e">
        <f ca="1">VLOOKUP($V109,Reference!BA:BD,4,0)</f>
        <v>#N/A</v>
      </c>
      <c r="X109" s="168">
        <f t="shared" ca="1" si="205"/>
        <v>0</v>
      </c>
      <c r="Y109" s="168">
        <f t="shared" ca="1" si="206"/>
        <v>0</v>
      </c>
      <c r="Z109" s="168">
        <f t="shared" ca="1" si="215"/>
        <v>0</v>
      </c>
      <c r="AA109" s="168">
        <f t="shared" ca="1" si="207"/>
        <v>0</v>
      </c>
      <c r="AB109" s="168">
        <f t="shared" ca="1" si="208"/>
        <v>0</v>
      </c>
      <c r="AC109" s="124">
        <f t="shared" ca="1" si="209"/>
        <v>0</v>
      </c>
      <c r="AD109" s="120">
        <f t="shared" ca="1" si="316"/>
        <v>-0.21369863013698631</v>
      </c>
      <c r="AE109" s="120">
        <f t="shared" ca="1" si="317"/>
        <v>20</v>
      </c>
      <c r="AF109" s="120"/>
      <c r="AG109" s="120"/>
      <c r="AH109" s="120">
        <f t="shared" ca="1" si="246"/>
        <v>0</v>
      </c>
      <c r="AI109" s="120"/>
      <c r="AJ109" s="120">
        <f t="shared" ca="1" si="247"/>
        <v>48.691125</v>
      </c>
      <c r="AK109" s="120"/>
      <c r="AL109" s="147"/>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c r="BS109" s="13">
        <v>2</v>
      </c>
      <c r="BT109" s="128">
        <v>44491</v>
      </c>
      <c r="BU109" s="121" t="s">
        <v>8</v>
      </c>
      <c r="BV109" s="120" t="s">
        <v>482</v>
      </c>
      <c r="BW109" s="121" t="s">
        <v>502</v>
      </c>
      <c r="BX109" s="120">
        <v>18400</v>
      </c>
      <c r="BY109" s="120">
        <v>41.7</v>
      </c>
      <c r="BZ109" s="120">
        <v>47.945</v>
      </c>
      <c r="CA109" s="124">
        <v>-3216.6708800000001</v>
      </c>
      <c r="CB109" s="120">
        <v>1.1497601918465228</v>
      </c>
      <c r="CC109" s="120">
        <v>500</v>
      </c>
      <c r="CD109" s="120">
        <v>50</v>
      </c>
      <c r="CE109" s="124">
        <v>20850</v>
      </c>
    </row>
    <row r="110" spans="1:83" hidden="1">
      <c r="A110" s="13">
        <f t="shared" ca="1" si="244"/>
        <v>103</v>
      </c>
      <c r="B110" s="128">
        <v>44648</v>
      </c>
      <c r="C110" s="121" t="s">
        <v>6</v>
      </c>
      <c r="D110" s="121">
        <v>1</v>
      </c>
      <c r="E110" s="120" t="s">
        <v>632</v>
      </c>
      <c r="F110" s="121" t="s">
        <v>126</v>
      </c>
      <c r="G110" s="120"/>
      <c r="H110" s="122">
        <v>44679</v>
      </c>
      <c r="I110" s="120">
        <v>3750</v>
      </c>
      <c r="J110" s="120">
        <v>228.3</v>
      </c>
      <c r="K110" s="120">
        <v>246.5</v>
      </c>
      <c r="L110" s="124">
        <f t="shared" ca="1" si="212"/>
        <v>0</v>
      </c>
      <c r="M110" s="124">
        <f t="shared" ca="1" si="213"/>
        <v>68249.999999999956</v>
      </c>
      <c r="N110" s="120">
        <f t="shared" ca="1" si="311"/>
        <v>1.0797196671046867</v>
      </c>
      <c r="O110" s="164">
        <f t="shared" ca="1" si="312"/>
        <v>171.22500000000002</v>
      </c>
      <c r="P110" s="168">
        <f t="shared" ca="1" si="245"/>
        <v>856125</v>
      </c>
      <c r="Q110" s="168" t="e">
        <f t="shared" ca="1" si="313"/>
        <v>#N/A</v>
      </c>
      <c r="R110" s="184">
        <f t="shared" ca="1" si="214"/>
        <v>0</v>
      </c>
      <c r="S110" s="124">
        <f t="shared" ca="1" si="314"/>
        <v>22.829999999999995</v>
      </c>
      <c r="T110" s="120">
        <f ca="1">VLOOKUP(TRIM($F110),Reference!B:C,2,0)</f>
        <v>162.15</v>
      </c>
      <c r="U110" s="181">
        <f t="shared" ca="1" si="315"/>
        <v>0</v>
      </c>
      <c r="V110" s="125" t="str">
        <f t="shared" ca="1" si="204"/>
        <v>IEX22APRFUT</v>
      </c>
      <c r="W110" s="166" t="e">
        <f ca="1">VLOOKUP($V110,Reference!BA:BD,4,0)</f>
        <v>#N/A</v>
      </c>
      <c r="X110" s="168">
        <f t="shared" ca="1" si="205"/>
        <v>0</v>
      </c>
      <c r="Y110" s="168">
        <f t="shared" ca="1" si="206"/>
        <v>0</v>
      </c>
      <c r="Z110" s="168">
        <f t="shared" ca="1" si="215"/>
        <v>0</v>
      </c>
      <c r="AA110" s="168">
        <f t="shared" ca="1" si="207"/>
        <v>0</v>
      </c>
      <c r="AB110" s="168">
        <f t="shared" ca="1" si="208"/>
        <v>0</v>
      </c>
      <c r="AC110" s="124">
        <f t="shared" ca="1" si="209"/>
        <v>0</v>
      </c>
      <c r="AD110" s="120">
        <f t="shared" ca="1" si="316"/>
        <v>-0.21369863013698631</v>
      </c>
      <c r="AE110" s="120">
        <f t="shared" ca="1" si="317"/>
        <v>20</v>
      </c>
      <c r="AF110" s="120"/>
      <c r="AG110" s="120"/>
      <c r="AH110" s="120">
        <f t="shared" ca="1" si="246"/>
        <v>0</v>
      </c>
      <c r="AI110" s="120"/>
      <c r="AJ110" s="120">
        <f t="shared" ca="1" si="247"/>
        <v>25.68375</v>
      </c>
      <c r="AK110" s="120"/>
      <c r="AL110" s="147"/>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c r="BS110" s="13">
        <v>2</v>
      </c>
      <c r="BT110" s="128">
        <v>44491</v>
      </c>
      <c r="BU110" s="121" t="s">
        <v>8</v>
      </c>
      <c r="BV110" s="120" t="s">
        <v>482</v>
      </c>
      <c r="BW110" s="121" t="s">
        <v>502</v>
      </c>
      <c r="BX110" s="120">
        <v>18400</v>
      </c>
      <c r="BY110" s="120">
        <v>41.7</v>
      </c>
      <c r="BZ110" s="120">
        <v>47.945</v>
      </c>
      <c r="CA110" s="124">
        <v>-3216.6708800000001</v>
      </c>
      <c r="CB110" s="120">
        <v>1.1497601918465228</v>
      </c>
      <c r="CC110" s="120">
        <v>500</v>
      </c>
      <c r="CD110" s="120">
        <v>50</v>
      </c>
      <c r="CE110" s="124">
        <v>20850</v>
      </c>
    </row>
    <row r="111" spans="1:83" hidden="1">
      <c r="A111" s="13">
        <f t="shared" ca="1" si="244"/>
        <v>104</v>
      </c>
      <c r="B111" s="128">
        <v>44648</v>
      </c>
      <c r="C111" s="121" t="s">
        <v>6</v>
      </c>
      <c r="D111" s="121">
        <v>1</v>
      </c>
      <c r="E111" s="120" t="s">
        <v>632</v>
      </c>
      <c r="F111" s="121" t="s">
        <v>284</v>
      </c>
      <c r="G111" s="120"/>
      <c r="H111" s="122">
        <v>44679</v>
      </c>
      <c r="I111" s="120">
        <v>2850</v>
      </c>
      <c r="J111" s="120">
        <v>431</v>
      </c>
      <c r="K111" s="120">
        <v>459.5</v>
      </c>
      <c r="L111" s="124">
        <f t="shared" ca="1" si="212"/>
        <v>0</v>
      </c>
      <c r="M111" s="124">
        <f t="shared" ca="1" si="213"/>
        <v>81225</v>
      </c>
      <c r="N111" s="120">
        <f t="shared" ca="1" si="311"/>
        <v>1.0661252900232019</v>
      </c>
      <c r="O111" s="164">
        <f t="shared" ca="1" si="312"/>
        <v>323.25</v>
      </c>
      <c r="P111" s="168">
        <f t="shared" ca="1" si="245"/>
        <v>1228350</v>
      </c>
      <c r="Q111" s="168" t="e">
        <f t="shared" ca="1" si="313"/>
        <v>#N/A</v>
      </c>
      <c r="R111" s="184">
        <f t="shared" ca="1" si="214"/>
        <v>0</v>
      </c>
      <c r="S111" s="124">
        <f t="shared" ca="1" si="314"/>
        <v>43.099999999999987</v>
      </c>
      <c r="T111" s="120">
        <f ca="1">VLOOKUP(TRIM($F111),Reference!B:C,2,0)</f>
        <v>428</v>
      </c>
      <c r="U111" s="181">
        <f t="shared" ca="1" si="315"/>
        <v>0</v>
      </c>
      <c r="V111" s="125" t="str">
        <f t="shared" ca="1" si="204"/>
        <v>TATAMOTORS22APRFUT</v>
      </c>
      <c r="W111" s="166" t="e">
        <f ca="1">VLOOKUP($V111,Reference!BA:BD,4,0)</f>
        <v>#N/A</v>
      </c>
      <c r="X111" s="168">
        <f t="shared" ca="1" si="205"/>
        <v>0</v>
      </c>
      <c r="Y111" s="168">
        <f t="shared" ca="1" si="206"/>
        <v>0</v>
      </c>
      <c r="Z111" s="168">
        <f t="shared" ca="1" si="215"/>
        <v>0</v>
      </c>
      <c r="AA111" s="168">
        <f t="shared" ca="1" si="207"/>
        <v>0</v>
      </c>
      <c r="AB111" s="168">
        <f t="shared" ca="1" si="208"/>
        <v>0</v>
      </c>
      <c r="AC111" s="124">
        <f t="shared" ca="1" si="209"/>
        <v>0</v>
      </c>
      <c r="AD111" s="120">
        <f t="shared" ca="1" si="316"/>
        <v>-0.21369863013698631</v>
      </c>
      <c r="AE111" s="120">
        <f t="shared" ca="1" si="317"/>
        <v>20</v>
      </c>
      <c r="AF111" s="120"/>
      <c r="AG111" s="120"/>
      <c r="AH111" s="120">
        <f t="shared" ca="1" si="246"/>
        <v>0</v>
      </c>
      <c r="AI111" s="120"/>
      <c r="AJ111" s="120">
        <f t="shared" ca="1" si="247"/>
        <v>36.850500000000004</v>
      </c>
      <c r="AK111" s="120"/>
      <c r="AL111" s="147"/>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c r="BS111" s="13">
        <v>2</v>
      </c>
      <c r="BT111" s="128">
        <v>44491</v>
      </c>
      <c r="BU111" s="121" t="s">
        <v>8</v>
      </c>
      <c r="BV111" s="120" t="s">
        <v>482</v>
      </c>
      <c r="BW111" s="121" t="s">
        <v>502</v>
      </c>
      <c r="BX111" s="120">
        <v>18400</v>
      </c>
      <c r="BY111" s="120">
        <v>41.7</v>
      </c>
      <c r="BZ111" s="120">
        <v>47.945</v>
      </c>
      <c r="CA111" s="124">
        <v>-3216.6708800000001</v>
      </c>
      <c r="CB111" s="120">
        <v>1.1497601918465228</v>
      </c>
      <c r="CC111" s="120">
        <v>500</v>
      </c>
      <c r="CD111" s="120">
        <v>50</v>
      </c>
      <c r="CE111" s="124">
        <v>20850</v>
      </c>
    </row>
    <row r="112" spans="1:83" hidden="1">
      <c r="A112" s="13">
        <f t="shared" ca="1" si="244"/>
        <v>105</v>
      </c>
      <c r="B112" s="128">
        <v>44648</v>
      </c>
      <c r="C112" s="121" t="s">
        <v>6</v>
      </c>
      <c r="D112" s="121">
        <v>0</v>
      </c>
      <c r="E112" s="120" t="s">
        <v>632</v>
      </c>
      <c r="F112" s="121" t="s">
        <v>90</v>
      </c>
      <c r="G112" s="120"/>
      <c r="H112" s="122">
        <v>44679</v>
      </c>
      <c r="I112" s="120">
        <v>150</v>
      </c>
      <c r="J112" s="120">
        <v>3692.8</v>
      </c>
      <c r="K112" s="120">
        <v>3557.3</v>
      </c>
      <c r="L112" s="124">
        <f t="shared" ca="1" si="212"/>
        <v>0</v>
      </c>
      <c r="M112" s="124">
        <f t="shared" ca="1" si="213"/>
        <v>0</v>
      </c>
      <c r="N112" s="120">
        <f t="shared" ca="1" si="311"/>
        <v>0.96330697573656843</v>
      </c>
      <c r="O112" s="164">
        <f t="shared" ca="1" si="312"/>
        <v>2769.6000000000004</v>
      </c>
      <c r="P112" s="168">
        <f t="shared" ca="1" si="245"/>
        <v>0</v>
      </c>
      <c r="Q112" s="168" t="e">
        <f t="shared" ca="1" si="313"/>
        <v>#N/A</v>
      </c>
      <c r="R112" s="184">
        <f t="shared" ca="1" si="214"/>
        <v>0</v>
      </c>
      <c r="S112" s="124">
        <f t="shared" ca="1" si="314"/>
        <v>369.27999999999992</v>
      </c>
      <c r="T112" s="120">
        <f ca="1">VLOOKUP(TRIM($F112),Reference!B:C,2,0)</f>
        <v>3003</v>
      </c>
      <c r="U112" s="181">
        <f t="shared" ca="1" si="315"/>
        <v>0</v>
      </c>
      <c r="V112" s="125" t="str">
        <f t="shared" ca="1" si="204"/>
        <v>TCS22APRFUT</v>
      </c>
      <c r="W112" s="166" t="e">
        <f ca="1">VLOOKUP($V112,Reference!BA:BD,4,0)</f>
        <v>#N/A</v>
      </c>
      <c r="X112" s="168">
        <f t="shared" ca="1" si="205"/>
        <v>0</v>
      </c>
      <c r="Y112" s="168">
        <f t="shared" ca="1" si="206"/>
        <v>0</v>
      </c>
      <c r="Z112" s="168">
        <f t="shared" ca="1" si="215"/>
        <v>0</v>
      </c>
      <c r="AA112" s="168">
        <f t="shared" ca="1" si="207"/>
        <v>0</v>
      </c>
      <c r="AB112" s="168">
        <f t="shared" ca="1" si="208"/>
        <v>0</v>
      </c>
      <c r="AC112" s="124">
        <f t="shared" ca="1" si="209"/>
        <v>0</v>
      </c>
      <c r="AD112" s="120">
        <f t="shared" ca="1" si="316"/>
        <v>-0.21369863013698631</v>
      </c>
      <c r="AE112" s="120">
        <f t="shared" ca="1" si="317"/>
        <v>20</v>
      </c>
      <c r="AF112" s="120"/>
      <c r="AG112" s="120"/>
      <c r="AH112" s="120">
        <f t="shared" ca="1" si="246"/>
        <v>0</v>
      </c>
      <c r="AI112" s="120"/>
      <c r="AJ112" s="120">
        <f t="shared" ca="1" si="247"/>
        <v>0</v>
      </c>
      <c r="AK112" s="120"/>
      <c r="AL112" s="147"/>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c r="BS112" s="13">
        <v>2</v>
      </c>
      <c r="BT112" s="128">
        <v>44491</v>
      </c>
      <c r="BU112" s="121" t="s">
        <v>8</v>
      </c>
      <c r="BV112" s="120" t="s">
        <v>482</v>
      </c>
      <c r="BW112" s="121" t="s">
        <v>502</v>
      </c>
      <c r="BX112" s="120">
        <v>18400</v>
      </c>
      <c r="BY112" s="120">
        <v>41.7</v>
      </c>
      <c r="BZ112" s="120">
        <v>47.945</v>
      </c>
      <c r="CA112" s="124">
        <v>-3216.6708800000001</v>
      </c>
      <c r="CB112" s="120">
        <v>1.1497601918465228</v>
      </c>
      <c r="CC112" s="120">
        <v>500</v>
      </c>
      <c r="CD112" s="120">
        <v>50</v>
      </c>
      <c r="CE112" s="124">
        <v>20850</v>
      </c>
    </row>
    <row r="113" spans="1:83" hidden="1">
      <c r="A113" s="13">
        <f t="shared" ca="1" si="244"/>
        <v>106</v>
      </c>
      <c r="B113" s="128">
        <v>44648</v>
      </c>
      <c r="C113" s="121" t="s">
        <v>6</v>
      </c>
      <c r="D113" s="121">
        <v>1</v>
      </c>
      <c r="E113" s="120" t="s">
        <v>632</v>
      </c>
      <c r="F113" s="121" t="s">
        <v>506</v>
      </c>
      <c r="G113" s="120"/>
      <c r="H113" s="122">
        <v>44679</v>
      </c>
      <c r="I113" s="120">
        <v>25</v>
      </c>
      <c r="J113" s="120">
        <v>35839.550000000003</v>
      </c>
      <c r="K113" s="120">
        <v>37166.199999999997</v>
      </c>
      <c r="L113" s="124">
        <f t="shared" ca="1" si="212"/>
        <v>0</v>
      </c>
      <c r="M113" s="124">
        <f t="shared" ca="1" si="213"/>
        <v>33166.249999999854</v>
      </c>
      <c r="N113" s="120">
        <f t="shared" ca="1" si="311"/>
        <v>1.0370163687881124</v>
      </c>
      <c r="O113" s="164">
        <f t="shared" ca="1" si="312"/>
        <v>26879.662500000002</v>
      </c>
      <c r="P113" s="168">
        <f t="shared" ca="1" si="245"/>
        <v>895988.75000000012</v>
      </c>
      <c r="Q113" s="168" t="e">
        <f t="shared" ca="1" si="313"/>
        <v>#N/A</v>
      </c>
      <c r="R113" s="184">
        <f t="shared" ca="1" si="214"/>
        <v>0</v>
      </c>
      <c r="S113" s="124">
        <f t="shared" ca="1" si="314"/>
        <v>3583.9549999999995</v>
      </c>
      <c r="T113" s="120">
        <f ca="1">VLOOKUP(TRIM($F113),Reference!B:C,2,0)</f>
        <v>34651.199999999997</v>
      </c>
      <c r="U113" s="181">
        <f t="shared" ca="1" si="315"/>
        <v>0</v>
      </c>
      <c r="V113" s="125" t="str">
        <f t="shared" ca="1" si="204"/>
        <v>BANKNIFTY22APRFUT</v>
      </c>
      <c r="W113" s="166" t="e">
        <f ca="1">VLOOKUP($V113,Reference!BA:BD,4,0)</f>
        <v>#N/A</v>
      </c>
      <c r="X113" s="168">
        <f t="shared" ca="1" si="205"/>
        <v>0</v>
      </c>
      <c r="Y113" s="168">
        <f t="shared" ca="1" si="206"/>
        <v>0</v>
      </c>
      <c r="Z113" s="168">
        <f t="shared" ca="1" si="215"/>
        <v>0</v>
      </c>
      <c r="AA113" s="168">
        <f t="shared" ca="1" si="207"/>
        <v>0</v>
      </c>
      <c r="AB113" s="168">
        <f t="shared" ca="1" si="208"/>
        <v>0</v>
      </c>
      <c r="AC113" s="124">
        <f t="shared" ca="1" si="209"/>
        <v>0</v>
      </c>
      <c r="AD113" s="120">
        <f t="shared" ca="1" si="316"/>
        <v>-0.21369863013698631</v>
      </c>
      <c r="AE113" s="120">
        <f t="shared" ca="1" si="317"/>
        <v>20</v>
      </c>
      <c r="AF113" s="120"/>
      <c r="AG113" s="120"/>
      <c r="AH113" s="120">
        <f t="shared" ca="1" si="246"/>
        <v>0</v>
      </c>
      <c r="AI113" s="120"/>
      <c r="AJ113" s="120">
        <f t="shared" ca="1" si="247"/>
        <v>26.879662500000006</v>
      </c>
      <c r="AK113" s="120"/>
      <c r="AL113" s="147"/>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c r="BS113" s="13">
        <v>2</v>
      </c>
      <c r="BT113" s="128">
        <v>44491</v>
      </c>
      <c r="BU113" s="121" t="s">
        <v>8</v>
      </c>
      <c r="BV113" s="120" t="s">
        <v>482</v>
      </c>
      <c r="BW113" s="121" t="s">
        <v>502</v>
      </c>
      <c r="BX113" s="120">
        <v>18400</v>
      </c>
      <c r="BY113" s="120">
        <v>41.7</v>
      </c>
      <c r="BZ113" s="120">
        <v>47.945</v>
      </c>
      <c r="CA113" s="124">
        <v>-3216.6708800000001</v>
      </c>
      <c r="CB113" s="120">
        <v>1.1497601918465228</v>
      </c>
      <c r="CC113" s="120">
        <v>500</v>
      </c>
      <c r="CD113" s="120">
        <v>50</v>
      </c>
      <c r="CE113" s="124">
        <v>20850</v>
      </c>
    </row>
    <row r="114" spans="1:83" hidden="1">
      <c r="A114" s="13">
        <f t="shared" ca="1" si="244"/>
        <v>107</v>
      </c>
      <c r="B114" s="128">
        <v>44648</v>
      </c>
      <c r="C114" s="121" t="s">
        <v>6</v>
      </c>
      <c r="D114" s="121">
        <v>1</v>
      </c>
      <c r="E114" s="120" t="s">
        <v>632</v>
      </c>
      <c r="F114" s="121" t="s">
        <v>506</v>
      </c>
      <c r="G114" s="120"/>
      <c r="H114" s="122">
        <v>44679</v>
      </c>
      <c r="I114" s="120">
        <v>25</v>
      </c>
      <c r="J114" s="120">
        <v>35747.9</v>
      </c>
      <c r="K114" s="120">
        <v>37166.199999999997</v>
      </c>
      <c r="L114" s="124">
        <f t="shared" ca="1" si="212"/>
        <v>0</v>
      </c>
      <c r="M114" s="124">
        <f t="shared" ca="1" si="213"/>
        <v>35457.499999999891</v>
      </c>
      <c r="N114" s="120">
        <f t="shared" ca="1" si="311"/>
        <v>1.0396750578355651</v>
      </c>
      <c r="O114" s="164">
        <f t="shared" ca="1" si="312"/>
        <v>26810.925000000003</v>
      </c>
      <c r="P114" s="168">
        <f t="shared" ca="1" si="245"/>
        <v>893697.5</v>
      </c>
      <c r="Q114" s="168" t="e">
        <f t="shared" ca="1" si="313"/>
        <v>#N/A</v>
      </c>
      <c r="R114" s="184">
        <f t="shared" ca="1" si="214"/>
        <v>0</v>
      </c>
      <c r="S114" s="124">
        <f t="shared" ca="1" si="314"/>
        <v>3574.7899999999995</v>
      </c>
      <c r="T114" s="120">
        <f ca="1">VLOOKUP(TRIM($F114),Reference!B:C,2,0)</f>
        <v>34651.199999999997</v>
      </c>
      <c r="U114" s="181">
        <f t="shared" ca="1" si="315"/>
        <v>0</v>
      </c>
      <c r="V114" s="125" t="str">
        <f t="shared" ca="1" si="204"/>
        <v>BANKNIFTY22APRFUT</v>
      </c>
      <c r="W114" s="166" t="e">
        <f ca="1">VLOOKUP($V114,Reference!BA:BD,4,0)</f>
        <v>#N/A</v>
      </c>
      <c r="X114" s="168">
        <f t="shared" ca="1" si="205"/>
        <v>0</v>
      </c>
      <c r="Y114" s="168">
        <f t="shared" ca="1" si="206"/>
        <v>0</v>
      </c>
      <c r="Z114" s="168">
        <f t="shared" ca="1" si="215"/>
        <v>0</v>
      </c>
      <c r="AA114" s="168">
        <f t="shared" ca="1" si="207"/>
        <v>0</v>
      </c>
      <c r="AB114" s="168">
        <f t="shared" ca="1" si="208"/>
        <v>0</v>
      </c>
      <c r="AC114" s="124">
        <f t="shared" ca="1" si="209"/>
        <v>0</v>
      </c>
      <c r="AD114" s="120">
        <f t="shared" ca="1" si="316"/>
        <v>-0.21369863013698631</v>
      </c>
      <c r="AE114" s="120">
        <f t="shared" ca="1" si="317"/>
        <v>20</v>
      </c>
      <c r="AF114" s="120"/>
      <c r="AG114" s="120"/>
      <c r="AH114" s="120">
        <f t="shared" ca="1" si="246"/>
        <v>0</v>
      </c>
      <c r="AI114" s="120"/>
      <c r="AJ114" s="120">
        <f t="shared" ca="1" si="247"/>
        <v>26.810925000000001</v>
      </c>
      <c r="AK114" s="120"/>
      <c r="AL114" s="147"/>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c r="BS114" s="13">
        <v>2</v>
      </c>
      <c r="BT114" s="128">
        <v>44491</v>
      </c>
      <c r="BU114" s="121" t="s">
        <v>8</v>
      </c>
      <c r="BV114" s="120" t="s">
        <v>482</v>
      </c>
      <c r="BW114" s="121" t="s">
        <v>502</v>
      </c>
      <c r="BX114" s="120">
        <v>18400</v>
      </c>
      <c r="BY114" s="120">
        <v>41.7</v>
      </c>
      <c r="BZ114" s="120">
        <v>47.945</v>
      </c>
      <c r="CA114" s="124">
        <v>-3216.6708800000001</v>
      </c>
      <c r="CB114" s="120">
        <v>1.1497601918465228</v>
      </c>
      <c r="CC114" s="120">
        <v>500</v>
      </c>
      <c r="CD114" s="120">
        <v>50</v>
      </c>
      <c r="CE114" s="124">
        <v>20850</v>
      </c>
    </row>
    <row r="115" spans="1:83" hidden="1">
      <c r="A115" s="13">
        <f t="shared" ca="1" si="244"/>
        <v>108</v>
      </c>
      <c r="B115" s="128">
        <v>44648</v>
      </c>
      <c r="C115" s="121" t="s">
        <v>8</v>
      </c>
      <c r="D115" s="121">
        <v>1</v>
      </c>
      <c r="E115" s="120" t="s">
        <v>481</v>
      </c>
      <c r="F115" s="121" t="s">
        <v>130</v>
      </c>
      <c r="G115" s="120">
        <v>250</v>
      </c>
      <c r="H115" s="122">
        <v>44651</v>
      </c>
      <c r="I115" s="120">
        <v>6750</v>
      </c>
      <c r="J115" s="120">
        <v>1</v>
      </c>
      <c r="K115" s="120">
        <v>0.1</v>
      </c>
      <c r="L115" s="124">
        <f t="shared" ca="1" si="212"/>
        <v>0</v>
      </c>
      <c r="M115" s="124">
        <f t="shared" ca="1" si="213"/>
        <v>6075</v>
      </c>
      <c r="N115" s="120">
        <f t="shared" ca="1" si="311"/>
        <v>0.1</v>
      </c>
      <c r="O115" s="164">
        <f t="shared" ca="1" si="312"/>
        <v>1.25</v>
      </c>
      <c r="P115" s="168">
        <f t="shared" ca="1" si="245"/>
        <v>6750</v>
      </c>
      <c r="Q115" s="168" t="e">
        <f t="shared" ca="1" si="313"/>
        <v>#N/A</v>
      </c>
      <c r="R115" s="184">
        <f t="shared" ca="1" si="214"/>
        <v>0</v>
      </c>
      <c r="S115" s="124">
        <f t="shared" ca="1" si="314"/>
        <v>9.9999999999999978E-2</v>
      </c>
      <c r="T115" s="120">
        <f ca="1">VLOOKUP(TRIM($F115),Reference!B:C,2,0)</f>
        <v>221.6</v>
      </c>
      <c r="U115" s="181">
        <f t="shared" ca="1" si="315"/>
        <v>0</v>
      </c>
      <c r="V115" s="125" t="str">
        <f t="shared" ca="1" si="204"/>
        <v>TATAPOWER22MAR250CE</v>
      </c>
      <c r="W115" s="166" t="e">
        <f ca="1">VLOOKUP($V115,Reference!BA:BD,4,0)</f>
        <v>#N/A</v>
      </c>
      <c r="X115" s="168">
        <f t="shared" ca="1" si="205"/>
        <v>0</v>
      </c>
      <c r="Y115" s="168">
        <f t="shared" ca="1" si="206"/>
        <v>0</v>
      </c>
      <c r="Z115" s="168">
        <f t="shared" ca="1" si="215"/>
        <v>0</v>
      </c>
      <c r="AA115" s="168">
        <f t="shared" ca="1" si="207"/>
        <v>0</v>
      </c>
      <c r="AB115" s="168">
        <f t="shared" ca="1" si="208"/>
        <v>0</v>
      </c>
      <c r="AC115" s="124">
        <f t="shared" ca="1" si="209"/>
        <v>0</v>
      </c>
      <c r="AD115" s="120">
        <f t="shared" ca="1" si="316"/>
        <v>-0.29041095890410956</v>
      </c>
      <c r="AE115" s="120">
        <f t="shared" ca="1" si="317"/>
        <v>20</v>
      </c>
      <c r="AF115" s="120"/>
      <c r="AG115" s="120"/>
      <c r="AH115" s="120">
        <f t="shared" ca="1" si="246"/>
        <v>3.375</v>
      </c>
      <c r="AI115" s="120"/>
      <c r="AJ115" s="120">
        <f t="shared" ca="1" si="247"/>
        <v>0</v>
      </c>
      <c r="AK115" s="120"/>
      <c r="AL115" s="147"/>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c r="BS115" s="13">
        <v>2</v>
      </c>
      <c r="BT115" s="128">
        <v>44491</v>
      </c>
      <c r="BU115" s="121" t="s">
        <v>8</v>
      </c>
      <c r="BV115" s="120" t="s">
        <v>482</v>
      </c>
      <c r="BW115" s="121" t="s">
        <v>502</v>
      </c>
      <c r="BX115" s="120">
        <v>18400</v>
      </c>
      <c r="BY115" s="120">
        <v>41.7</v>
      </c>
      <c r="BZ115" s="120">
        <v>47.945</v>
      </c>
      <c r="CA115" s="124">
        <v>-3216.6708800000001</v>
      </c>
      <c r="CB115" s="120">
        <v>1.1497601918465228</v>
      </c>
      <c r="CC115" s="120">
        <v>500</v>
      </c>
      <c r="CD115" s="120">
        <v>50</v>
      </c>
      <c r="CE115" s="124">
        <v>20850</v>
      </c>
    </row>
    <row r="116" spans="1:83" hidden="1">
      <c r="A116" s="13">
        <f t="shared" ca="1" si="244"/>
        <v>109</v>
      </c>
      <c r="B116" s="128">
        <v>44643</v>
      </c>
      <c r="C116" s="121" t="s">
        <v>6</v>
      </c>
      <c r="D116" s="121">
        <v>0</v>
      </c>
      <c r="E116" s="120" t="s">
        <v>632</v>
      </c>
      <c r="F116" s="121" t="s">
        <v>502</v>
      </c>
      <c r="G116" s="120"/>
      <c r="H116" s="122">
        <v>44651</v>
      </c>
      <c r="I116" s="120">
        <v>150</v>
      </c>
      <c r="J116" s="120">
        <v>17440</v>
      </c>
      <c r="K116" s="120">
        <v>17469.669999999998</v>
      </c>
      <c r="L116" s="124">
        <f t="shared" ca="1" si="212"/>
        <v>0</v>
      </c>
      <c r="M116" s="124">
        <f t="shared" ca="1" si="213"/>
        <v>0</v>
      </c>
      <c r="N116" s="120">
        <f t="shared" ca="1" si="311"/>
        <v>1.0017012614678897</v>
      </c>
      <c r="O116" s="164">
        <f t="shared" ca="1" si="312"/>
        <v>13080</v>
      </c>
      <c r="P116" s="168">
        <f t="shared" ca="1" si="245"/>
        <v>0</v>
      </c>
      <c r="Q116" s="168" t="e">
        <f t="shared" ca="1" si="313"/>
        <v>#N/A</v>
      </c>
      <c r="R116" s="184">
        <f t="shared" ca="1" si="214"/>
        <v>0</v>
      </c>
      <c r="S116" s="124">
        <f t="shared" ca="1" si="314"/>
        <v>1743.9999999999995</v>
      </c>
      <c r="T116" s="120">
        <f ca="1">VLOOKUP(TRIM($F116),Reference!B:C,2,0)</f>
        <v>15938.65</v>
      </c>
      <c r="U116" s="181">
        <f t="shared" ca="1" si="315"/>
        <v>0</v>
      </c>
      <c r="V116" s="125" t="str">
        <f t="shared" ca="1" si="204"/>
        <v>NIFTY22MARFUT</v>
      </c>
      <c r="W116" s="166" t="e">
        <f ca="1">VLOOKUP($V116,Reference!BA:BD,4,0)</f>
        <v>#N/A</v>
      </c>
      <c r="X116" s="168">
        <f t="shared" ca="1" si="205"/>
        <v>0</v>
      </c>
      <c r="Y116" s="168">
        <f t="shared" ca="1" si="206"/>
        <v>0</v>
      </c>
      <c r="Z116" s="168">
        <f t="shared" ca="1" si="215"/>
        <v>0</v>
      </c>
      <c r="AA116" s="168">
        <f t="shared" ca="1" si="207"/>
        <v>0</v>
      </c>
      <c r="AB116" s="168">
        <f t="shared" ca="1" si="208"/>
        <v>0</v>
      </c>
      <c r="AC116" s="124">
        <f t="shared" ca="1" si="209"/>
        <v>0</v>
      </c>
      <c r="AD116" s="120">
        <f t="shared" ca="1" si="316"/>
        <v>-0.29041095890410956</v>
      </c>
      <c r="AE116" s="120">
        <f t="shared" ca="1" si="317"/>
        <v>20</v>
      </c>
      <c r="AF116" s="120"/>
      <c r="AG116" s="120"/>
      <c r="AH116" s="120">
        <f t="shared" ca="1" si="246"/>
        <v>0</v>
      </c>
      <c r="AI116" s="120"/>
      <c r="AJ116" s="120">
        <f t="shared" ca="1" si="247"/>
        <v>0</v>
      </c>
      <c r="AK116" s="120"/>
      <c r="AL116" s="147"/>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c r="BS116" s="13">
        <v>2</v>
      </c>
      <c r="BT116" s="128">
        <v>44491</v>
      </c>
      <c r="BU116" s="121" t="s">
        <v>8</v>
      </c>
      <c r="BV116" s="120" t="s">
        <v>482</v>
      </c>
      <c r="BW116" s="121" t="s">
        <v>502</v>
      </c>
      <c r="BX116" s="120">
        <v>18400</v>
      </c>
      <c r="BY116" s="120">
        <v>41.7</v>
      </c>
      <c r="BZ116" s="120">
        <v>47.945</v>
      </c>
      <c r="CA116" s="124">
        <v>-3216.6708800000001</v>
      </c>
      <c r="CB116" s="120">
        <v>1.1497601918465228</v>
      </c>
      <c r="CC116" s="120">
        <v>500</v>
      </c>
      <c r="CD116" s="120">
        <v>50</v>
      </c>
      <c r="CE116" s="124">
        <v>20850</v>
      </c>
    </row>
    <row r="117" spans="1:83" hidden="1">
      <c r="A117" s="13">
        <f t="shared" ca="1" si="244"/>
        <v>110</v>
      </c>
      <c r="B117" s="128">
        <v>44651</v>
      </c>
      <c r="C117" s="121" t="s">
        <v>6</v>
      </c>
      <c r="D117" s="121">
        <v>1</v>
      </c>
      <c r="E117" s="120" t="s">
        <v>632</v>
      </c>
      <c r="F117" s="121" t="s">
        <v>506</v>
      </c>
      <c r="G117" s="120"/>
      <c r="H117" s="122">
        <v>44679</v>
      </c>
      <c r="I117" s="120">
        <v>25</v>
      </c>
      <c r="J117" s="120">
        <v>36505</v>
      </c>
      <c r="K117" s="120">
        <v>37166.199999999997</v>
      </c>
      <c r="L117" s="124">
        <f t="shared" ca="1" si="212"/>
        <v>0</v>
      </c>
      <c r="M117" s="124">
        <f t="shared" ca="1" si="213"/>
        <v>16529.999999999927</v>
      </c>
      <c r="N117" s="120">
        <f t="shared" ref="N117:N120" ca="1" si="318">K117/$J117</f>
        <v>1.0181125873168058</v>
      </c>
      <c r="O117" s="164">
        <f t="shared" ref="O117:O120" ca="1" si="319">J117*(1+$O$6*IF(C117="B",-1,1))</f>
        <v>27378.75</v>
      </c>
      <c r="P117" s="168">
        <f t="shared" ca="1" si="245"/>
        <v>912625</v>
      </c>
      <c r="Q117" s="168" t="e">
        <f t="shared" ref="Q117:Q120" ca="1" si="320">(W117-J117)*I117*IF(C117="B",1,-1)*IF(K117=0,1,0)</f>
        <v>#N/A</v>
      </c>
      <c r="R117" s="184">
        <f t="shared" ca="1" si="214"/>
        <v>0</v>
      </c>
      <c r="S117" s="124">
        <f t="shared" ref="S117:S120" ca="1" si="321">(1-$S$6)*J117</f>
        <v>3650.4999999999991</v>
      </c>
      <c r="T117" s="120">
        <f ca="1">VLOOKUP(TRIM($F117),Reference!B:C,2,0)</f>
        <v>34651.199999999997</v>
      </c>
      <c r="U117" s="181">
        <f t="shared" ref="U117:U120" ca="1" si="322">AC117</f>
        <v>0</v>
      </c>
      <c r="V117" s="125" t="str">
        <f t="shared" ca="1" si="204"/>
        <v>BANKNIFTY22APRFUT</v>
      </c>
      <c r="W117" s="166" t="e">
        <f ca="1">VLOOKUP($V117,Reference!BA:BD,4,0)</f>
        <v>#N/A</v>
      </c>
      <c r="X117" s="168">
        <f t="shared" ca="1" si="205"/>
        <v>0</v>
      </c>
      <c r="Y117" s="168">
        <f t="shared" ca="1" si="206"/>
        <v>0</v>
      </c>
      <c r="Z117" s="168">
        <f t="shared" ca="1" si="215"/>
        <v>0</v>
      </c>
      <c r="AA117" s="168">
        <f t="shared" ca="1" si="207"/>
        <v>0</v>
      </c>
      <c r="AB117" s="168">
        <f t="shared" ca="1" si="208"/>
        <v>0</v>
      </c>
      <c r="AC117" s="124">
        <f t="shared" ca="1" si="209"/>
        <v>0</v>
      </c>
      <c r="AD117" s="120">
        <f t="shared" ref="AD117:AD120" ca="1" si="323">(H117-TODAY())/365</f>
        <v>-0.21369863013698631</v>
      </c>
      <c r="AE117" s="120">
        <f t="shared" ref="AE117:AE120" ca="1" si="324">IF(I117&lt;&gt;0,20,0)</f>
        <v>20</v>
      </c>
      <c r="AF117" s="120"/>
      <c r="AG117" s="120"/>
      <c r="AH117" s="120">
        <f t="shared" ca="1" si="246"/>
        <v>0</v>
      </c>
      <c r="AI117" s="120"/>
      <c r="AJ117" s="120">
        <f t="shared" ca="1" si="247"/>
        <v>27.37875</v>
      </c>
      <c r="AK117" s="120"/>
      <c r="AL117" s="147"/>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c r="BS117" s="13">
        <v>2</v>
      </c>
      <c r="BT117" s="128">
        <v>44491</v>
      </c>
      <c r="BU117" s="121" t="s">
        <v>8</v>
      </c>
      <c r="BV117" s="120" t="s">
        <v>482</v>
      </c>
      <c r="BW117" s="121" t="s">
        <v>502</v>
      </c>
      <c r="BX117" s="120">
        <v>18400</v>
      </c>
      <c r="BY117" s="120">
        <v>41.7</v>
      </c>
      <c r="BZ117" s="120">
        <v>47.945</v>
      </c>
      <c r="CA117" s="124">
        <v>-3216.6708800000001</v>
      </c>
      <c r="CB117" s="120">
        <v>1.1497601918465228</v>
      </c>
      <c r="CC117" s="120">
        <v>500</v>
      </c>
      <c r="CD117" s="120">
        <v>50</v>
      </c>
      <c r="CE117" s="124">
        <v>20850</v>
      </c>
    </row>
    <row r="118" spans="1:83" hidden="1">
      <c r="A118" s="13">
        <f t="shared" ca="1" si="244"/>
        <v>111</v>
      </c>
      <c r="B118" s="128">
        <v>44651</v>
      </c>
      <c r="C118" s="121" t="s">
        <v>6</v>
      </c>
      <c r="D118" s="121">
        <v>1</v>
      </c>
      <c r="E118" s="120" t="s">
        <v>632</v>
      </c>
      <c r="F118" s="121" t="s">
        <v>502</v>
      </c>
      <c r="G118" s="120"/>
      <c r="H118" s="122">
        <v>44679</v>
      </c>
      <c r="I118" s="120">
        <v>50</v>
      </c>
      <c r="J118" s="120">
        <v>17524.8</v>
      </c>
      <c r="K118" s="120">
        <v>16914.349999999999</v>
      </c>
      <c r="L118" s="124">
        <f t="shared" ca="1" si="212"/>
        <v>0</v>
      </c>
      <c r="M118" s="124">
        <f t="shared" ca="1" si="213"/>
        <v>-30522.500000000036</v>
      </c>
      <c r="N118" s="120">
        <f t="shared" ca="1" si="318"/>
        <v>0.96516650689308858</v>
      </c>
      <c r="O118" s="164">
        <f t="shared" ca="1" si="319"/>
        <v>13143.599999999999</v>
      </c>
      <c r="P118" s="168">
        <f t="shared" ca="1" si="245"/>
        <v>876240</v>
      </c>
      <c r="Q118" s="168" t="e">
        <f t="shared" ca="1" si="320"/>
        <v>#N/A</v>
      </c>
      <c r="R118" s="184">
        <f t="shared" ca="1" si="214"/>
        <v>0</v>
      </c>
      <c r="S118" s="124">
        <f t="shared" ca="1" si="321"/>
        <v>1752.4799999999996</v>
      </c>
      <c r="T118" s="120">
        <f ca="1">VLOOKUP(TRIM($F118),Reference!B:C,2,0)</f>
        <v>15938.65</v>
      </c>
      <c r="U118" s="181">
        <f t="shared" ca="1" si="322"/>
        <v>0</v>
      </c>
      <c r="V118" s="125" t="str">
        <f t="shared" ca="1" si="204"/>
        <v>NIFTY22APRFUT</v>
      </c>
      <c r="W118" s="166" t="e">
        <f ca="1">VLOOKUP($V118,Reference!BA:BD,4,0)</f>
        <v>#N/A</v>
      </c>
      <c r="X118" s="168">
        <f t="shared" ca="1" si="205"/>
        <v>0</v>
      </c>
      <c r="Y118" s="168">
        <f t="shared" ca="1" si="206"/>
        <v>0</v>
      </c>
      <c r="Z118" s="168">
        <f t="shared" ca="1" si="215"/>
        <v>0</v>
      </c>
      <c r="AA118" s="168">
        <f t="shared" ca="1" si="207"/>
        <v>0</v>
      </c>
      <c r="AB118" s="168">
        <f t="shared" ca="1" si="208"/>
        <v>0</v>
      </c>
      <c r="AC118" s="124">
        <f t="shared" ca="1" si="209"/>
        <v>0</v>
      </c>
      <c r="AD118" s="120">
        <f t="shared" ca="1" si="323"/>
        <v>-0.21369863013698631</v>
      </c>
      <c r="AE118" s="120">
        <f t="shared" ca="1" si="324"/>
        <v>20</v>
      </c>
      <c r="AF118" s="120"/>
      <c r="AG118" s="120"/>
      <c r="AH118" s="120">
        <f t="shared" ca="1" si="246"/>
        <v>0</v>
      </c>
      <c r="AI118" s="120"/>
      <c r="AJ118" s="120">
        <f t="shared" ca="1" si="247"/>
        <v>26.287200000000002</v>
      </c>
      <c r="AK118" s="120"/>
      <c r="AL118" s="147"/>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c r="BS118" s="13">
        <v>2</v>
      </c>
      <c r="BT118" s="128">
        <v>44491</v>
      </c>
      <c r="BU118" s="121" t="s">
        <v>8</v>
      </c>
      <c r="BV118" s="120" t="s">
        <v>482</v>
      </c>
      <c r="BW118" s="121" t="s">
        <v>502</v>
      </c>
      <c r="BX118" s="120">
        <v>18400</v>
      </c>
      <c r="BY118" s="120">
        <v>41.7</v>
      </c>
      <c r="BZ118" s="120">
        <v>47.945</v>
      </c>
      <c r="CA118" s="124">
        <v>-3216.6708800000001</v>
      </c>
      <c r="CB118" s="120">
        <v>1.1497601918465228</v>
      </c>
      <c r="CC118" s="120">
        <v>500</v>
      </c>
      <c r="CD118" s="120">
        <v>50</v>
      </c>
      <c r="CE118" s="124">
        <v>20850</v>
      </c>
    </row>
    <row r="119" spans="1:83" hidden="1">
      <c r="A119" s="13">
        <f t="shared" ca="1" si="244"/>
        <v>112</v>
      </c>
      <c r="B119" s="128">
        <v>44651</v>
      </c>
      <c r="C119" s="121" t="s">
        <v>6</v>
      </c>
      <c r="D119" s="121">
        <v>1</v>
      </c>
      <c r="E119" s="120" t="s">
        <v>632</v>
      </c>
      <c r="F119" s="121" t="s">
        <v>502</v>
      </c>
      <c r="G119" s="120"/>
      <c r="H119" s="122">
        <v>44679</v>
      </c>
      <c r="I119" s="120">
        <v>100</v>
      </c>
      <c r="J119" s="120">
        <v>17545.3</v>
      </c>
      <c r="K119" s="120">
        <v>17140</v>
      </c>
      <c r="L119" s="124">
        <f t="shared" ca="1" si="212"/>
        <v>0</v>
      </c>
      <c r="M119" s="124">
        <f t="shared" ca="1" si="213"/>
        <v>-40529.999999999927</v>
      </c>
      <c r="N119" s="120">
        <f t="shared" ca="1" si="318"/>
        <v>0.97689979652670522</v>
      </c>
      <c r="O119" s="164">
        <f t="shared" ca="1" si="319"/>
        <v>13158.974999999999</v>
      </c>
      <c r="P119" s="168">
        <f t="shared" ca="1" si="245"/>
        <v>1754530</v>
      </c>
      <c r="Q119" s="168" t="e">
        <f t="shared" ca="1" si="320"/>
        <v>#N/A</v>
      </c>
      <c r="R119" s="184">
        <f t="shared" ca="1" si="214"/>
        <v>0</v>
      </c>
      <c r="S119" s="124">
        <f t="shared" ca="1" si="321"/>
        <v>1754.5299999999995</v>
      </c>
      <c r="T119" s="120">
        <f ca="1">VLOOKUP(TRIM($F119),Reference!B:C,2,0)</f>
        <v>15938.65</v>
      </c>
      <c r="U119" s="181">
        <f t="shared" ca="1" si="322"/>
        <v>0</v>
      </c>
      <c r="V119" s="125" t="str">
        <f t="shared" ca="1" si="204"/>
        <v>NIFTY22APRFUT</v>
      </c>
      <c r="W119" s="166" t="e">
        <f ca="1">VLOOKUP($V119,Reference!BA:BD,4,0)</f>
        <v>#N/A</v>
      </c>
      <c r="X119" s="168">
        <f t="shared" ca="1" si="205"/>
        <v>0</v>
      </c>
      <c r="Y119" s="168">
        <f t="shared" ca="1" si="206"/>
        <v>0</v>
      </c>
      <c r="Z119" s="168">
        <f t="shared" ca="1" si="215"/>
        <v>0</v>
      </c>
      <c r="AA119" s="168">
        <f t="shared" ca="1" si="207"/>
        <v>0</v>
      </c>
      <c r="AB119" s="168">
        <f t="shared" ca="1" si="208"/>
        <v>0</v>
      </c>
      <c r="AC119" s="124">
        <f t="shared" ca="1" si="209"/>
        <v>0</v>
      </c>
      <c r="AD119" s="120">
        <f t="shared" ca="1" si="323"/>
        <v>-0.21369863013698631</v>
      </c>
      <c r="AE119" s="120">
        <f t="shared" ca="1" si="324"/>
        <v>20</v>
      </c>
      <c r="AF119" s="120"/>
      <c r="AG119" s="120"/>
      <c r="AH119" s="120">
        <f t="shared" ca="1" si="246"/>
        <v>0</v>
      </c>
      <c r="AI119" s="120"/>
      <c r="AJ119" s="120">
        <f t="shared" ca="1" si="247"/>
        <v>52.635899999999999</v>
      </c>
      <c r="AK119" s="120"/>
      <c r="AL119" s="147"/>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c r="BS119" s="13">
        <v>2</v>
      </c>
      <c r="BT119" s="128">
        <v>44491</v>
      </c>
      <c r="BU119" s="121" t="s">
        <v>8</v>
      </c>
      <c r="BV119" s="120" t="s">
        <v>482</v>
      </c>
      <c r="BW119" s="121" t="s">
        <v>502</v>
      </c>
      <c r="BX119" s="120">
        <v>18400</v>
      </c>
      <c r="BY119" s="120">
        <v>41.7</v>
      </c>
      <c r="BZ119" s="120">
        <v>47.945</v>
      </c>
      <c r="CA119" s="124">
        <v>-3216.6708800000001</v>
      </c>
      <c r="CB119" s="120">
        <v>1.1497601918465228</v>
      </c>
      <c r="CC119" s="120">
        <v>500</v>
      </c>
      <c r="CD119" s="120">
        <v>50</v>
      </c>
      <c r="CE119" s="124">
        <v>20850</v>
      </c>
    </row>
    <row r="120" spans="1:83" hidden="1">
      <c r="A120" s="13">
        <f t="shared" ca="1" si="244"/>
        <v>113</v>
      </c>
      <c r="B120" s="128">
        <v>44651</v>
      </c>
      <c r="C120" s="121" t="s">
        <v>8</v>
      </c>
      <c r="D120" s="121">
        <v>1</v>
      </c>
      <c r="E120" s="120" t="s">
        <v>481</v>
      </c>
      <c r="F120" s="121" t="s">
        <v>130</v>
      </c>
      <c r="G120" s="120">
        <v>280</v>
      </c>
      <c r="H120" s="122">
        <v>44679</v>
      </c>
      <c r="I120" s="120">
        <v>6750</v>
      </c>
      <c r="J120" s="120">
        <v>2.0499999999999998</v>
      </c>
      <c r="K120" s="120">
        <v>12.25</v>
      </c>
      <c r="L120" s="124">
        <f t="shared" ca="1" si="212"/>
        <v>0</v>
      </c>
      <c r="M120" s="124">
        <f t="shared" ca="1" si="213"/>
        <v>-68850</v>
      </c>
      <c r="N120" s="120">
        <f t="shared" ca="1" si="318"/>
        <v>5.9756097560975618</v>
      </c>
      <c r="O120" s="164">
        <f t="shared" ca="1" si="319"/>
        <v>2.5625</v>
      </c>
      <c r="P120" s="168">
        <f t="shared" ca="1" si="245"/>
        <v>13837.499999999998</v>
      </c>
      <c r="Q120" s="168" t="e">
        <f t="shared" ca="1" si="320"/>
        <v>#N/A</v>
      </c>
      <c r="R120" s="184">
        <f t="shared" ca="1" si="214"/>
        <v>0</v>
      </c>
      <c r="S120" s="124">
        <f t="shared" ca="1" si="321"/>
        <v>0.20499999999999993</v>
      </c>
      <c r="T120" s="120">
        <f ca="1">VLOOKUP(TRIM($F120),Reference!B:C,2,0)</f>
        <v>221.6</v>
      </c>
      <c r="U120" s="181">
        <f t="shared" ca="1" si="322"/>
        <v>0</v>
      </c>
      <c r="V120" s="125" t="str">
        <f t="shared" ca="1" si="204"/>
        <v>TATAPOWER22APR280CE</v>
      </c>
      <c r="W120" s="166" t="e">
        <f ca="1">VLOOKUP($V120,Reference!BA:BD,4,0)</f>
        <v>#N/A</v>
      </c>
      <c r="X120" s="168">
        <f t="shared" ca="1" si="205"/>
        <v>0</v>
      </c>
      <c r="Y120" s="168">
        <f t="shared" ca="1" si="206"/>
        <v>0</v>
      </c>
      <c r="Z120" s="168">
        <f t="shared" ca="1" si="215"/>
        <v>0</v>
      </c>
      <c r="AA120" s="168">
        <f t="shared" ca="1" si="207"/>
        <v>0</v>
      </c>
      <c r="AB120" s="168">
        <f t="shared" ca="1" si="208"/>
        <v>0</v>
      </c>
      <c r="AC120" s="124">
        <f t="shared" ca="1" si="209"/>
        <v>0</v>
      </c>
      <c r="AD120" s="120">
        <f t="shared" ca="1" si="323"/>
        <v>-0.21369863013698631</v>
      </c>
      <c r="AE120" s="120">
        <f t="shared" ca="1" si="324"/>
        <v>20</v>
      </c>
      <c r="AF120" s="120"/>
      <c r="AG120" s="120"/>
      <c r="AH120" s="120">
        <f t="shared" ca="1" si="246"/>
        <v>6.9187499999999993</v>
      </c>
      <c r="AI120" s="120"/>
      <c r="AJ120" s="120">
        <f t="shared" ca="1" si="247"/>
        <v>0</v>
      </c>
      <c r="AK120" s="120"/>
      <c r="AL120" s="147"/>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c r="BS120" s="13">
        <v>2</v>
      </c>
      <c r="BT120" s="128">
        <v>44491</v>
      </c>
      <c r="BU120" s="121" t="s">
        <v>8</v>
      </c>
      <c r="BV120" s="120" t="s">
        <v>482</v>
      </c>
      <c r="BW120" s="121" t="s">
        <v>502</v>
      </c>
      <c r="BX120" s="120">
        <v>18400</v>
      </c>
      <c r="BY120" s="120">
        <v>41.7</v>
      </c>
      <c r="BZ120" s="120">
        <v>47.945</v>
      </c>
      <c r="CA120" s="124">
        <v>-3216.6708800000001</v>
      </c>
      <c r="CB120" s="120">
        <v>1.1497601918465228</v>
      </c>
      <c r="CC120" s="120">
        <v>500</v>
      </c>
      <c r="CD120" s="120">
        <v>50</v>
      </c>
      <c r="CE120" s="124">
        <v>20850</v>
      </c>
    </row>
    <row r="121" spans="1:83" hidden="1">
      <c r="A121" s="13">
        <f t="shared" ca="1" si="244"/>
        <v>114</v>
      </c>
      <c r="B121" s="128">
        <v>44652</v>
      </c>
      <c r="C121" s="121" t="s">
        <v>8</v>
      </c>
      <c r="D121" s="121">
        <v>1</v>
      </c>
      <c r="E121" s="120" t="s">
        <v>481</v>
      </c>
      <c r="F121" s="121" t="s">
        <v>130</v>
      </c>
      <c r="G121" s="120">
        <v>280</v>
      </c>
      <c r="H121" s="122">
        <v>44679</v>
      </c>
      <c r="I121" s="120">
        <v>6750</v>
      </c>
      <c r="J121" s="120">
        <v>2.15</v>
      </c>
      <c r="K121" s="120">
        <v>12.25</v>
      </c>
      <c r="L121" s="124">
        <f t="shared" ca="1" si="212"/>
        <v>0</v>
      </c>
      <c r="M121" s="124">
        <f t="shared" ca="1" si="213"/>
        <v>-68175</v>
      </c>
      <c r="N121" s="120">
        <f t="shared" ref="N121" ca="1" si="325">K121/$J121</f>
        <v>5.6976744186046515</v>
      </c>
      <c r="O121" s="164">
        <f t="shared" ref="O121" ca="1" si="326">J121*(1+$O$6*IF(C121="B",-1,1))</f>
        <v>2.6875</v>
      </c>
      <c r="P121" s="168">
        <f t="shared" ca="1" si="245"/>
        <v>14512.5</v>
      </c>
      <c r="Q121" s="168" t="e">
        <f t="shared" ref="Q121" ca="1" si="327">(W121-J121)*I121*IF(C121="B",1,-1)*IF(K121=0,1,0)</f>
        <v>#N/A</v>
      </c>
      <c r="R121" s="184">
        <f t="shared" ca="1" si="214"/>
        <v>0</v>
      </c>
      <c r="S121" s="124">
        <f t="shared" ref="S121" ca="1" si="328">(1-$S$6)*J121</f>
        <v>0.21499999999999994</v>
      </c>
      <c r="T121" s="120">
        <f ca="1">VLOOKUP(TRIM($F121),Reference!B:C,2,0)</f>
        <v>221.6</v>
      </c>
      <c r="U121" s="181">
        <f t="shared" ref="U121" ca="1" si="329">AC121</f>
        <v>0</v>
      </c>
      <c r="V121" s="125" t="str">
        <f t="shared" ca="1" si="204"/>
        <v>TATAPOWER22APR280CE</v>
      </c>
      <c r="W121" s="166" t="e">
        <f ca="1">VLOOKUP($V121,Reference!BA:BD,4,0)</f>
        <v>#N/A</v>
      </c>
      <c r="X121" s="168">
        <f t="shared" ca="1" si="205"/>
        <v>0</v>
      </c>
      <c r="Y121" s="168">
        <f t="shared" ca="1" si="206"/>
        <v>0</v>
      </c>
      <c r="Z121" s="168">
        <f t="shared" ca="1" si="215"/>
        <v>0</v>
      </c>
      <c r="AA121" s="168">
        <f t="shared" ca="1" si="207"/>
        <v>0</v>
      </c>
      <c r="AB121" s="168">
        <f t="shared" ca="1" si="208"/>
        <v>0</v>
      </c>
      <c r="AC121" s="124">
        <f t="shared" ca="1" si="209"/>
        <v>0</v>
      </c>
      <c r="AD121" s="120">
        <f t="shared" ref="AD121" ca="1" si="330">(H121-TODAY())/365</f>
        <v>-0.21369863013698631</v>
      </c>
      <c r="AE121" s="120">
        <f t="shared" ref="AE121" ca="1" si="331">IF(I121&lt;&gt;0,20,0)</f>
        <v>20</v>
      </c>
      <c r="AF121" s="120"/>
      <c r="AG121" s="120"/>
      <c r="AH121" s="120">
        <f t="shared" ca="1" si="246"/>
        <v>7.2562500000000005</v>
      </c>
      <c r="AI121" s="120"/>
      <c r="AJ121" s="120">
        <f t="shared" ca="1" si="247"/>
        <v>0</v>
      </c>
      <c r="AK121" s="120"/>
      <c r="AL121" s="147"/>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c r="BS121" s="13">
        <v>2</v>
      </c>
      <c r="BT121" s="128">
        <v>44491</v>
      </c>
      <c r="BU121" s="121" t="s">
        <v>8</v>
      </c>
      <c r="BV121" s="120" t="s">
        <v>482</v>
      </c>
      <c r="BW121" s="121" t="s">
        <v>502</v>
      </c>
      <c r="BX121" s="120">
        <v>18400</v>
      </c>
      <c r="BY121" s="120">
        <v>41.7</v>
      </c>
      <c r="BZ121" s="120">
        <v>47.945</v>
      </c>
      <c r="CA121" s="124">
        <v>-3216.6708800000001</v>
      </c>
      <c r="CB121" s="120">
        <v>1.1497601918465228</v>
      </c>
      <c r="CC121" s="120">
        <v>500</v>
      </c>
      <c r="CD121" s="120">
        <v>50</v>
      </c>
      <c r="CE121" s="124">
        <v>20850</v>
      </c>
    </row>
    <row r="122" spans="1:83" hidden="1">
      <c r="A122" s="13">
        <f t="shared" ca="1" si="244"/>
        <v>115</v>
      </c>
      <c r="B122" s="128">
        <v>44652</v>
      </c>
      <c r="C122" s="121" t="s">
        <v>8</v>
      </c>
      <c r="D122" s="121">
        <v>1</v>
      </c>
      <c r="E122" s="120" t="s">
        <v>481</v>
      </c>
      <c r="F122" s="121" t="s">
        <v>284</v>
      </c>
      <c r="G122" s="120">
        <v>500</v>
      </c>
      <c r="H122" s="122">
        <v>44679</v>
      </c>
      <c r="I122" s="120">
        <v>2850</v>
      </c>
      <c r="J122" s="120">
        <v>4</v>
      </c>
      <c r="K122" s="120">
        <v>1.05</v>
      </c>
      <c r="L122" s="124">
        <f t="shared" ca="1" si="212"/>
        <v>0</v>
      </c>
      <c r="M122" s="124">
        <f t="shared" ca="1" si="213"/>
        <v>8407.5</v>
      </c>
      <c r="N122" s="120">
        <f t="shared" ref="N122:N123" ca="1" si="332">K122/$J122</f>
        <v>0.26250000000000001</v>
      </c>
      <c r="O122" s="164">
        <f t="shared" ref="O122:O123" ca="1" si="333">J122*(1+$O$6*IF(C122="B",-1,1))</f>
        <v>5</v>
      </c>
      <c r="P122" s="168">
        <f t="shared" ca="1" si="245"/>
        <v>11400</v>
      </c>
      <c r="Q122" s="168" t="e">
        <f t="shared" ref="Q122:Q123" ca="1" si="334">(W122-J122)*I122*IF(C122="B",1,-1)*IF(K122=0,1,0)</f>
        <v>#N/A</v>
      </c>
      <c r="R122" s="184">
        <f t="shared" ca="1" si="214"/>
        <v>0</v>
      </c>
      <c r="S122" s="124">
        <f t="shared" ref="S122:S123" ca="1" si="335">(1-$S$6)*J122</f>
        <v>0.39999999999999991</v>
      </c>
      <c r="T122" s="120">
        <f ca="1">VLOOKUP(TRIM($F122),Reference!B:C,2,0)</f>
        <v>428</v>
      </c>
      <c r="U122" s="181">
        <f t="shared" ref="U122:U123" ca="1" si="336">AC122</f>
        <v>0</v>
      </c>
      <c r="V122" s="125" t="str">
        <f t="shared" ca="1" si="204"/>
        <v>TATAMOTORS22APR500CE</v>
      </c>
      <c r="W122" s="166" t="e">
        <f ca="1">VLOOKUP($V122,Reference!BA:BD,4,0)</f>
        <v>#N/A</v>
      </c>
      <c r="X122" s="168">
        <f t="shared" ca="1" si="205"/>
        <v>0</v>
      </c>
      <c r="Y122" s="168">
        <f t="shared" ca="1" si="206"/>
        <v>0</v>
      </c>
      <c r="Z122" s="168">
        <f t="shared" ca="1" si="215"/>
        <v>0</v>
      </c>
      <c r="AA122" s="168">
        <f t="shared" ca="1" si="207"/>
        <v>0</v>
      </c>
      <c r="AB122" s="168">
        <f t="shared" ca="1" si="208"/>
        <v>0</v>
      </c>
      <c r="AC122" s="124">
        <f t="shared" ca="1" si="209"/>
        <v>0</v>
      </c>
      <c r="AD122" s="120">
        <f t="shared" ref="AD122:AD123" ca="1" si="337">(H122-TODAY())/365</f>
        <v>-0.21369863013698631</v>
      </c>
      <c r="AE122" s="120">
        <f t="shared" ref="AE122:AE123" ca="1" si="338">IF(I122&lt;&gt;0,20,0)</f>
        <v>20</v>
      </c>
      <c r="AF122" s="120"/>
      <c r="AG122" s="120"/>
      <c r="AH122" s="120">
        <f t="shared" ca="1" si="246"/>
        <v>5.7</v>
      </c>
      <c r="AI122" s="120"/>
      <c r="AJ122" s="120">
        <f t="shared" ca="1" si="247"/>
        <v>0</v>
      </c>
      <c r="AK122" s="120"/>
      <c r="AL122" s="147"/>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c r="BS122" s="13">
        <v>2</v>
      </c>
      <c r="BT122" s="128">
        <v>44491</v>
      </c>
      <c r="BU122" s="121" t="s">
        <v>8</v>
      </c>
      <c r="BV122" s="120" t="s">
        <v>482</v>
      </c>
      <c r="BW122" s="121" t="s">
        <v>502</v>
      </c>
      <c r="BX122" s="120">
        <v>18400</v>
      </c>
      <c r="BY122" s="120">
        <v>41.7</v>
      </c>
      <c r="BZ122" s="120">
        <v>47.945</v>
      </c>
      <c r="CA122" s="124">
        <v>-3216.6708800000001</v>
      </c>
      <c r="CB122" s="120">
        <v>1.1497601918465228</v>
      </c>
      <c r="CC122" s="120">
        <v>500</v>
      </c>
      <c r="CD122" s="120">
        <v>50</v>
      </c>
      <c r="CE122" s="124">
        <v>20850</v>
      </c>
    </row>
    <row r="123" spans="1:83" hidden="1">
      <c r="A123" s="13">
        <f t="shared" ca="1" si="244"/>
        <v>116</v>
      </c>
      <c r="B123" s="128">
        <v>44652</v>
      </c>
      <c r="C123" s="121" t="s">
        <v>8</v>
      </c>
      <c r="D123" s="121">
        <v>1</v>
      </c>
      <c r="E123" s="120" t="s">
        <v>481</v>
      </c>
      <c r="F123" s="121" t="s">
        <v>130</v>
      </c>
      <c r="G123" s="120">
        <v>270</v>
      </c>
      <c r="H123" s="122">
        <v>44679</v>
      </c>
      <c r="I123" s="120">
        <v>6750</v>
      </c>
      <c r="J123" s="120">
        <v>3.2</v>
      </c>
      <c r="K123" s="120">
        <v>28.85</v>
      </c>
      <c r="L123" s="124">
        <f t="shared" ca="1" si="212"/>
        <v>0</v>
      </c>
      <c r="M123" s="124">
        <f t="shared" ca="1" si="213"/>
        <v>-173137.5</v>
      </c>
      <c r="N123" s="120">
        <f t="shared" ca="1" si="332"/>
        <v>9.015625</v>
      </c>
      <c r="O123" s="164">
        <f t="shared" ca="1" si="333"/>
        <v>4</v>
      </c>
      <c r="P123" s="168">
        <f t="shared" ca="1" si="245"/>
        <v>21600</v>
      </c>
      <c r="Q123" s="168" t="e">
        <f t="shared" ca="1" si="334"/>
        <v>#N/A</v>
      </c>
      <c r="R123" s="184">
        <f t="shared" ca="1" si="214"/>
        <v>0</v>
      </c>
      <c r="S123" s="124">
        <f t="shared" ca="1" si="335"/>
        <v>0.31999999999999995</v>
      </c>
      <c r="T123" s="120">
        <f ca="1">VLOOKUP(TRIM($F123),Reference!B:C,2,0)</f>
        <v>221.6</v>
      </c>
      <c r="U123" s="181">
        <f t="shared" ca="1" si="336"/>
        <v>0</v>
      </c>
      <c r="V123" s="125" t="str">
        <f t="shared" ca="1" si="204"/>
        <v>TATAPOWER22APR270CE</v>
      </c>
      <c r="W123" s="166" t="e">
        <f ca="1">VLOOKUP($V123,Reference!BA:BD,4,0)</f>
        <v>#N/A</v>
      </c>
      <c r="X123" s="168">
        <f t="shared" ca="1" si="205"/>
        <v>0</v>
      </c>
      <c r="Y123" s="168">
        <f t="shared" ca="1" si="206"/>
        <v>0</v>
      </c>
      <c r="Z123" s="168">
        <f t="shared" ca="1" si="215"/>
        <v>0</v>
      </c>
      <c r="AA123" s="168">
        <f t="shared" ca="1" si="207"/>
        <v>0</v>
      </c>
      <c r="AB123" s="168">
        <f t="shared" ca="1" si="208"/>
        <v>0</v>
      </c>
      <c r="AC123" s="124">
        <f t="shared" ca="1" si="209"/>
        <v>0</v>
      </c>
      <c r="AD123" s="120">
        <f t="shared" ca="1" si="337"/>
        <v>-0.21369863013698631</v>
      </c>
      <c r="AE123" s="120">
        <f t="shared" ca="1" si="338"/>
        <v>20</v>
      </c>
      <c r="AF123" s="120"/>
      <c r="AG123" s="120"/>
      <c r="AH123" s="120">
        <f t="shared" ca="1" si="246"/>
        <v>10.8</v>
      </c>
      <c r="AI123" s="120"/>
      <c r="AJ123" s="120">
        <f t="shared" ca="1" si="247"/>
        <v>0</v>
      </c>
      <c r="AK123" s="120"/>
      <c r="AL123" s="147"/>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c r="BS123" s="13">
        <v>2</v>
      </c>
      <c r="BT123" s="128">
        <v>44491</v>
      </c>
      <c r="BU123" s="121" t="s">
        <v>8</v>
      </c>
      <c r="BV123" s="120" t="s">
        <v>482</v>
      </c>
      <c r="BW123" s="121" t="s">
        <v>502</v>
      </c>
      <c r="BX123" s="120">
        <v>18400</v>
      </c>
      <c r="BY123" s="120">
        <v>41.7</v>
      </c>
      <c r="BZ123" s="120">
        <v>47.945</v>
      </c>
      <c r="CA123" s="124">
        <v>-3216.6708800000001</v>
      </c>
      <c r="CB123" s="120">
        <v>1.1497601918465228</v>
      </c>
      <c r="CC123" s="120">
        <v>500</v>
      </c>
      <c r="CD123" s="120">
        <v>50</v>
      </c>
      <c r="CE123" s="124">
        <v>20850</v>
      </c>
    </row>
    <row r="124" spans="1:83" hidden="1">
      <c r="A124" s="13">
        <f t="shared" ca="1" si="244"/>
        <v>117</v>
      </c>
      <c r="B124" s="128">
        <v>44652</v>
      </c>
      <c r="C124" s="121" t="s">
        <v>8</v>
      </c>
      <c r="D124" s="121">
        <v>1</v>
      </c>
      <c r="E124" s="120" t="s">
        <v>481</v>
      </c>
      <c r="F124" s="121" t="s">
        <v>126</v>
      </c>
      <c r="G124" s="120">
        <v>260</v>
      </c>
      <c r="H124" s="122">
        <v>44679</v>
      </c>
      <c r="I124" s="120">
        <v>3750</v>
      </c>
      <c r="J124" s="120">
        <v>2.8</v>
      </c>
      <c r="K124" s="120">
        <v>0.95</v>
      </c>
      <c r="L124" s="124">
        <f t="shared" ca="1" si="212"/>
        <v>0</v>
      </c>
      <c r="M124" s="124">
        <f t="shared" ca="1" si="213"/>
        <v>6937.4999999999991</v>
      </c>
      <c r="N124" s="120">
        <f t="shared" ref="N124:N125" ca="1" si="339">K124/$J124</f>
        <v>0.3392857142857143</v>
      </c>
      <c r="O124" s="164">
        <f t="shared" ref="O124:O125" ca="1" si="340">J124*(1+$O$6*IF(C124="B",-1,1))</f>
        <v>3.5</v>
      </c>
      <c r="P124" s="168">
        <f t="shared" ca="1" si="245"/>
        <v>10500</v>
      </c>
      <c r="Q124" s="168" t="e">
        <f t="shared" ref="Q124:Q125" ca="1" si="341">(W124-J124)*I124*IF(C124="B",1,-1)*IF(K124=0,1,0)</f>
        <v>#N/A</v>
      </c>
      <c r="R124" s="184">
        <f t="shared" ca="1" si="214"/>
        <v>0</v>
      </c>
      <c r="S124" s="124">
        <f t="shared" ref="S124:S125" ca="1" si="342">(1-$S$6)*J124</f>
        <v>0.27999999999999992</v>
      </c>
      <c r="T124" s="120">
        <f ca="1">VLOOKUP(TRIM($F124),Reference!B:C,2,0)</f>
        <v>162.15</v>
      </c>
      <c r="U124" s="181">
        <f t="shared" ref="U124:U125" ca="1" si="343">AC124</f>
        <v>0</v>
      </c>
      <c r="V124" s="125" t="str">
        <f t="shared" ca="1" si="204"/>
        <v>IEX22APR260CE</v>
      </c>
      <c r="W124" s="166" t="e">
        <f ca="1">VLOOKUP($V124,Reference!BA:BD,4,0)</f>
        <v>#N/A</v>
      </c>
      <c r="X124" s="168">
        <f t="shared" ca="1" si="205"/>
        <v>0</v>
      </c>
      <c r="Y124" s="168">
        <f t="shared" ca="1" si="206"/>
        <v>0</v>
      </c>
      <c r="Z124" s="168">
        <f t="shared" ca="1" si="215"/>
        <v>0</v>
      </c>
      <c r="AA124" s="168">
        <f t="shared" ca="1" si="207"/>
        <v>0</v>
      </c>
      <c r="AB124" s="168">
        <f t="shared" ca="1" si="208"/>
        <v>0</v>
      </c>
      <c r="AC124" s="124">
        <f t="shared" ca="1" si="209"/>
        <v>0</v>
      </c>
      <c r="AD124" s="120">
        <f t="shared" ref="AD124:AD125" ca="1" si="344">(H124-TODAY())/365</f>
        <v>-0.21369863013698631</v>
      </c>
      <c r="AE124" s="120">
        <f t="shared" ref="AE124:AE125" ca="1" si="345">IF(I124&lt;&gt;0,20,0)</f>
        <v>20</v>
      </c>
      <c r="AF124" s="120"/>
      <c r="AG124" s="120"/>
      <c r="AH124" s="120">
        <f t="shared" ca="1" si="246"/>
        <v>5.25</v>
      </c>
      <c r="AI124" s="120"/>
      <c r="AJ124" s="120">
        <f t="shared" ca="1" si="247"/>
        <v>0</v>
      </c>
      <c r="AK124" s="120"/>
      <c r="AL124" s="147"/>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c r="BS124" s="13">
        <v>2</v>
      </c>
      <c r="BT124" s="128">
        <v>44491</v>
      </c>
      <c r="BU124" s="121" t="s">
        <v>8</v>
      </c>
      <c r="BV124" s="120" t="s">
        <v>482</v>
      </c>
      <c r="BW124" s="121" t="s">
        <v>502</v>
      </c>
      <c r="BX124" s="120">
        <v>18400</v>
      </c>
      <c r="BY124" s="120">
        <v>41.7</v>
      </c>
      <c r="BZ124" s="120">
        <v>47.945</v>
      </c>
      <c r="CA124" s="124">
        <v>-3216.6708800000001</v>
      </c>
      <c r="CB124" s="120">
        <v>1.1497601918465228</v>
      </c>
      <c r="CC124" s="120">
        <v>500</v>
      </c>
      <c r="CD124" s="120">
        <v>50</v>
      </c>
      <c r="CE124" s="124">
        <v>20850</v>
      </c>
    </row>
    <row r="125" spans="1:83" hidden="1">
      <c r="A125" s="13">
        <f t="shared" ca="1" si="244"/>
        <v>118</v>
      </c>
      <c r="B125" s="128">
        <v>44652</v>
      </c>
      <c r="C125" s="121" t="s">
        <v>8</v>
      </c>
      <c r="D125" s="121">
        <v>1</v>
      </c>
      <c r="E125" s="120" t="s">
        <v>481</v>
      </c>
      <c r="F125" s="121" t="s">
        <v>284</v>
      </c>
      <c r="G125" s="120">
        <v>510</v>
      </c>
      <c r="H125" s="122">
        <v>44679</v>
      </c>
      <c r="I125" s="120">
        <v>2850</v>
      </c>
      <c r="J125" s="120">
        <v>3</v>
      </c>
      <c r="K125" s="120">
        <v>0.85</v>
      </c>
      <c r="L125" s="124">
        <f t="shared" ca="1" si="212"/>
        <v>0</v>
      </c>
      <c r="M125" s="124">
        <f t="shared" ca="1" si="213"/>
        <v>6127.5</v>
      </c>
      <c r="N125" s="120">
        <f t="shared" ca="1" si="339"/>
        <v>0.28333333333333333</v>
      </c>
      <c r="O125" s="164">
        <f t="shared" ca="1" si="340"/>
        <v>3.75</v>
      </c>
      <c r="P125" s="168">
        <f t="shared" ca="1" si="245"/>
        <v>8550</v>
      </c>
      <c r="Q125" s="168" t="e">
        <f t="shared" ca="1" si="341"/>
        <v>#N/A</v>
      </c>
      <c r="R125" s="184">
        <f t="shared" ca="1" si="214"/>
        <v>0</v>
      </c>
      <c r="S125" s="124">
        <f t="shared" ca="1" si="342"/>
        <v>0.29999999999999993</v>
      </c>
      <c r="T125" s="120">
        <f ca="1">VLOOKUP(TRIM($F125),Reference!B:C,2,0)</f>
        <v>428</v>
      </c>
      <c r="U125" s="181">
        <f t="shared" ca="1" si="343"/>
        <v>0</v>
      </c>
      <c r="V125" s="125" t="str">
        <f t="shared" ca="1" si="204"/>
        <v>TATAMOTORS22APR510CE</v>
      </c>
      <c r="W125" s="166" t="e">
        <f ca="1">VLOOKUP($V125,Reference!BA:BD,4,0)</f>
        <v>#N/A</v>
      </c>
      <c r="X125" s="168">
        <f t="shared" ca="1" si="205"/>
        <v>0</v>
      </c>
      <c r="Y125" s="168">
        <f t="shared" ca="1" si="206"/>
        <v>0</v>
      </c>
      <c r="Z125" s="168">
        <f t="shared" ca="1" si="215"/>
        <v>0</v>
      </c>
      <c r="AA125" s="168">
        <f t="shared" ca="1" si="207"/>
        <v>0</v>
      </c>
      <c r="AB125" s="168">
        <f t="shared" ca="1" si="208"/>
        <v>0</v>
      </c>
      <c r="AC125" s="124">
        <f t="shared" ca="1" si="209"/>
        <v>0</v>
      </c>
      <c r="AD125" s="120">
        <f t="shared" ca="1" si="344"/>
        <v>-0.21369863013698631</v>
      </c>
      <c r="AE125" s="120">
        <f t="shared" ca="1" si="345"/>
        <v>20</v>
      </c>
      <c r="AF125" s="120"/>
      <c r="AG125" s="120"/>
      <c r="AH125" s="120">
        <f t="shared" ca="1" si="246"/>
        <v>4.2750000000000004</v>
      </c>
      <c r="AI125" s="120"/>
      <c r="AJ125" s="120">
        <f t="shared" ca="1" si="247"/>
        <v>0</v>
      </c>
      <c r="AK125" s="120"/>
      <c r="AL125" s="147"/>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c r="BS125" s="13">
        <v>2</v>
      </c>
      <c r="BT125" s="128">
        <v>44491</v>
      </c>
      <c r="BU125" s="121" t="s">
        <v>8</v>
      </c>
      <c r="BV125" s="120" t="s">
        <v>482</v>
      </c>
      <c r="BW125" s="121" t="s">
        <v>502</v>
      </c>
      <c r="BX125" s="120">
        <v>18400</v>
      </c>
      <c r="BY125" s="120">
        <v>41.7</v>
      </c>
      <c r="BZ125" s="120">
        <v>47.945</v>
      </c>
      <c r="CA125" s="124">
        <v>-3216.6708800000001</v>
      </c>
      <c r="CB125" s="120">
        <v>1.1497601918465228</v>
      </c>
      <c r="CC125" s="120">
        <v>500</v>
      </c>
      <c r="CD125" s="120">
        <v>50</v>
      </c>
      <c r="CE125" s="124">
        <v>20850</v>
      </c>
    </row>
    <row r="126" spans="1:83" hidden="1">
      <c r="A126" s="13">
        <f t="shared" ca="1" si="244"/>
        <v>119</v>
      </c>
      <c r="B126" s="128">
        <v>44652</v>
      </c>
      <c r="C126" s="121" t="s">
        <v>8</v>
      </c>
      <c r="D126" s="121">
        <v>1</v>
      </c>
      <c r="E126" s="120" t="s">
        <v>481</v>
      </c>
      <c r="F126" s="121" t="s">
        <v>126</v>
      </c>
      <c r="G126" s="120">
        <v>270</v>
      </c>
      <c r="H126" s="122">
        <v>44679</v>
      </c>
      <c r="I126" s="120">
        <v>3750</v>
      </c>
      <c r="J126" s="120">
        <v>1.7</v>
      </c>
      <c r="K126" s="120">
        <v>0.75</v>
      </c>
      <c r="L126" s="124">
        <f t="shared" ca="1" si="212"/>
        <v>0</v>
      </c>
      <c r="M126" s="124">
        <f t="shared" ca="1" si="213"/>
        <v>3562.5</v>
      </c>
      <c r="N126" s="120">
        <f t="shared" ref="N126" ca="1" si="346">K126/$J126</f>
        <v>0.44117647058823528</v>
      </c>
      <c r="O126" s="164">
        <f t="shared" ref="O126" ca="1" si="347">J126*(1+$O$6*IF(C126="B",-1,1))</f>
        <v>2.125</v>
      </c>
      <c r="P126" s="168">
        <f t="shared" ca="1" si="245"/>
        <v>6375</v>
      </c>
      <c r="Q126" s="168" t="e">
        <f t="shared" ref="Q126" ca="1" si="348">(W126-J126)*I126*IF(C126="B",1,-1)*IF(K126=0,1,0)</f>
        <v>#N/A</v>
      </c>
      <c r="R126" s="184">
        <f t="shared" ca="1" si="214"/>
        <v>0</v>
      </c>
      <c r="S126" s="124">
        <f t="shared" ref="S126" ca="1" si="349">(1-$S$6)*J126</f>
        <v>0.16999999999999996</v>
      </c>
      <c r="T126" s="120">
        <f ca="1">VLOOKUP(TRIM($F126),Reference!B:C,2,0)</f>
        <v>162.15</v>
      </c>
      <c r="U126" s="181">
        <f t="shared" ref="U126" ca="1" si="350">AC126</f>
        <v>0</v>
      </c>
      <c r="V126" s="125" t="str">
        <f t="shared" ca="1" si="204"/>
        <v>IEX22APR270CE</v>
      </c>
      <c r="W126" s="166" t="e">
        <f ca="1">VLOOKUP($V126,Reference!BA:BD,4,0)</f>
        <v>#N/A</v>
      </c>
      <c r="X126" s="168">
        <f t="shared" ca="1" si="205"/>
        <v>0</v>
      </c>
      <c r="Y126" s="168">
        <f t="shared" ca="1" si="206"/>
        <v>0</v>
      </c>
      <c r="Z126" s="168">
        <f t="shared" ca="1" si="215"/>
        <v>0</v>
      </c>
      <c r="AA126" s="168">
        <f t="shared" ca="1" si="207"/>
        <v>0</v>
      </c>
      <c r="AB126" s="168">
        <f t="shared" ca="1" si="208"/>
        <v>0</v>
      </c>
      <c r="AC126" s="124">
        <f t="shared" ca="1" si="209"/>
        <v>0</v>
      </c>
      <c r="AD126" s="120">
        <f t="shared" ref="AD126" ca="1" si="351">(H126-TODAY())/365</f>
        <v>-0.21369863013698631</v>
      </c>
      <c r="AE126" s="120">
        <f t="shared" ref="AE126" ca="1" si="352">IF(I126&lt;&gt;0,20,0)</f>
        <v>20</v>
      </c>
      <c r="AF126" s="120"/>
      <c r="AG126" s="120"/>
      <c r="AH126" s="120">
        <f t="shared" ca="1" si="246"/>
        <v>3.1875</v>
      </c>
      <c r="AI126" s="120"/>
      <c r="AJ126" s="120">
        <f t="shared" ca="1" si="247"/>
        <v>0</v>
      </c>
      <c r="AK126" s="120"/>
      <c r="AL126" s="147"/>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c r="BS126" s="13">
        <v>2</v>
      </c>
      <c r="BT126" s="128">
        <v>44491</v>
      </c>
      <c r="BU126" s="121" t="s">
        <v>8</v>
      </c>
      <c r="BV126" s="120" t="s">
        <v>482</v>
      </c>
      <c r="BW126" s="121" t="s">
        <v>502</v>
      </c>
      <c r="BX126" s="120">
        <v>18400</v>
      </c>
      <c r="BY126" s="120">
        <v>41.7</v>
      </c>
      <c r="BZ126" s="120">
        <v>47.945</v>
      </c>
      <c r="CA126" s="124">
        <v>-3216.6708800000001</v>
      </c>
      <c r="CB126" s="120">
        <v>1.1497601918465228</v>
      </c>
      <c r="CC126" s="120">
        <v>500</v>
      </c>
      <c r="CD126" s="120">
        <v>50</v>
      </c>
      <c r="CE126" s="124">
        <v>20850</v>
      </c>
    </row>
    <row r="127" spans="1:83" hidden="1">
      <c r="A127" s="13">
        <f t="shared" ca="1" si="244"/>
        <v>120</v>
      </c>
      <c r="B127" s="128">
        <v>44652</v>
      </c>
      <c r="C127" s="121" t="s">
        <v>8</v>
      </c>
      <c r="D127" s="121">
        <v>1</v>
      </c>
      <c r="E127" s="120" t="s">
        <v>481</v>
      </c>
      <c r="F127" s="121" t="s">
        <v>90</v>
      </c>
      <c r="G127" s="120">
        <v>4040</v>
      </c>
      <c r="H127" s="122">
        <v>44679</v>
      </c>
      <c r="I127" s="120">
        <v>150</v>
      </c>
      <c r="J127" s="120">
        <v>20.7</v>
      </c>
      <c r="K127" s="120">
        <v>1.8</v>
      </c>
      <c r="L127" s="124">
        <f t="shared" ca="1" si="212"/>
        <v>0</v>
      </c>
      <c r="M127" s="124">
        <f t="shared" ca="1" si="213"/>
        <v>2835</v>
      </c>
      <c r="N127" s="120">
        <f t="shared" ref="N127" ca="1" si="353">K127/$J127</f>
        <v>8.6956521739130446E-2</v>
      </c>
      <c r="O127" s="164">
        <f t="shared" ref="O127" ca="1" si="354">J127*(1+$O$6*IF(C127="B",-1,1))</f>
        <v>25.875</v>
      </c>
      <c r="P127" s="168">
        <f t="shared" ca="1" si="245"/>
        <v>3105</v>
      </c>
      <c r="Q127" s="168" t="e">
        <f t="shared" ref="Q127" ca="1" si="355">(W127-J127)*I127*IF(C127="B",1,-1)*IF(K127=0,1,0)</f>
        <v>#N/A</v>
      </c>
      <c r="R127" s="184">
        <f t="shared" ca="1" si="214"/>
        <v>0</v>
      </c>
      <c r="S127" s="124">
        <f t="shared" ref="S127" ca="1" si="356">(1-$S$6)*J127</f>
        <v>2.0699999999999994</v>
      </c>
      <c r="T127" s="120">
        <f ca="1">VLOOKUP(TRIM($F127),Reference!B:C,2,0)</f>
        <v>3003</v>
      </c>
      <c r="U127" s="181">
        <f t="shared" ref="U127" ca="1" si="357">AC127</f>
        <v>0</v>
      </c>
      <c r="V127" s="125" t="str">
        <f t="shared" ca="1" si="204"/>
        <v>TCS22APR4040CE</v>
      </c>
      <c r="W127" s="166" t="e">
        <f ca="1">VLOOKUP($V127,Reference!BA:BD,4,0)</f>
        <v>#N/A</v>
      </c>
      <c r="X127" s="168">
        <f t="shared" ca="1" si="205"/>
        <v>0</v>
      </c>
      <c r="Y127" s="168">
        <f t="shared" ca="1" si="206"/>
        <v>0</v>
      </c>
      <c r="Z127" s="168">
        <f t="shared" ca="1" si="215"/>
        <v>0</v>
      </c>
      <c r="AA127" s="168">
        <f t="shared" ca="1" si="207"/>
        <v>0</v>
      </c>
      <c r="AB127" s="168">
        <f t="shared" ca="1" si="208"/>
        <v>0</v>
      </c>
      <c r="AC127" s="124">
        <f t="shared" ca="1" si="209"/>
        <v>0</v>
      </c>
      <c r="AD127" s="120">
        <f t="shared" ref="AD127" ca="1" si="358">(H127-TODAY())/365</f>
        <v>-0.21369863013698631</v>
      </c>
      <c r="AE127" s="120">
        <f t="shared" ref="AE127" ca="1" si="359">IF(I127&lt;&gt;0,20,0)</f>
        <v>20</v>
      </c>
      <c r="AF127" s="120"/>
      <c r="AG127" s="120"/>
      <c r="AH127" s="120">
        <f t="shared" ca="1" si="246"/>
        <v>1.5525</v>
      </c>
      <c r="AI127" s="120"/>
      <c r="AJ127" s="120">
        <f t="shared" ca="1" si="247"/>
        <v>0</v>
      </c>
      <c r="AK127" s="120"/>
      <c r="AL127" s="147"/>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c r="BS127" s="13">
        <v>2</v>
      </c>
      <c r="BT127" s="128">
        <v>44491</v>
      </c>
      <c r="BU127" s="121" t="s">
        <v>8</v>
      </c>
      <c r="BV127" s="120" t="s">
        <v>482</v>
      </c>
      <c r="BW127" s="121" t="s">
        <v>502</v>
      </c>
      <c r="BX127" s="120">
        <v>18400</v>
      </c>
      <c r="BY127" s="120">
        <v>41.7</v>
      </c>
      <c r="BZ127" s="120">
        <v>47.945</v>
      </c>
      <c r="CA127" s="124">
        <v>-3216.6708800000001</v>
      </c>
      <c r="CB127" s="120">
        <v>1.1497601918465228</v>
      </c>
      <c r="CC127" s="120">
        <v>500</v>
      </c>
      <c r="CD127" s="120">
        <v>50</v>
      </c>
      <c r="CE127" s="124">
        <v>20850</v>
      </c>
    </row>
    <row r="128" spans="1:83" hidden="1">
      <c r="A128" s="13">
        <f t="shared" ca="1" si="244"/>
        <v>121</v>
      </c>
      <c r="B128" s="128">
        <v>44652</v>
      </c>
      <c r="C128" s="121" t="s">
        <v>8</v>
      </c>
      <c r="D128" s="121">
        <v>1</v>
      </c>
      <c r="E128" s="120" t="s">
        <v>481</v>
      </c>
      <c r="F128" s="121" t="s">
        <v>502</v>
      </c>
      <c r="G128" s="120">
        <v>18500</v>
      </c>
      <c r="H128" s="122">
        <v>44679</v>
      </c>
      <c r="I128" s="120">
        <v>100</v>
      </c>
      <c r="J128" s="120">
        <v>49.5</v>
      </c>
      <c r="K128" s="120">
        <v>4</v>
      </c>
      <c r="L128" s="124">
        <f t="shared" ca="1" si="212"/>
        <v>0</v>
      </c>
      <c r="M128" s="124">
        <f t="shared" ca="1" si="213"/>
        <v>4550</v>
      </c>
      <c r="N128" s="120">
        <f t="shared" ref="N128" ca="1" si="360">K128/$J128</f>
        <v>8.0808080808080815E-2</v>
      </c>
      <c r="O128" s="164">
        <f t="shared" ref="O128" ca="1" si="361">J128*(1+$O$6*IF(C128="B",-1,1))</f>
        <v>61.875</v>
      </c>
      <c r="P128" s="168">
        <f t="shared" ca="1" si="245"/>
        <v>4950</v>
      </c>
      <c r="Q128" s="168" t="e">
        <f t="shared" ref="Q128" ca="1" si="362">(W128-J128)*I128*IF(C128="B",1,-1)*IF(K128=0,1,0)</f>
        <v>#N/A</v>
      </c>
      <c r="R128" s="184">
        <f t="shared" ca="1" si="214"/>
        <v>0</v>
      </c>
      <c r="S128" s="124">
        <f t="shared" ref="S128" ca="1" si="363">(1-$S$6)*J128</f>
        <v>4.9499999999999993</v>
      </c>
      <c r="T128" s="120">
        <f ca="1">VLOOKUP(TRIM($F128),Reference!B:C,2,0)</f>
        <v>15938.65</v>
      </c>
      <c r="U128" s="181">
        <f t="shared" ref="U128" ca="1" si="364">AC128</f>
        <v>0</v>
      </c>
      <c r="V128" s="125" t="str">
        <f t="shared" ca="1" si="204"/>
        <v>NIFTY22APR18500CE</v>
      </c>
      <c r="W128" s="166" t="e">
        <f ca="1">VLOOKUP($V128,Reference!BA:BD,4,0)</f>
        <v>#N/A</v>
      </c>
      <c r="X128" s="168">
        <f t="shared" ca="1" si="205"/>
        <v>0</v>
      </c>
      <c r="Y128" s="168">
        <f t="shared" ca="1" si="206"/>
        <v>0</v>
      </c>
      <c r="Z128" s="168">
        <f t="shared" ca="1" si="215"/>
        <v>0</v>
      </c>
      <c r="AA128" s="168">
        <f t="shared" ca="1" si="207"/>
        <v>0</v>
      </c>
      <c r="AB128" s="168">
        <f t="shared" ca="1" si="208"/>
        <v>0</v>
      </c>
      <c r="AC128" s="124">
        <f t="shared" ca="1" si="209"/>
        <v>0</v>
      </c>
      <c r="AD128" s="120">
        <f t="shared" ref="AD128" ca="1" si="365">(H128-TODAY())/365</f>
        <v>-0.21369863013698631</v>
      </c>
      <c r="AE128" s="120">
        <f t="shared" ref="AE128" ca="1" si="366">IF(I128&lt;&gt;0,20,0)</f>
        <v>20</v>
      </c>
      <c r="AF128" s="120"/>
      <c r="AG128" s="120"/>
      <c r="AH128" s="120">
        <f t="shared" ca="1" si="246"/>
        <v>2.4750000000000001</v>
      </c>
      <c r="AI128" s="120"/>
      <c r="AJ128" s="120">
        <f t="shared" ca="1" si="247"/>
        <v>0</v>
      </c>
      <c r="AK128" s="120"/>
      <c r="AL128" s="147"/>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c r="BS128" s="13">
        <v>2</v>
      </c>
      <c r="BT128" s="128">
        <v>44491</v>
      </c>
      <c r="BU128" s="121" t="s">
        <v>8</v>
      </c>
      <c r="BV128" s="120" t="s">
        <v>482</v>
      </c>
      <c r="BW128" s="121" t="s">
        <v>502</v>
      </c>
      <c r="BX128" s="120">
        <v>18400</v>
      </c>
      <c r="BY128" s="120">
        <v>41.7</v>
      </c>
      <c r="BZ128" s="120">
        <v>47.945</v>
      </c>
      <c r="CA128" s="124">
        <v>-3216.6708800000001</v>
      </c>
      <c r="CB128" s="120">
        <v>1.1497601918465228</v>
      </c>
      <c r="CC128" s="120">
        <v>500</v>
      </c>
      <c r="CD128" s="120">
        <v>50</v>
      </c>
      <c r="CE128" s="124">
        <v>20850</v>
      </c>
    </row>
    <row r="129" spans="1:83" hidden="1">
      <c r="A129" s="13">
        <f t="shared" ca="1" si="244"/>
        <v>122</v>
      </c>
      <c r="B129" s="128">
        <v>44652</v>
      </c>
      <c r="C129" s="121" t="s">
        <v>8</v>
      </c>
      <c r="D129" s="121">
        <v>1</v>
      </c>
      <c r="E129" s="120" t="s">
        <v>481</v>
      </c>
      <c r="F129" s="121" t="s">
        <v>502</v>
      </c>
      <c r="G129" s="120">
        <v>18600</v>
      </c>
      <c r="H129" s="122">
        <v>44679</v>
      </c>
      <c r="I129" s="120">
        <v>100</v>
      </c>
      <c r="J129" s="120">
        <v>35.299999999999997</v>
      </c>
      <c r="K129" s="120">
        <v>3.25</v>
      </c>
      <c r="L129" s="124">
        <f t="shared" ca="1" si="212"/>
        <v>0</v>
      </c>
      <c r="M129" s="124">
        <f t="shared" ca="1" si="213"/>
        <v>3204.9999999999995</v>
      </c>
      <c r="N129" s="120">
        <f t="shared" ref="N129" ca="1" si="367">K129/$J129</f>
        <v>9.2067988668555242E-2</v>
      </c>
      <c r="O129" s="164">
        <f t="shared" ref="O129" ca="1" si="368">J129*(1+$O$6*IF(C129="B",-1,1))</f>
        <v>44.125</v>
      </c>
      <c r="P129" s="168">
        <f t="shared" ca="1" si="245"/>
        <v>3529.9999999999995</v>
      </c>
      <c r="Q129" s="168" t="e">
        <f t="shared" ref="Q129" ca="1" si="369">(W129-J129)*I129*IF(C129="B",1,-1)*IF(K129=0,1,0)</f>
        <v>#N/A</v>
      </c>
      <c r="R129" s="184">
        <f t="shared" ca="1" si="214"/>
        <v>0</v>
      </c>
      <c r="S129" s="124">
        <f t="shared" ref="S129" ca="1" si="370">(1-$S$6)*J129</f>
        <v>3.5299999999999989</v>
      </c>
      <c r="T129" s="120">
        <f ca="1">VLOOKUP(TRIM($F129),Reference!B:C,2,0)</f>
        <v>15938.65</v>
      </c>
      <c r="U129" s="181">
        <f t="shared" ref="U129" ca="1" si="371">AC129</f>
        <v>0</v>
      </c>
      <c r="V129" s="125" t="str">
        <f t="shared" ca="1" si="204"/>
        <v>NIFTY22APR18600CE</v>
      </c>
      <c r="W129" s="166" t="e">
        <f ca="1">VLOOKUP($V129,Reference!BA:BD,4,0)</f>
        <v>#N/A</v>
      </c>
      <c r="X129" s="168">
        <f t="shared" ca="1" si="205"/>
        <v>0</v>
      </c>
      <c r="Y129" s="168">
        <f t="shared" ca="1" si="206"/>
        <v>0</v>
      </c>
      <c r="Z129" s="168">
        <f t="shared" ca="1" si="215"/>
        <v>0</v>
      </c>
      <c r="AA129" s="168">
        <f t="shared" ca="1" si="207"/>
        <v>0</v>
      </c>
      <c r="AB129" s="168">
        <f t="shared" ca="1" si="208"/>
        <v>0</v>
      </c>
      <c r="AC129" s="124">
        <f t="shared" ca="1" si="209"/>
        <v>0</v>
      </c>
      <c r="AD129" s="120">
        <f t="shared" ref="AD129" ca="1" si="372">(H129-TODAY())/365</f>
        <v>-0.21369863013698631</v>
      </c>
      <c r="AE129" s="120">
        <f t="shared" ref="AE129" ca="1" si="373">IF(I129&lt;&gt;0,20,0)</f>
        <v>20</v>
      </c>
      <c r="AF129" s="120"/>
      <c r="AG129" s="120"/>
      <c r="AH129" s="120">
        <f t="shared" ca="1" si="246"/>
        <v>1.7649999999999999</v>
      </c>
      <c r="AI129" s="120"/>
      <c r="AJ129" s="120">
        <f t="shared" ca="1" si="247"/>
        <v>0</v>
      </c>
      <c r="AK129" s="120"/>
      <c r="AL129" s="147"/>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c r="BS129" s="13">
        <v>2</v>
      </c>
      <c r="BT129" s="128">
        <v>44491</v>
      </c>
      <c r="BU129" s="121" t="s">
        <v>8</v>
      </c>
      <c r="BV129" s="120" t="s">
        <v>482</v>
      </c>
      <c r="BW129" s="121" t="s">
        <v>502</v>
      </c>
      <c r="BX129" s="120">
        <v>18400</v>
      </c>
      <c r="BY129" s="120">
        <v>41.7</v>
      </c>
      <c r="BZ129" s="120">
        <v>47.945</v>
      </c>
      <c r="CA129" s="124">
        <v>-3216.6708800000001</v>
      </c>
      <c r="CB129" s="120">
        <v>1.1497601918465228</v>
      </c>
      <c r="CC129" s="120">
        <v>500</v>
      </c>
      <c r="CD129" s="120">
        <v>50</v>
      </c>
      <c r="CE129" s="124">
        <v>20850</v>
      </c>
    </row>
    <row r="130" spans="1:83" hidden="1">
      <c r="A130" s="13">
        <f t="shared" ca="1" si="244"/>
        <v>123</v>
      </c>
      <c r="B130" s="128">
        <v>44652</v>
      </c>
      <c r="C130" s="121" t="s">
        <v>8</v>
      </c>
      <c r="D130" s="121">
        <v>1</v>
      </c>
      <c r="E130" s="120" t="s">
        <v>481</v>
      </c>
      <c r="F130" s="121" t="s">
        <v>506</v>
      </c>
      <c r="G130" s="120">
        <v>38500</v>
      </c>
      <c r="H130" s="122">
        <v>44679</v>
      </c>
      <c r="I130" s="120">
        <v>25</v>
      </c>
      <c r="J130" s="120">
        <v>316</v>
      </c>
      <c r="K130" s="120">
        <v>838.5</v>
      </c>
      <c r="L130" s="124">
        <f t="shared" ca="1" si="212"/>
        <v>0</v>
      </c>
      <c r="M130" s="124">
        <f t="shared" ca="1" si="213"/>
        <v>-13062.5</v>
      </c>
      <c r="N130" s="120">
        <f t="shared" ref="N130" ca="1" si="374">K130/$J130</f>
        <v>2.653481012658228</v>
      </c>
      <c r="O130" s="164">
        <f t="shared" ref="O130" ca="1" si="375">J130*(1+$O$6*IF(C130="B",-1,1))</f>
        <v>395</v>
      </c>
      <c r="P130" s="168">
        <f t="shared" ca="1" si="245"/>
        <v>7900</v>
      </c>
      <c r="Q130" s="168" t="e">
        <f t="shared" ref="Q130" ca="1" si="376">(W130-J130)*I130*IF(C130="B",1,-1)*IF(K130=0,1,0)</f>
        <v>#N/A</v>
      </c>
      <c r="R130" s="184">
        <f t="shared" ca="1" si="214"/>
        <v>0</v>
      </c>
      <c r="S130" s="124">
        <f t="shared" ref="S130" ca="1" si="377">(1-$S$6)*J130</f>
        <v>31.599999999999994</v>
      </c>
      <c r="T130" s="120">
        <f ca="1">VLOOKUP(TRIM($F130),Reference!B:C,2,0)</f>
        <v>34651.199999999997</v>
      </c>
      <c r="U130" s="181">
        <f t="shared" ref="U130" ca="1" si="378">AC130</f>
        <v>0</v>
      </c>
      <c r="V130" s="125" t="str">
        <f t="shared" ca="1" si="204"/>
        <v>BANKNIFTY22APR38500CE</v>
      </c>
      <c r="W130" s="166" t="e">
        <f ca="1">VLOOKUP($V130,Reference!BA:BD,4,0)</f>
        <v>#N/A</v>
      </c>
      <c r="X130" s="168">
        <f t="shared" ca="1" si="205"/>
        <v>0</v>
      </c>
      <c r="Y130" s="168">
        <f t="shared" ca="1" si="206"/>
        <v>0</v>
      </c>
      <c r="Z130" s="168">
        <f t="shared" ca="1" si="215"/>
        <v>0</v>
      </c>
      <c r="AA130" s="168">
        <f t="shared" ca="1" si="207"/>
        <v>0</v>
      </c>
      <c r="AB130" s="168">
        <f t="shared" ca="1" si="208"/>
        <v>0</v>
      </c>
      <c r="AC130" s="124">
        <f t="shared" ca="1" si="209"/>
        <v>0</v>
      </c>
      <c r="AD130" s="120">
        <f t="shared" ref="AD130" ca="1" si="379">(H130-TODAY())/365</f>
        <v>-0.21369863013698631</v>
      </c>
      <c r="AE130" s="120">
        <f t="shared" ref="AE130" ca="1" si="380">IF(I130&lt;&gt;0,20,0)</f>
        <v>20</v>
      </c>
      <c r="AF130" s="120"/>
      <c r="AG130" s="120"/>
      <c r="AH130" s="120">
        <f t="shared" ca="1" si="246"/>
        <v>3.95</v>
      </c>
      <c r="AI130" s="120"/>
      <c r="AJ130" s="120">
        <f t="shared" ca="1" si="247"/>
        <v>0</v>
      </c>
      <c r="AK130" s="120"/>
      <c r="AL130" s="147"/>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c r="BS130" s="13">
        <v>2</v>
      </c>
      <c r="BT130" s="128">
        <v>44491</v>
      </c>
      <c r="BU130" s="121" t="s">
        <v>8</v>
      </c>
      <c r="BV130" s="120" t="s">
        <v>482</v>
      </c>
      <c r="BW130" s="121" t="s">
        <v>502</v>
      </c>
      <c r="BX130" s="120">
        <v>18400</v>
      </c>
      <c r="BY130" s="120">
        <v>41.7</v>
      </c>
      <c r="BZ130" s="120">
        <v>47.945</v>
      </c>
      <c r="CA130" s="124">
        <v>-3216.6708800000001</v>
      </c>
      <c r="CB130" s="120">
        <v>1.1497601918465228</v>
      </c>
      <c r="CC130" s="120">
        <v>500</v>
      </c>
      <c r="CD130" s="120">
        <v>50</v>
      </c>
      <c r="CE130" s="124">
        <v>20850</v>
      </c>
    </row>
    <row r="131" spans="1:83" hidden="1">
      <c r="A131" s="13">
        <f t="shared" ca="1" si="244"/>
        <v>124</v>
      </c>
      <c r="B131" s="128">
        <v>44652</v>
      </c>
      <c r="C131" s="121" t="s">
        <v>8</v>
      </c>
      <c r="D131" s="121">
        <v>1</v>
      </c>
      <c r="E131" s="120" t="s">
        <v>481</v>
      </c>
      <c r="F131" s="121" t="s">
        <v>506</v>
      </c>
      <c r="G131" s="120">
        <v>39000</v>
      </c>
      <c r="H131" s="122">
        <v>44679</v>
      </c>
      <c r="I131" s="120">
        <v>25</v>
      </c>
      <c r="J131" s="120">
        <v>213.55</v>
      </c>
      <c r="K131" s="120">
        <v>359.65</v>
      </c>
      <c r="L131" s="124">
        <f t="shared" ca="1" si="212"/>
        <v>0</v>
      </c>
      <c r="M131" s="124">
        <f t="shared" ca="1" si="213"/>
        <v>-3652.4999999999991</v>
      </c>
      <c r="N131" s="120">
        <f t="shared" ref="N131:N134" ca="1" si="381">K131/$J131</f>
        <v>1.6841489112619994</v>
      </c>
      <c r="O131" s="164">
        <f t="shared" ref="O131:O134" ca="1" si="382">J131*(1+$O$6*IF(C131="B",-1,1))</f>
        <v>266.9375</v>
      </c>
      <c r="P131" s="168">
        <f t="shared" ca="1" si="245"/>
        <v>5338.75</v>
      </c>
      <c r="Q131" s="168" t="e">
        <f t="shared" ref="Q131:Q134" ca="1" si="383">(W131-J131)*I131*IF(C131="B",1,-1)*IF(K131=0,1,0)</f>
        <v>#N/A</v>
      </c>
      <c r="R131" s="184">
        <f t="shared" ca="1" si="214"/>
        <v>0</v>
      </c>
      <c r="S131" s="124">
        <f t="shared" ref="S131:S134" ca="1" si="384">(1-$S$6)*J131</f>
        <v>21.354999999999997</v>
      </c>
      <c r="T131" s="120">
        <f ca="1">VLOOKUP(TRIM($F131),Reference!B:C,2,0)</f>
        <v>34651.199999999997</v>
      </c>
      <c r="U131" s="181">
        <f t="shared" ref="U131:U134" ca="1" si="385">AC131</f>
        <v>0</v>
      </c>
      <c r="V131" s="125" t="str">
        <f t="shared" ca="1" si="204"/>
        <v>BANKNIFTY22APR39000CE</v>
      </c>
      <c r="W131" s="166" t="e">
        <f ca="1">VLOOKUP($V131,Reference!BA:BD,4,0)</f>
        <v>#N/A</v>
      </c>
      <c r="X131" s="168">
        <f t="shared" ca="1" si="205"/>
        <v>0</v>
      </c>
      <c r="Y131" s="168">
        <f t="shared" ca="1" si="206"/>
        <v>0</v>
      </c>
      <c r="Z131" s="168">
        <f t="shared" ca="1" si="215"/>
        <v>0</v>
      </c>
      <c r="AA131" s="168">
        <f t="shared" ca="1" si="207"/>
        <v>0</v>
      </c>
      <c r="AB131" s="168">
        <f t="shared" ca="1" si="208"/>
        <v>0</v>
      </c>
      <c r="AC131" s="124">
        <f t="shared" ca="1" si="209"/>
        <v>0</v>
      </c>
      <c r="AD131" s="120">
        <f t="shared" ref="AD131:AD134" ca="1" si="386">(H131-TODAY())/365</f>
        <v>-0.21369863013698631</v>
      </c>
      <c r="AE131" s="120">
        <f t="shared" ref="AE131:AE134" ca="1" si="387">IF(I131&lt;&gt;0,20,0)</f>
        <v>20</v>
      </c>
      <c r="AF131" s="120"/>
      <c r="AG131" s="120"/>
      <c r="AH131" s="120">
        <f t="shared" ca="1" si="246"/>
        <v>2.6693750000000001</v>
      </c>
      <c r="AI131" s="120"/>
      <c r="AJ131" s="120">
        <f t="shared" ca="1" si="247"/>
        <v>0</v>
      </c>
      <c r="AK131" s="120"/>
      <c r="AL131" s="147"/>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c r="BS131" s="13">
        <v>2</v>
      </c>
      <c r="BT131" s="128">
        <v>44491</v>
      </c>
      <c r="BU131" s="121" t="s">
        <v>8</v>
      </c>
      <c r="BV131" s="120" t="s">
        <v>482</v>
      </c>
      <c r="BW131" s="121" t="s">
        <v>502</v>
      </c>
      <c r="BX131" s="120">
        <v>18400</v>
      </c>
      <c r="BY131" s="120">
        <v>41.7</v>
      </c>
      <c r="BZ131" s="120">
        <v>47.945</v>
      </c>
      <c r="CA131" s="124">
        <v>-3216.6708800000001</v>
      </c>
      <c r="CB131" s="120">
        <v>1.1497601918465228</v>
      </c>
      <c r="CC131" s="120">
        <v>500</v>
      </c>
      <c r="CD131" s="120">
        <v>50</v>
      </c>
      <c r="CE131" s="124">
        <v>20850</v>
      </c>
    </row>
    <row r="132" spans="1:83" hidden="1">
      <c r="A132" s="13">
        <f t="shared" ca="1" si="244"/>
        <v>125</v>
      </c>
      <c r="B132" s="128">
        <v>44652</v>
      </c>
      <c r="C132" s="121" t="s">
        <v>8</v>
      </c>
      <c r="D132" s="121">
        <v>1</v>
      </c>
      <c r="E132" s="120" t="s">
        <v>481</v>
      </c>
      <c r="F132" s="121" t="s">
        <v>506</v>
      </c>
      <c r="G132" s="120">
        <v>39500</v>
      </c>
      <c r="H132" s="122">
        <v>44679</v>
      </c>
      <c r="I132" s="120">
        <v>25</v>
      </c>
      <c r="J132" s="120">
        <v>150</v>
      </c>
      <c r="K132" s="120">
        <v>234.2</v>
      </c>
      <c r="L132" s="124">
        <f t="shared" ca="1" si="212"/>
        <v>0</v>
      </c>
      <c r="M132" s="124">
        <f t="shared" ca="1" si="213"/>
        <v>-2104.9999999999995</v>
      </c>
      <c r="N132" s="120">
        <f t="shared" ca="1" si="381"/>
        <v>1.5613333333333332</v>
      </c>
      <c r="O132" s="164">
        <f t="shared" ca="1" si="382"/>
        <v>187.5</v>
      </c>
      <c r="P132" s="168">
        <f t="shared" ca="1" si="245"/>
        <v>3750</v>
      </c>
      <c r="Q132" s="168" t="e">
        <f t="shared" ca="1" si="383"/>
        <v>#N/A</v>
      </c>
      <c r="R132" s="184">
        <f t="shared" ca="1" si="214"/>
        <v>0</v>
      </c>
      <c r="S132" s="124">
        <f t="shared" ca="1" si="384"/>
        <v>14.999999999999996</v>
      </c>
      <c r="T132" s="120">
        <f ca="1">VLOOKUP(TRIM($F132),Reference!B:C,2,0)</f>
        <v>34651.199999999997</v>
      </c>
      <c r="U132" s="181">
        <f t="shared" ca="1" si="385"/>
        <v>0</v>
      </c>
      <c r="V132" s="125" t="str">
        <f t="shared" ca="1" si="204"/>
        <v>BANKNIFTY22APR39500CE</v>
      </c>
      <c r="W132" s="166" t="e">
        <f ca="1">VLOOKUP($V132,Reference!BA:BD,4,0)</f>
        <v>#N/A</v>
      </c>
      <c r="X132" s="168">
        <f t="shared" ca="1" si="205"/>
        <v>0</v>
      </c>
      <c r="Y132" s="168">
        <f t="shared" ca="1" si="206"/>
        <v>0</v>
      </c>
      <c r="Z132" s="168">
        <f t="shared" ca="1" si="215"/>
        <v>0</v>
      </c>
      <c r="AA132" s="168">
        <f t="shared" ca="1" si="207"/>
        <v>0</v>
      </c>
      <c r="AB132" s="168">
        <f t="shared" ca="1" si="208"/>
        <v>0</v>
      </c>
      <c r="AC132" s="124">
        <f t="shared" ca="1" si="209"/>
        <v>0</v>
      </c>
      <c r="AD132" s="120">
        <f t="shared" ca="1" si="386"/>
        <v>-0.21369863013698631</v>
      </c>
      <c r="AE132" s="120">
        <f t="shared" ca="1" si="387"/>
        <v>20</v>
      </c>
      <c r="AF132" s="120"/>
      <c r="AG132" s="120"/>
      <c r="AH132" s="120">
        <f t="shared" ca="1" si="246"/>
        <v>1.875</v>
      </c>
      <c r="AI132" s="120"/>
      <c r="AJ132" s="120">
        <f t="shared" ca="1" si="247"/>
        <v>0</v>
      </c>
      <c r="AK132" s="120"/>
      <c r="AL132" s="147"/>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c r="BS132" s="13">
        <v>2</v>
      </c>
      <c r="BT132" s="128">
        <v>44491</v>
      </c>
      <c r="BU132" s="121" t="s">
        <v>8</v>
      </c>
      <c r="BV132" s="120" t="s">
        <v>482</v>
      </c>
      <c r="BW132" s="121" t="s">
        <v>502</v>
      </c>
      <c r="BX132" s="120">
        <v>18400</v>
      </c>
      <c r="BY132" s="120">
        <v>41.7</v>
      </c>
      <c r="BZ132" s="120">
        <v>47.945</v>
      </c>
      <c r="CA132" s="124">
        <v>-3216.6708800000001</v>
      </c>
      <c r="CB132" s="120">
        <v>1.1497601918465228</v>
      </c>
      <c r="CC132" s="120">
        <v>500</v>
      </c>
      <c r="CD132" s="120">
        <v>50</v>
      </c>
      <c r="CE132" s="124">
        <v>20850</v>
      </c>
    </row>
    <row r="133" spans="1:83" hidden="1">
      <c r="A133" s="13">
        <f t="shared" ca="1" si="244"/>
        <v>126</v>
      </c>
      <c r="B133" s="128">
        <v>44652</v>
      </c>
      <c r="C133" s="121" t="s">
        <v>8</v>
      </c>
      <c r="D133" s="121">
        <v>1</v>
      </c>
      <c r="E133" s="120" t="s">
        <v>481</v>
      </c>
      <c r="F133" s="121" t="s">
        <v>506</v>
      </c>
      <c r="G133" s="120">
        <v>40000</v>
      </c>
      <c r="H133" s="122">
        <v>44679</v>
      </c>
      <c r="I133" s="120">
        <v>25</v>
      </c>
      <c r="J133" s="120">
        <v>95.5</v>
      </c>
      <c r="K133" s="120">
        <v>3.2</v>
      </c>
      <c r="L133" s="124">
        <f t="shared" ca="1" si="212"/>
        <v>0</v>
      </c>
      <c r="M133" s="124">
        <f t="shared" ca="1" si="213"/>
        <v>2307.5</v>
      </c>
      <c r="N133" s="120">
        <f t="shared" ca="1" si="381"/>
        <v>3.3507853403141365E-2</v>
      </c>
      <c r="O133" s="164">
        <f t="shared" ca="1" si="382"/>
        <v>119.375</v>
      </c>
      <c r="P133" s="168">
        <f t="shared" ca="1" si="245"/>
        <v>2387.5</v>
      </c>
      <c r="Q133" s="168" t="e">
        <f t="shared" ca="1" si="383"/>
        <v>#N/A</v>
      </c>
      <c r="R133" s="184">
        <f t="shared" ca="1" si="214"/>
        <v>0</v>
      </c>
      <c r="S133" s="124">
        <f t="shared" ca="1" si="384"/>
        <v>9.5499999999999972</v>
      </c>
      <c r="T133" s="120">
        <f ca="1">VLOOKUP(TRIM($F133),Reference!B:C,2,0)</f>
        <v>34651.199999999997</v>
      </c>
      <c r="U133" s="181">
        <f t="shared" ca="1" si="385"/>
        <v>0</v>
      </c>
      <c r="V133" s="125" t="str">
        <f t="shared" ca="1" si="204"/>
        <v>BANKNIFTY22APR40000CE</v>
      </c>
      <c r="W133" s="166" t="e">
        <f ca="1">VLOOKUP($V133,Reference!BA:BD,4,0)</f>
        <v>#N/A</v>
      </c>
      <c r="X133" s="168">
        <f t="shared" ca="1" si="205"/>
        <v>0</v>
      </c>
      <c r="Y133" s="168">
        <f t="shared" ca="1" si="206"/>
        <v>0</v>
      </c>
      <c r="Z133" s="168">
        <f t="shared" ca="1" si="215"/>
        <v>0</v>
      </c>
      <c r="AA133" s="168">
        <f t="shared" ca="1" si="207"/>
        <v>0</v>
      </c>
      <c r="AB133" s="168">
        <f t="shared" ca="1" si="208"/>
        <v>0</v>
      </c>
      <c r="AC133" s="124">
        <f t="shared" ca="1" si="209"/>
        <v>0</v>
      </c>
      <c r="AD133" s="120">
        <f t="shared" ca="1" si="386"/>
        <v>-0.21369863013698631</v>
      </c>
      <c r="AE133" s="120">
        <f t="shared" ca="1" si="387"/>
        <v>20</v>
      </c>
      <c r="AF133" s="120"/>
      <c r="AG133" s="120"/>
      <c r="AH133" s="120">
        <f t="shared" ca="1" si="246"/>
        <v>1.1937500000000001</v>
      </c>
      <c r="AI133" s="120"/>
      <c r="AJ133" s="120">
        <f t="shared" ca="1" si="247"/>
        <v>0</v>
      </c>
      <c r="AK133" s="120"/>
      <c r="AL133" s="147"/>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c r="BS133" s="13">
        <v>2</v>
      </c>
      <c r="BT133" s="128">
        <v>44491</v>
      </c>
      <c r="BU133" s="121" t="s">
        <v>8</v>
      </c>
      <c r="BV133" s="120" t="s">
        <v>482</v>
      </c>
      <c r="BW133" s="121" t="s">
        <v>502</v>
      </c>
      <c r="BX133" s="120">
        <v>18400</v>
      </c>
      <c r="BY133" s="120">
        <v>41.7</v>
      </c>
      <c r="BZ133" s="120">
        <v>47.945</v>
      </c>
      <c r="CA133" s="124">
        <v>-3216.6708800000001</v>
      </c>
      <c r="CB133" s="120">
        <v>1.1497601918465228</v>
      </c>
      <c r="CC133" s="120">
        <v>500</v>
      </c>
      <c r="CD133" s="120">
        <v>50</v>
      </c>
      <c r="CE133" s="124">
        <v>20850</v>
      </c>
    </row>
    <row r="134" spans="1:83" hidden="1">
      <c r="A134" s="13">
        <f t="shared" ca="1" si="244"/>
        <v>127</v>
      </c>
      <c r="B134" s="128">
        <v>44652</v>
      </c>
      <c r="C134" s="121" t="s">
        <v>8</v>
      </c>
      <c r="D134" s="121">
        <v>1</v>
      </c>
      <c r="E134" s="120" t="s">
        <v>481</v>
      </c>
      <c r="F134" s="121" t="s">
        <v>130</v>
      </c>
      <c r="G134" s="120">
        <v>290</v>
      </c>
      <c r="H134" s="122">
        <v>44679</v>
      </c>
      <c r="I134" s="120">
        <v>6750</v>
      </c>
      <c r="J134" s="120">
        <v>1.35</v>
      </c>
      <c r="K134" s="120">
        <v>15.15</v>
      </c>
      <c r="L134" s="124">
        <f t="shared" ca="1" si="212"/>
        <v>0</v>
      </c>
      <c r="M134" s="124">
        <f t="shared" ca="1" si="213"/>
        <v>-93150</v>
      </c>
      <c r="N134" s="120">
        <f t="shared" ca="1" si="381"/>
        <v>11.222222222222221</v>
      </c>
      <c r="O134" s="164">
        <f t="shared" ca="1" si="382"/>
        <v>1.6875</v>
      </c>
      <c r="P134" s="168">
        <f t="shared" ca="1" si="245"/>
        <v>9112.5</v>
      </c>
      <c r="Q134" s="168" t="e">
        <f t="shared" ca="1" si="383"/>
        <v>#N/A</v>
      </c>
      <c r="R134" s="184">
        <f t="shared" ca="1" si="214"/>
        <v>0</v>
      </c>
      <c r="S134" s="124">
        <f t="shared" ca="1" si="384"/>
        <v>0.13499999999999998</v>
      </c>
      <c r="T134" s="120">
        <f ca="1">VLOOKUP(TRIM($F134),Reference!B:C,2,0)</f>
        <v>221.6</v>
      </c>
      <c r="U134" s="181">
        <f t="shared" ca="1" si="385"/>
        <v>0</v>
      </c>
      <c r="V134" s="125" t="str">
        <f t="shared" ca="1" si="204"/>
        <v>TATAPOWER22APR290CE</v>
      </c>
      <c r="W134" s="166" t="e">
        <f ca="1">VLOOKUP($V134,Reference!BA:BD,4,0)</f>
        <v>#N/A</v>
      </c>
      <c r="X134" s="168">
        <f t="shared" ca="1" si="205"/>
        <v>0</v>
      </c>
      <c r="Y134" s="168">
        <f t="shared" ca="1" si="206"/>
        <v>0</v>
      </c>
      <c r="Z134" s="168">
        <f t="shared" ca="1" si="215"/>
        <v>0</v>
      </c>
      <c r="AA134" s="168">
        <f t="shared" ca="1" si="207"/>
        <v>0</v>
      </c>
      <c r="AB134" s="168">
        <f t="shared" ca="1" si="208"/>
        <v>0</v>
      </c>
      <c r="AC134" s="124">
        <f t="shared" ca="1" si="209"/>
        <v>0</v>
      </c>
      <c r="AD134" s="120">
        <f t="shared" ca="1" si="386"/>
        <v>-0.21369863013698631</v>
      </c>
      <c r="AE134" s="120">
        <f t="shared" ca="1" si="387"/>
        <v>20</v>
      </c>
      <c r="AF134" s="120"/>
      <c r="AG134" s="120"/>
      <c r="AH134" s="120">
        <f t="shared" ca="1" si="246"/>
        <v>4.5562500000000004</v>
      </c>
      <c r="AI134" s="120"/>
      <c r="AJ134" s="120">
        <f t="shared" ca="1" si="247"/>
        <v>0</v>
      </c>
      <c r="AK134" s="120"/>
      <c r="AL134" s="147"/>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c r="BS134" s="13">
        <v>2</v>
      </c>
      <c r="BT134" s="128">
        <v>44491</v>
      </c>
      <c r="BU134" s="121" t="s">
        <v>8</v>
      </c>
      <c r="BV134" s="120" t="s">
        <v>482</v>
      </c>
      <c r="BW134" s="121" t="s">
        <v>502</v>
      </c>
      <c r="BX134" s="120">
        <v>18400</v>
      </c>
      <c r="BY134" s="120">
        <v>41.7</v>
      </c>
      <c r="BZ134" s="120">
        <v>47.945</v>
      </c>
      <c r="CA134" s="124">
        <v>-3216.6708800000001</v>
      </c>
      <c r="CB134" s="120">
        <v>1.1497601918465228</v>
      </c>
      <c r="CC134" s="120">
        <v>500</v>
      </c>
      <c r="CD134" s="120">
        <v>50</v>
      </c>
      <c r="CE134" s="124">
        <v>20850</v>
      </c>
    </row>
    <row r="135" spans="1:83" hidden="1">
      <c r="A135" s="13">
        <f t="shared" ca="1" si="244"/>
        <v>128</v>
      </c>
      <c r="B135" s="128">
        <v>44652</v>
      </c>
      <c r="C135" s="121" t="s">
        <v>8</v>
      </c>
      <c r="D135" s="121">
        <v>1</v>
      </c>
      <c r="E135" s="120" t="s">
        <v>481</v>
      </c>
      <c r="F135" s="121" t="s">
        <v>506</v>
      </c>
      <c r="G135" s="120">
        <v>40000</v>
      </c>
      <c r="H135" s="122">
        <v>44679</v>
      </c>
      <c r="I135" s="120">
        <v>50</v>
      </c>
      <c r="J135" s="120">
        <v>128.75</v>
      </c>
      <c r="K135" s="120">
        <v>3.2</v>
      </c>
      <c r="L135" s="124">
        <f t="shared" ca="1" si="212"/>
        <v>0</v>
      </c>
      <c r="M135" s="124">
        <f t="shared" ca="1" si="213"/>
        <v>6277.5</v>
      </c>
      <c r="N135" s="120">
        <f t="shared" ref="N135:N138" ca="1" si="388">K135/$J135</f>
        <v>2.4854368932038837E-2</v>
      </c>
      <c r="O135" s="164">
        <f t="shared" ref="O135:O138" ca="1" si="389">J135*(1+$O$6*IF(C135="B",-1,1))</f>
        <v>160.9375</v>
      </c>
      <c r="P135" s="168">
        <f t="shared" ca="1" si="245"/>
        <v>6437.5</v>
      </c>
      <c r="Q135" s="168" t="e">
        <f t="shared" ref="Q135:Q138" ca="1" si="390">(W135-J135)*I135*IF(C135="B",1,-1)*IF(K135=0,1,0)</f>
        <v>#N/A</v>
      </c>
      <c r="R135" s="184">
        <f t="shared" ca="1" si="214"/>
        <v>0</v>
      </c>
      <c r="S135" s="124">
        <f t="shared" ref="S135:S138" ca="1" si="391">(1-$S$6)*J135</f>
        <v>12.874999999999996</v>
      </c>
      <c r="T135" s="120">
        <f ca="1">VLOOKUP(TRIM($F135),Reference!B:C,2,0)</f>
        <v>34651.199999999997</v>
      </c>
      <c r="U135" s="181">
        <f t="shared" ref="U135:U138" ca="1" si="392">AC135</f>
        <v>0</v>
      </c>
      <c r="V135" s="125" t="str">
        <f t="shared" ca="1" si="204"/>
        <v>BANKNIFTY22APR40000CE</v>
      </c>
      <c r="W135" s="166" t="e">
        <f ca="1">VLOOKUP($V135,Reference!BA:BD,4,0)</f>
        <v>#N/A</v>
      </c>
      <c r="X135" s="168">
        <f t="shared" ca="1" si="205"/>
        <v>0</v>
      </c>
      <c r="Y135" s="168">
        <f t="shared" ca="1" si="206"/>
        <v>0</v>
      </c>
      <c r="Z135" s="168">
        <f t="shared" ca="1" si="215"/>
        <v>0</v>
      </c>
      <c r="AA135" s="168">
        <f t="shared" ca="1" si="207"/>
        <v>0</v>
      </c>
      <c r="AB135" s="168">
        <f t="shared" ca="1" si="208"/>
        <v>0</v>
      </c>
      <c r="AC135" s="124">
        <f t="shared" ca="1" si="209"/>
        <v>0</v>
      </c>
      <c r="AD135" s="120">
        <f t="shared" ref="AD135:AD138" ca="1" si="393">(H135-TODAY())/365</f>
        <v>-0.21369863013698631</v>
      </c>
      <c r="AE135" s="120">
        <f t="shared" ref="AE135:AE138" ca="1" si="394">IF(I135&lt;&gt;0,20,0)</f>
        <v>20</v>
      </c>
      <c r="AF135" s="120"/>
      <c r="AG135" s="120"/>
      <c r="AH135" s="120">
        <f t="shared" ca="1" si="246"/>
        <v>3.21875</v>
      </c>
      <c r="AI135" s="120"/>
      <c r="AJ135" s="120">
        <f t="shared" ca="1" si="247"/>
        <v>0</v>
      </c>
      <c r="AK135" s="120"/>
      <c r="AL135" s="147"/>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c r="BS135" s="13">
        <v>2</v>
      </c>
      <c r="BT135" s="128">
        <v>44491</v>
      </c>
      <c r="BU135" s="121" t="s">
        <v>8</v>
      </c>
      <c r="BV135" s="120" t="s">
        <v>482</v>
      </c>
      <c r="BW135" s="121" t="s">
        <v>502</v>
      </c>
      <c r="BX135" s="120">
        <v>18400</v>
      </c>
      <c r="BY135" s="120">
        <v>41.7</v>
      </c>
      <c r="BZ135" s="120">
        <v>47.945</v>
      </c>
      <c r="CA135" s="124">
        <v>-3216.6708800000001</v>
      </c>
      <c r="CB135" s="120">
        <v>1.1497601918465228</v>
      </c>
      <c r="CC135" s="120">
        <v>500</v>
      </c>
      <c r="CD135" s="120">
        <v>50</v>
      </c>
      <c r="CE135" s="124">
        <v>20850</v>
      </c>
    </row>
    <row r="136" spans="1:83" hidden="1">
      <c r="A136" s="13">
        <f t="shared" ca="1" si="244"/>
        <v>129</v>
      </c>
      <c r="B136" s="128">
        <v>44652</v>
      </c>
      <c r="C136" s="121" t="s">
        <v>6</v>
      </c>
      <c r="D136" s="121">
        <v>1</v>
      </c>
      <c r="E136" s="120" t="s">
        <v>632</v>
      </c>
      <c r="F136" s="121" t="s">
        <v>506</v>
      </c>
      <c r="G136" s="120"/>
      <c r="H136" s="122">
        <v>44679</v>
      </c>
      <c r="I136" s="120">
        <v>50</v>
      </c>
      <c r="J136" s="120">
        <v>37157.65</v>
      </c>
      <c r="K136" s="120">
        <v>36085</v>
      </c>
      <c r="L136" s="124">
        <f t="shared" ca="1" si="212"/>
        <v>0</v>
      </c>
      <c r="M136" s="124">
        <f t="shared" ca="1" si="213"/>
        <v>-53632.500000000073</v>
      </c>
      <c r="N136" s="120">
        <f t="shared" ca="1" si="388"/>
        <v>0.97113245859197228</v>
      </c>
      <c r="O136" s="164">
        <f t="shared" ca="1" si="389"/>
        <v>27868.237500000003</v>
      </c>
      <c r="P136" s="168">
        <f t="shared" ca="1" si="245"/>
        <v>1857882.5</v>
      </c>
      <c r="Q136" s="168" t="e">
        <f t="shared" ca="1" si="390"/>
        <v>#N/A</v>
      </c>
      <c r="R136" s="184">
        <f t="shared" ca="1" si="214"/>
        <v>0</v>
      </c>
      <c r="S136" s="124">
        <f t="shared" ca="1" si="391"/>
        <v>3715.7649999999994</v>
      </c>
      <c r="T136" s="120">
        <f ca="1">VLOOKUP(TRIM($F136),Reference!B:C,2,0)</f>
        <v>34651.199999999997</v>
      </c>
      <c r="U136" s="181">
        <f t="shared" ca="1" si="392"/>
        <v>0</v>
      </c>
      <c r="V136" s="125" t="str">
        <f t="shared" ref="V136:V199" ca="1" si="395">TRIM(F136)&amp;TEXT(H136,"YY")&amp;UPPER(TEXT(H136,"MMM"))&amp;TRIM(G136)&amp;TRIM(E136)</f>
        <v>BANKNIFTY22APRFUT</v>
      </c>
      <c r="W136" s="166" t="e">
        <f ca="1">VLOOKUP($V136,Reference!BA:BD,4,0)</f>
        <v>#N/A</v>
      </c>
      <c r="X136" s="168">
        <f t="shared" ref="X136:X199" ca="1" si="396">IF(OR($AD136&lt;0,$K136&lt;&gt;0),0,IF($E136="FUT",W136,OptionPrice(LEFT($E136),$T136,$G136,$AD136,RISKFREE_RATE,$U136,NIFTY_DIVYLD))*IF(C136="B",1,-1)*IF(I136=0,0,1)*IF(K136=0,1,0)*I136)</f>
        <v>0</v>
      </c>
      <c r="Y136" s="168">
        <f t="shared" ref="Y136:Y199" ca="1" si="397">IF(OR($AD136&lt;0,$K136&lt;&gt;0),0,IF($E136="FUT",1,OptionDelta(LEFT(E136),T136,G136,AD136,RISKFREE_RATE,U136,NIFTY_DIVYLD)))</f>
        <v>0</v>
      </c>
      <c r="Z136" s="168">
        <f t="shared" ca="1" si="215"/>
        <v>0</v>
      </c>
      <c r="AA136" s="168">
        <f t="shared" ref="AA136:AA199" ca="1" si="398">IF(OR($AD136&lt;0,$K136&lt;&gt;0),0,IF($E136="FUT",0,OptionTheta(LEFT(E136),T136,G136,AD136,RISKFREE_RATE,U136,NIFTY_DIVYLD))*IF(C136="B",1,-1)*IF(I136=0,0,1)*IF(K136=0,1,0)*I136)</f>
        <v>0</v>
      </c>
      <c r="AB136" s="168">
        <f t="shared" ref="AB136:AB199" ca="1" si="399">IF(OR($AD136&lt;0,$K136&lt;&gt;0),0,IF($E136="FUT",0,OptionGamma(T136,G136,AD136,RISKFREE_RATE,U136,NIFTY_DIVYLD))*IF(C136="B",1,-1)*IF(I136=0,0,1)*IF(K136=0,1,0))</f>
        <v>0</v>
      </c>
      <c r="AC136" s="124">
        <f t="shared" ref="AC136:AC199" ca="1" si="400">IF(OR($AD136&lt;0,$K136&lt;&gt;0),0,IF($E136="FUT",0,ImpliedVolatility(LEFT(E136),T136,G136,RISKFREE_RATE,AD136,NIFTY_DIVYLD,W136,$AC$6)))</f>
        <v>0</v>
      </c>
      <c r="AD136" s="120">
        <f t="shared" ca="1" si="393"/>
        <v>-0.21369863013698631</v>
      </c>
      <c r="AE136" s="120">
        <f t="shared" ca="1" si="394"/>
        <v>20</v>
      </c>
      <c r="AF136" s="120"/>
      <c r="AG136" s="120"/>
      <c r="AH136" s="120">
        <f t="shared" ca="1" si="246"/>
        <v>0</v>
      </c>
      <c r="AI136" s="120"/>
      <c r="AJ136" s="120">
        <f t="shared" ca="1" si="247"/>
        <v>55.736474999999999</v>
      </c>
      <c r="AK136" s="120"/>
      <c r="AL136" s="147"/>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c r="BS136" s="13">
        <v>2</v>
      </c>
      <c r="BT136" s="128">
        <v>44491</v>
      </c>
      <c r="BU136" s="121" t="s">
        <v>8</v>
      </c>
      <c r="BV136" s="120" t="s">
        <v>482</v>
      </c>
      <c r="BW136" s="121" t="s">
        <v>502</v>
      </c>
      <c r="BX136" s="120">
        <v>18400</v>
      </c>
      <c r="BY136" s="120">
        <v>41.7</v>
      </c>
      <c r="BZ136" s="120">
        <v>47.945</v>
      </c>
      <c r="CA136" s="124">
        <v>-3216.6708800000001</v>
      </c>
      <c r="CB136" s="120">
        <v>1.1497601918465228</v>
      </c>
      <c r="CC136" s="120">
        <v>500</v>
      </c>
      <c r="CD136" s="120">
        <v>50</v>
      </c>
      <c r="CE136" s="124">
        <v>20850</v>
      </c>
    </row>
    <row r="137" spans="1:83" hidden="1">
      <c r="A137" s="13">
        <f t="shared" ca="1" si="244"/>
        <v>130</v>
      </c>
      <c r="B137" s="128">
        <v>44652</v>
      </c>
      <c r="C137" s="121" t="s">
        <v>6</v>
      </c>
      <c r="D137" s="121">
        <v>1</v>
      </c>
      <c r="E137" s="120" t="s">
        <v>632</v>
      </c>
      <c r="F137" s="121" t="s">
        <v>130</v>
      </c>
      <c r="G137" s="120"/>
      <c r="H137" s="122">
        <v>44679</v>
      </c>
      <c r="I137" s="120">
        <v>13500</v>
      </c>
      <c r="J137" s="120">
        <v>246.5</v>
      </c>
      <c r="K137" s="120">
        <v>285.55</v>
      </c>
      <c r="L137" s="124">
        <f t="shared" ref="L137:L153" ca="1" si="401">IF(AND(K137&lt;&gt;0,I137&lt;&gt;0),(IF(C137="B",1,-1))*(K137-J137)*I137-AK137*2,0)*$D137*IF(MONTH($B$2)=MONTH($H137),1,0)</f>
        <v>0</v>
      </c>
      <c r="M137" s="124">
        <f t="shared" ref="M137:M153" ca="1" si="402">IF(AND(K137&lt;&gt;0,I137&lt;&gt;0),(IF(C137="B",1,-1))*(K137-J137)*I137-AK137*2,0)*$D137</f>
        <v>527175.00000000012</v>
      </c>
      <c r="N137" s="120">
        <f t="shared" ca="1" si="388"/>
        <v>1.1584178498985802</v>
      </c>
      <c r="O137" s="164">
        <f t="shared" ca="1" si="389"/>
        <v>184.875</v>
      </c>
      <c r="P137" s="168">
        <f t="shared" ca="1" si="245"/>
        <v>3327750</v>
      </c>
      <c r="Q137" s="168" t="e">
        <f t="shared" ca="1" si="390"/>
        <v>#N/A</v>
      </c>
      <c r="R137" s="184">
        <f t="shared" ref="R137:R200" ca="1" si="403">Z137*T137</f>
        <v>0</v>
      </c>
      <c r="S137" s="124">
        <f t="shared" ca="1" si="391"/>
        <v>24.649999999999995</v>
      </c>
      <c r="T137" s="120">
        <f ca="1">VLOOKUP(TRIM($F137),Reference!B:C,2,0)</f>
        <v>221.6</v>
      </c>
      <c r="U137" s="181">
        <f t="shared" ca="1" si="392"/>
        <v>0</v>
      </c>
      <c r="V137" s="125" t="str">
        <f t="shared" ca="1" si="395"/>
        <v>TATAPOWER22APRFUT</v>
      </c>
      <c r="W137" s="166" t="e">
        <f ca="1">VLOOKUP($V137,Reference!BA:BD,4,0)</f>
        <v>#N/A</v>
      </c>
      <c r="X137" s="168">
        <f t="shared" ca="1" si="396"/>
        <v>0</v>
      </c>
      <c r="Y137" s="168">
        <f t="shared" ca="1" si="397"/>
        <v>0</v>
      </c>
      <c r="Z137" s="168">
        <f t="shared" ref="Z137:Z200" ca="1" si="404">Y137*IF(C137="B",1,-1)*IF(I137=0,0,1)*IF(K137=0,1,0)*I137</f>
        <v>0</v>
      </c>
      <c r="AA137" s="168">
        <f t="shared" ca="1" si="398"/>
        <v>0</v>
      </c>
      <c r="AB137" s="168">
        <f t="shared" ca="1" si="399"/>
        <v>0</v>
      </c>
      <c r="AC137" s="124">
        <f t="shared" ca="1" si="400"/>
        <v>0</v>
      </c>
      <c r="AD137" s="120">
        <f t="shared" ca="1" si="393"/>
        <v>-0.21369863013698631</v>
      </c>
      <c r="AE137" s="120">
        <f t="shared" ca="1" si="394"/>
        <v>20</v>
      </c>
      <c r="AF137" s="120"/>
      <c r="AG137" s="120"/>
      <c r="AH137" s="120">
        <f t="shared" ca="1" si="246"/>
        <v>0</v>
      </c>
      <c r="AI137" s="120"/>
      <c r="AJ137" s="120">
        <f t="shared" ca="1" si="247"/>
        <v>99.832499999999996</v>
      </c>
      <c r="AK137" s="120"/>
      <c r="AL137" s="147"/>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c r="BS137" s="13">
        <v>2</v>
      </c>
      <c r="BT137" s="128">
        <v>44491</v>
      </c>
      <c r="BU137" s="121" t="s">
        <v>8</v>
      </c>
      <c r="BV137" s="120" t="s">
        <v>482</v>
      </c>
      <c r="BW137" s="121" t="s">
        <v>502</v>
      </c>
      <c r="BX137" s="120">
        <v>18400</v>
      </c>
      <c r="BY137" s="120">
        <v>41.7</v>
      </c>
      <c r="BZ137" s="120">
        <v>47.945</v>
      </c>
      <c r="CA137" s="124">
        <v>-3216.6708800000001</v>
      </c>
      <c r="CB137" s="120">
        <v>1.1497601918465228</v>
      </c>
      <c r="CC137" s="120">
        <v>500</v>
      </c>
      <c r="CD137" s="120">
        <v>50</v>
      </c>
      <c r="CE137" s="124">
        <v>20850</v>
      </c>
    </row>
    <row r="138" spans="1:83" hidden="1">
      <c r="A138" s="13">
        <f t="shared" ca="1" si="244"/>
        <v>131</v>
      </c>
      <c r="B138" s="128">
        <v>44655</v>
      </c>
      <c r="C138" s="121" t="s">
        <v>8</v>
      </c>
      <c r="D138" s="121">
        <v>1</v>
      </c>
      <c r="E138" s="120" t="s">
        <v>481</v>
      </c>
      <c r="F138" s="121" t="s">
        <v>506</v>
      </c>
      <c r="G138" s="120">
        <v>40000</v>
      </c>
      <c r="H138" s="122">
        <v>44679</v>
      </c>
      <c r="I138" s="120">
        <v>25</v>
      </c>
      <c r="J138" s="120">
        <v>338.75</v>
      </c>
      <c r="K138" s="120">
        <v>3.2</v>
      </c>
      <c r="L138" s="124">
        <f t="shared" ca="1" si="401"/>
        <v>0</v>
      </c>
      <c r="M138" s="124">
        <f t="shared" ca="1" si="402"/>
        <v>8388.75</v>
      </c>
      <c r="N138" s="120">
        <f t="shared" ca="1" si="388"/>
        <v>9.4464944649446502E-3</v>
      </c>
      <c r="O138" s="164">
        <f t="shared" ca="1" si="389"/>
        <v>423.4375</v>
      </c>
      <c r="P138" s="168">
        <f t="shared" ca="1" si="245"/>
        <v>8468.75</v>
      </c>
      <c r="Q138" s="168" t="e">
        <f t="shared" ca="1" si="390"/>
        <v>#N/A</v>
      </c>
      <c r="R138" s="184">
        <f t="shared" ca="1" si="403"/>
        <v>0</v>
      </c>
      <c r="S138" s="124">
        <f t="shared" ca="1" si="391"/>
        <v>33.874999999999993</v>
      </c>
      <c r="T138" s="120">
        <f ca="1">VLOOKUP(TRIM($F138),Reference!B:C,2,0)</f>
        <v>34651.199999999997</v>
      </c>
      <c r="U138" s="181">
        <f t="shared" ca="1" si="392"/>
        <v>0</v>
      </c>
      <c r="V138" s="125" t="str">
        <f t="shared" ca="1" si="395"/>
        <v>BANKNIFTY22APR40000CE</v>
      </c>
      <c r="W138" s="166" t="e">
        <f ca="1">VLOOKUP($V138,Reference!BA:BD,4,0)</f>
        <v>#N/A</v>
      </c>
      <c r="X138" s="168">
        <f t="shared" ca="1" si="396"/>
        <v>0</v>
      </c>
      <c r="Y138" s="168">
        <f t="shared" ca="1" si="397"/>
        <v>0</v>
      </c>
      <c r="Z138" s="168">
        <f t="shared" ca="1" si="404"/>
        <v>0</v>
      </c>
      <c r="AA138" s="168">
        <f t="shared" ca="1" si="398"/>
        <v>0</v>
      </c>
      <c r="AB138" s="168">
        <f t="shared" ca="1" si="399"/>
        <v>0</v>
      </c>
      <c r="AC138" s="124">
        <f t="shared" ca="1" si="400"/>
        <v>0</v>
      </c>
      <c r="AD138" s="120">
        <f t="shared" ca="1" si="393"/>
        <v>-0.21369863013698631</v>
      </c>
      <c r="AE138" s="120">
        <f t="shared" ca="1" si="394"/>
        <v>20</v>
      </c>
      <c r="AF138" s="120"/>
      <c r="AG138" s="120"/>
      <c r="AH138" s="120">
        <f t="shared" ca="1" si="246"/>
        <v>4.234375</v>
      </c>
      <c r="AI138" s="120"/>
      <c r="AJ138" s="120">
        <f t="shared" ca="1" si="247"/>
        <v>0</v>
      </c>
      <c r="AK138" s="120"/>
      <c r="AL138" s="147"/>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c r="BS138" s="13">
        <v>2</v>
      </c>
      <c r="BT138" s="128">
        <v>44491</v>
      </c>
      <c r="BU138" s="121" t="s">
        <v>8</v>
      </c>
      <c r="BV138" s="120" t="s">
        <v>482</v>
      </c>
      <c r="BW138" s="121" t="s">
        <v>502</v>
      </c>
      <c r="BX138" s="120">
        <v>18400</v>
      </c>
      <c r="BY138" s="120">
        <v>41.7</v>
      </c>
      <c r="BZ138" s="120">
        <v>47.945</v>
      </c>
      <c r="CA138" s="124">
        <v>-3216.6708800000001</v>
      </c>
      <c r="CB138" s="120">
        <v>1.1497601918465228</v>
      </c>
      <c r="CC138" s="120">
        <v>500</v>
      </c>
      <c r="CD138" s="120">
        <v>50</v>
      </c>
      <c r="CE138" s="124">
        <v>20850</v>
      </c>
    </row>
    <row r="139" spans="1:83" hidden="1">
      <c r="A139" s="13">
        <f t="shared" ca="1" si="244"/>
        <v>132</v>
      </c>
      <c r="B139" s="128">
        <v>44655</v>
      </c>
      <c r="C139" s="121" t="s">
        <v>6</v>
      </c>
      <c r="D139" s="121">
        <v>1</v>
      </c>
      <c r="E139" s="120" t="s">
        <v>632</v>
      </c>
      <c r="F139" s="121" t="s">
        <v>506</v>
      </c>
      <c r="G139" s="120"/>
      <c r="H139" s="122">
        <v>44679</v>
      </c>
      <c r="I139" s="120">
        <v>25</v>
      </c>
      <c r="J139" s="120">
        <v>38638.15</v>
      </c>
      <c r="K139" s="120">
        <v>36085</v>
      </c>
      <c r="L139" s="124">
        <f t="shared" ca="1" si="401"/>
        <v>0</v>
      </c>
      <c r="M139" s="124">
        <f t="shared" ca="1" si="402"/>
        <v>-63828.750000000036</v>
      </c>
      <c r="N139" s="120">
        <f t="shared" ref="N139:N142" ca="1" si="405">K139/$J139</f>
        <v>0.93392152574592724</v>
      </c>
      <c r="O139" s="164">
        <f t="shared" ref="O139:O142" ca="1" si="406">J139*(1+$O$6*IF(C139="B",-1,1))</f>
        <v>28978.612500000003</v>
      </c>
      <c r="P139" s="168">
        <f t="shared" ca="1" si="245"/>
        <v>965953.75</v>
      </c>
      <c r="Q139" s="168" t="e">
        <f t="shared" ref="Q139:Q142" ca="1" si="407">(W139-J139)*I139*IF(C139="B",1,-1)*IF(K139=0,1,0)</f>
        <v>#N/A</v>
      </c>
      <c r="R139" s="184">
        <f t="shared" ca="1" si="403"/>
        <v>0</v>
      </c>
      <c r="S139" s="124">
        <f t="shared" ref="S139:S142" ca="1" si="408">(1-$S$6)*J139</f>
        <v>3863.8149999999991</v>
      </c>
      <c r="T139" s="120">
        <f ca="1">VLOOKUP(TRIM($F139),Reference!B:C,2,0)</f>
        <v>34651.199999999997</v>
      </c>
      <c r="U139" s="181">
        <f t="shared" ref="U139:U142" ca="1" si="409">AC139</f>
        <v>0</v>
      </c>
      <c r="V139" s="125" t="str">
        <f t="shared" ca="1" si="395"/>
        <v>BANKNIFTY22APRFUT</v>
      </c>
      <c r="W139" s="166" t="e">
        <f ca="1">VLOOKUP($V139,Reference!BA:BD,4,0)</f>
        <v>#N/A</v>
      </c>
      <c r="X139" s="168">
        <f t="shared" ca="1" si="396"/>
        <v>0</v>
      </c>
      <c r="Y139" s="168">
        <f t="shared" ca="1" si="397"/>
        <v>0</v>
      </c>
      <c r="Z139" s="168">
        <f t="shared" ca="1" si="404"/>
        <v>0</v>
      </c>
      <c r="AA139" s="168">
        <f t="shared" ca="1" si="398"/>
        <v>0</v>
      </c>
      <c r="AB139" s="168">
        <f t="shared" ca="1" si="399"/>
        <v>0</v>
      </c>
      <c r="AC139" s="124">
        <f t="shared" ca="1" si="400"/>
        <v>0</v>
      </c>
      <c r="AD139" s="120">
        <f t="shared" ref="AD139:AD142" ca="1" si="410">(H139-TODAY())/365</f>
        <v>-0.21369863013698631</v>
      </c>
      <c r="AE139" s="120">
        <f t="shared" ref="AE139:AE142" ca="1" si="411">IF(I139&lt;&gt;0,20,0)</f>
        <v>20</v>
      </c>
      <c r="AF139" s="120"/>
      <c r="AG139" s="120"/>
      <c r="AH139" s="120">
        <f t="shared" ca="1" si="246"/>
        <v>0</v>
      </c>
      <c r="AI139" s="120"/>
      <c r="AJ139" s="120">
        <f t="shared" ca="1" si="247"/>
        <v>28.978612500000001</v>
      </c>
      <c r="AK139" s="120"/>
      <c r="AL139" s="147"/>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c r="BS139" s="13">
        <v>2</v>
      </c>
      <c r="BT139" s="128">
        <v>44491</v>
      </c>
      <c r="BU139" s="121" t="s">
        <v>8</v>
      </c>
      <c r="BV139" s="120" t="s">
        <v>482</v>
      </c>
      <c r="BW139" s="121" t="s">
        <v>502</v>
      </c>
      <c r="BX139" s="120">
        <v>18400</v>
      </c>
      <c r="BY139" s="120">
        <v>41.7</v>
      </c>
      <c r="BZ139" s="120">
        <v>47.945</v>
      </c>
      <c r="CA139" s="124">
        <v>-3216.6708800000001</v>
      </c>
      <c r="CB139" s="120">
        <v>1.1497601918465228</v>
      </c>
      <c r="CC139" s="120">
        <v>500</v>
      </c>
      <c r="CD139" s="120">
        <v>50</v>
      </c>
      <c r="CE139" s="124">
        <v>20850</v>
      </c>
    </row>
    <row r="140" spans="1:83" hidden="1">
      <c r="A140" s="13">
        <f t="shared" ca="1" si="244"/>
        <v>133</v>
      </c>
      <c r="B140" s="128">
        <v>44655</v>
      </c>
      <c r="C140" s="121" t="s">
        <v>6</v>
      </c>
      <c r="D140" s="121">
        <v>1</v>
      </c>
      <c r="E140" s="120" t="s">
        <v>482</v>
      </c>
      <c r="F140" s="121" t="s">
        <v>506</v>
      </c>
      <c r="G140" s="120">
        <v>38000</v>
      </c>
      <c r="H140" s="122">
        <v>44679</v>
      </c>
      <c r="I140" s="120">
        <v>25</v>
      </c>
      <c r="J140" s="120">
        <v>664.85</v>
      </c>
      <c r="K140" s="120">
        <v>1718.2</v>
      </c>
      <c r="L140" s="124">
        <f t="shared" ca="1" si="401"/>
        <v>0</v>
      </c>
      <c r="M140" s="124">
        <f t="shared" ca="1" si="402"/>
        <v>26333.749999999996</v>
      </c>
      <c r="N140" s="120">
        <f t="shared" ca="1" si="405"/>
        <v>2.5843423328570352</v>
      </c>
      <c r="O140" s="164">
        <f t="shared" ca="1" si="406"/>
        <v>498.63750000000005</v>
      </c>
      <c r="P140" s="168">
        <f t="shared" ca="1" si="245"/>
        <v>16621.25</v>
      </c>
      <c r="Q140" s="168" t="e">
        <f t="shared" ca="1" si="407"/>
        <v>#N/A</v>
      </c>
      <c r="R140" s="184">
        <f t="shared" ca="1" si="403"/>
        <v>0</v>
      </c>
      <c r="S140" s="124">
        <f t="shared" ca="1" si="408"/>
        <v>66.484999999999985</v>
      </c>
      <c r="T140" s="120">
        <f ca="1">VLOOKUP(TRIM($F140),Reference!B:C,2,0)</f>
        <v>34651.199999999997</v>
      </c>
      <c r="U140" s="181">
        <f t="shared" ca="1" si="409"/>
        <v>0</v>
      </c>
      <c r="V140" s="125" t="str">
        <f t="shared" ca="1" si="395"/>
        <v>BANKNIFTY22APR38000PE</v>
      </c>
      <c r="W140" s="166" t="e">
        <f ca="1">VLOOKUP($V140,Reference!BA:BD,4,0)</f>
        <v>#N/A</v>
      </c>
      <c r="X140" s="168">
        <f t="shared" ca="1" si="396"/>
        <v>0</v>
      </c>
      <c r="Y140" s="168">
        <f t="shared" ca="1" si="397"/>
        <v>0</v>
      </c>
      <c r="Z140" s="168">
        <f t="shared" ca="1" si="404"/>
        <v>0</v>
      </c>
      <c r="AA140" s="168">
        <f t="shared" ca="1" si="398"/>
        <v>0</v>
      </c>
      <c r="AB140" s="168">
        <f t="shared" ca="1" si="399"/>
        <v>0</v>
      </c>
      <c r="AC140" s="124">
        <f t="shared" ca="1" si="400"/>
        <v>0</v>
      </c>
      <c r="AD140" s="120">
        <f t="shared" ca="1" si="410"/>
        <v>-0.21369863013698631</v>
      </c>
      <c r="AE140" s="120">
        <f t="shared" ca="1" si="411"/>
        <v>20</v>
      </c>
      <c r="AF140" s="120"/>
      <c r="AG140" s="120"/>
      <c r="AH140" s="120">
        <f t="shared" ca="1" si="246"/>
        <v>0</v>
      </c>
      <c r="AI140" s="120"/>
      <c r="AJ140" s="120">
        <f t="shared" ca="1" si="247"/>
        <v>0.49863750000000001</v>
      </c>
      <c r="AK140" s="120"/>
      <c r="AL140" s="147"/>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c r="BS140" s="13">
        <v>2</v>
      </c>
      <c r="BT140" s="128">
        <v>44491</v>
      </c>
      <c r="BU140" s="121" t="s">
        <v>8</v>
      </c>
      <c r="BV140" s="120" t="s">
        <v>482</v>
      </c>
      <c r="BW140" s="121" t="s">
        <v>502</v>
      </c>
      <c r="BX140" s="120">
        <v>18400</v>
      </c>
      <c r="BY140" s="120">
        <v>41.7</v>
      </c>
      <c r="BZ140" s="120">
        <v>47.945</v>
      </c>
      <c r="CA140" s="124">
        <v>-3216.6708800000001</v>
      </c>
      <c r="CB140" s="120">
        <v>1.1497601918465228</v>
      </c>
      <c r="CC140" s="120">
        <v>500</v>
      </c>
      <c r="CD140" s="120">
        <v>50</v>
      </c>
      <c r="CE140" s="124">
        <v>20850</v>
      </c>
    </row>
    <row r="141" spans="1:83" hidden="1">
      <c r="A141" s="13">
        <f t="shared" ca="1" si="244"/>
        <v>134</v>
      </c>
      <c r="B141" s="128">
        <v>44656</v>
      </c>
      <c r="C141" s="121" t="s">
        <v>6</v>
      </c>
      <c r="D141" s="121">
        <v>1</v>
      </c>
      <c r="E141" s="120" t="s">
        <v>632</v>
      </c>
      <c r="F141" s="121" t="s">
        <v>130</v>
      </c>
      <c r="G141" s="120"/>
      <c r="H141" s="122">
        <v>44679</v>
      </c>
      <c r="I141" s="120">
        <v>6750</v>
      </c>
      <c r="J141" s="120">
        <v>271.8</v>
      </c>
      <c r="K141" s="120">
        <v>276.95</v>
      </c>
      <c r="L141" s="124">
        <f t="shared" ca="1" si="401"/>
        <v>0</v>
      </c>
      <c r="M141" s="124">
        <f t="shared" ca="1" si="402"/>
        <v>34762.499999999847</v>
      </c>
      <c r="N141" s="120">
        <f t="shared" ca="1" si="405"/>
        <v>1.0189477557027224</v>
      </c>
      <c r="O141" s="164">
        <f t="shared" ca="1" si="406"/>
        <v>203.85000000000002</v>
      </c>
      <c r="P141" s="168">
        <f t="shared" ca="1" si="245"/>
        <v>1834650</v>
      </c>
      <c r="Q141" s="168" t="e">
        <f t="shared" ca="1" si="407"/>
        <v>#N/A</v>
      </c>
      <c r="R141" s="184">
        <f t="shared" ca="1" si="403"/>
        <v>0</v>
      </c>
      <c r="S141" s="124">
        <f t="shared" ca="1" si="408"/>
        <v>27.179999999999996</v>
      </c>
      <c r="T141" s="120">
        <f ca="1">VLOOKUP(TRIM($F141),Reference!B:C,2,0)</f>
        <v>221.6</v>
      </c>
      <c r="U141" s="181">
        <f t="shared" ca="1" si="409"/>
        <v>0</v>
      </c>
      <c r="V141" s="125" t="str">
        <f t="shared" ca="1" si="395"/>
        <v>TATAPOWER22APRFUT</v>
      </c>
      <c r="W141" s="166" t="e">
        <f ca="1">VLOOKUP($V141,Reference!BA:BD,4,0)</f>
        <v>#N/A</v>
      </c>
      <c r="X141" s="168">
        <f t="shared" ca="1" si="396"/>
        <v>0</v>
      </c>
      <c r="Y141" s="168">
        <f t="shared" ca="1" si="397"/>
        <v>0</v>
      </c>
      <c r="Z141" s="168">
        <f t="shared" ca="1" si="404"/>
        <v>0</v>
      </c>
      <c r="AA141" s="168">
        <f t="shared" ca="1" si="398"/>
        <v>0</v>
      </c>
      <c r="AB141" s="168">
        <f t="shared" ca="1" si="399"/>
        <v>0</v>
      </c>
      <c r="AC141" s="124">
        <f t="shared" ca="1" si="400"/>
        <v>0</v>
      </c>
      <c r="AD141" s="120">
        <f t="shared" ca="1" si="410"/>
        <v>-0.21369863013698631</v>
      </c>
      <c r="AE141" s="120">
        <f t="shared" ca="1" si="411"/>
        <v>20</v>
      </c>
      <c r="AF141" s="120"/>
      <c r="AG141" s="120"/>
      <c r="AH141" s="120">
        <f t="shared" ca="1" si="246"/>
        <v>0</v>
      </c>
      <c r="AI141" s="120"/>
      <c r="AJ141" s="120">
        <f t="shared" ca="1" si="247"/>
        <v>55.039500000000004</v>
      </c>
      <c r="AK141" s="120"/>
      <c r="AL141" s="147"/>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c r="BS141" s="13">
        <v>2</v>
      </c>
      <c r="BT141" s="128">
        <v>44491</v>
      </c>
      <c r="BU141" s="121" t="s">
        <v>8</v>
      </c>
      <c r="BV141" s="120" t="s">
        <v>482</v>
      </c>
      <c r="BW141" s="121" t="s">
        <v>502</v>
      </c>
      <c r="BX141" s="120">
        <v>18400</v>
      </c>
      <c r="BY141" s="120">
        <v>41.7</v>
      </c>
      <c r="BZ141" s="120">
        <v>47.945</v>
      </c>
      <c r="CA141" s="124">
        <v>-3216.6708800000001</v>
      </c>
      <c r="CB141" s="120">
        <v>1.1497601918465228</v>
      </c>
      <c r="CC141" s="120">
        <v>500</v>
      </c>
      <c r="CD141" s="120">
        <v>50</v>
      </c>
      <c r="CE141" s="124">
        <v>20850</v>
      </c>
    </row>
    <row r="142" spans="1:83" hidden="1">
      <c r="A142" s="13">
        <f t="shared" ca="1" si="244"/>
        <v>135</v>
      </c>
      <c r="B142" s="128">
        <v>44656</v>
      </c>
      <c r="C142" s="121" t="s">
        <v>8</v>
      </c>
      <c r="D142" s="121">
        <v>1</v>
      </c>
      <c r="E142" s="120" t="s">
        <v>481</v>
      </c>
      <c r="F142" s="121" t="s">
        <v>130</v>
      </c>
      <c r="G142" s="120">
        <v>300</v>
      </c>
      <c r="H142" s="122">
        <v>44679</v>
      </c>
      <c r="I142" s="120">
        <v>6750</v>
      </c>
      <c r="J142" s="120">
        <v>5.8</v>
      </c>
      <c r="K142" s="120">
        <v>13.2</v>
      </c>
      <c r="L142" s="124">
        <f t="shared" ca="1" si="401"/>
        <v>0</v>
      </c>
      <c r="M142" s="124">
        <f t="shared" ca="1" si="402"/>
        <v>-49950</v>
      </c>
      <c r="N142" s="120">
        <f t="shared" ca="1" si="405"/>
        <v>2.2758620689655173</v>
      </c>
      <c r="O142" s="164">
        <f t="shared" ca="1" si="406"/>
        <v>7.25</v>
      </c>
      <c r="P142" s="168">
        <f t="shared" ca="1" si="245"/>
        <v>39150</v>
      </c>
      <c r="Q142" s="168" t="e">
        <f t="shared" ca="1" si="407"/>
        <v>#N/A</v>
      </c>
      <c r="R142" s="184">
        <f t="shared" ca="1" si="403"/>
        <v>0</v>
      </c>
      <c r="S142" s="124">
        <f t="shared" ca="1" si="408"/>
        <v>0.57999999999999985</v>
      </c>
      <c r="T142" s="120">
        <f ca="1">VLOOKUP(TRIM($F142),Reference!B:C,2,0)</f>
        <v>221.6</v>
      </c>
      <c r="U142" s="181">
        <f t="shared" ca="1" si="409"/>
        <v>0</v>
      </c>
      <c r="V142" s="125" t="str">
        <f t="shared" ca="1" si="395"/>
        <v>TATAPOWER22APR300CE</v>
      </c>
      <c r="W142" s="166" t="e">
        <f ca="1">VLOOKUP($V142,Reference!BA:BD,4,0)</f>
        <v>#N/A</v>
      </c>
      <c r="X142" s="168">
        <f t="shared" ca="1" si="396"/>
        <v>0</v>
      </c>
      <c r="Y142" s="168">
        <f t="shared" ca="1" si="397"/>
        <v>0</v>
      </c>
      <c r="Z142" s="168">
        <f t="shared" ca="1" si="404"/>
        <v>0</v>
      </c>
      <c r="AA142" s="168">
        <f t="shared" ca="1" si="398"/>
        <v>0</v>
      </c>
      <c r="AB142" s="168">
        <f t="shared" ca="1" si="399"/>
        <v>0</v>
      </c>
      <c r="AC142" s="124">
        <f t="shared" ca="1" si="400"/>
        <v>0</v>
      </c>
      <c r="AD142" s="120">
        <f t="shared" ca="1" si="410"/>
        <v>-0.21369863013698631</v>
      </c>
      <c r="AE142" s="120">
        <f t="shared" ca="1" si="411"/>
        <v>20</v>
      </c>
      <c r="AF142" s="120"/>
      <c r="AG142" s="120"/>
      <c r="AH142" s="120">
        <f t="shared" ca="1" si="246"/>
        <v>19.574999999999999</v>
      </c>
      <c r="AI142" s="120"/>
      <c r="AJ142" s="120">
        <f t="shared" ca="1" si="247"/>
        <v>0</v>
      </c>
      <c r="AK142" s="120"/>
      <c r="AL142" s="147"/>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c r="BS142" s="13">
        <v>2</v>
      </c>
      <c r="BT142" s="128">
        <v>44491</v>
      </c>
      <c r="BU142" s="121" t="s">
        <v>8</v>
      </c>
      <c r="BV142" s="120" t="s">
        <v>482</v>
      </c>
      <c r="BW142" s="121" t="s">
        <v>502</v>
      </c>
      <c r="BX142" s="120">
        <v>18400</v>
      </c>
      <c r="BY142" s="120">
        <v>41.7</v>
      </c>
      <c r="BZ142" s="120">
        <v>47.945</v>
      </c>
      <c r="CA142" s="124">
        <v>-3216.6708800000001</v>
      </c>
      <c r="CB142" s="120">
        <v>1.1497601918465228</v>
      </c>
      <c r="CC142" s="120">
        <v>500</v>
      </c>
      <c r="CD142" s="120">
        <v>50</v>
      </c>
      <c r="CE142" s="124">
        <v>20850</v>
      </c>
    </row>
    <row r="143" spans="1:83" hidden="1">
      <c r="A143" s="13">
        <f t="shared" ca="1" si="244"/>
        <v>136</v>
      </c>
      <c r="B143" s="128">
        <v>44656</v>
      </c>
      <c r="C143" s="121" t="s">
        <v>8</v>
      </c>
      <c r="D143" s="121">
        <v>1</v>
      </c>
      <c r="E143" s="120" t="s">
        <v>481</v>
      </c>
      <c r="F143" s="121" t="s">
        <v>130</v>
      </c>
      <c r="G143" s="120">
        <v>290</v>
      </c>
      <c r="H143" s="122">
        <v>44679</v>
      </c>
      <c r="I143" s="120">
        <v>6750</v>
      </c>
      <c r="J143" s="120">
        <v>8</v>
      </c>
      <c r="K143" s="120">
        <v>12.7</v>
      </c>
      <c r="L143" s="124">
        <f t="shared" ca="1" si="401"/>
        <v>0</v>
      </c>
      <c r="M143" s="124">
        <f t="shared" ca="1" si="402"/>
        <v>-31724.999999999996</v>
      </c>
      <c r="N143" s="120">
        <f t="shared" ref="N143:N144" ca="1" si="412">K143/$J143</f>
        <v>1.5874999999999999</v>
      </c>
      <c r="O143" s="164">
        <f t="shared" ref="O143:O144" ca="1" si="413">J143*(1+$O$6*IF(C143="B",-1,1))</f>
        <v>10</v>
      </c>
      <c r="P143" s="168">
        <f t="shared" ca="1" si="245"/>
        <v>54000</v>
      </c>
      <c r="Q143" s="168" t="e">
        <f t="shared" ref="Q143:Q144" ca="1" si="414">(W143-J143)*I143*IF(C143="B",1,-1)*IF(K143=0,1,0)</f>
        <v>#N/A</v>
      </c>
      <c r="R143" s="184">
        <f t="shared" ca="1" si="403"/>
        <v>0</v>
      </c>
      <c r="S143" s="124">
        <f t="shared" ref="S143:S144" ca="1" si="415">(1-$S$6)*J143</f>
        <v>0.79999999999999982</v>
      </c>
      <c r="T143" s="120">
        <f ca="1">VLOOKUP(TRIM($F143),Reference!B:C,2,0)</f>
        <v>221.6</v>
      </c>
      <c r="U143" s="181">
        <f t="shared" ref="U143:U144" ca="1" si="416">AC143</f>
        <v>0</v>
      </c>
      <c r="V143" s="125" t="str">
        <f t="shared" ca="1" si="395"/>
        <v>TATAPOWER22APR290CE</v>
      </c>
      <c r="W143" s="166" t="e">
        <f ca="1">VLOOKUP($V143,Reference!BA:BD,4,0)</f>
        <v>#N/A</v>
      </c>
      <c r="X143" s="168">
        <f t="shared" ca="1" si="396"/>
        <v>0</v>
      </c>
      <c r="Y143" s="168">
        <f t="shared" ca="1" si="397"/>
        <v>0</v>
      </c>
      <c r="Z143" s="168">
        <f t="shared" ca="1" si="404"/>
        <v>0</v>
      </c>
      <c r="AA143" s="168">
        <f t="shared" ca="1" si="398"/>
        <v>0</v>
      </c>
      <c r="AB143" s="168">
        <f t="shared" ca="1" si="399"/>
        <v>0</v>
      </c>
      <c r="AC143" s="124">
        <f t="shared" ca="1" si="400"/>
        <v>0</v>
      </c>
      <c r="AD143" s="120">
        <f t="shared" ref="AD143:AD144" ca="1" si="417">(H143-TODAY())/365</f>
        <v>-0.21369863013698631</v>
      </c>
      <c r="AE143" s="120">
        <f t="shared" ref="AE143:AE144" ca="1" si="418">IF(I143&lt;&gt;0,20,0)</f>
        <v>20</v>
      </c>
      <c r="AF143" s="120"/>
      <c r="AG143" s="120"/>
      <c r="AH143" s="120">
        <f t="shared" ca="1" si="246"/>
        <v>27</v>
      </c>
      <c r="AI143" s="120"/>
      <c r="AJ143" s="120">
        <f t="shared" ca="1" si="247"/>
        <v>0</v>
      </c>
      <c r="AK143" s="120"/>
      <c r="AL143" s="147"/>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c r="BS143" s="13">
        <v>2</v>
      </c>
      <c r="BT143" s="128">
        <v>44491</v>
      </c>
      <c r="BU143" s="121" t="s">
        <v>8</v>
      </c>
      <c r="BV143" s="120" t="s">
        <v>482</v>
      </c>
      <c r="BW143" s="121" t="s">
        <v>502</v>
      </c>
      <c r="BX143" s="120">
        <v>18400</v>
      </c>
      <c r="BY143" s="120">
        <v>41.7</v>
      </c>
      <c r="BZ143" s="120">
        <v>47.945</v>
      </c>
      <c r="CA143" s="124">
        <v>-3216.6708800000001</v>
      </c>
      <c r="CB143" s="120">
        <v>1.1497601918465228</v>
      </c>
      <c r="CC143" s="120">
        <v>500</v>
      </c>
      <c r="CD143" s="120">
        <v>50</v>
      </c>
      <c r="CE143" s="124">
        <v>20850</v>
      </c>
    </row>
    <row r="144" spans="1:83" hidden="1">
      <c r="A144" s="13">
        <f t="shared" ca="1" si="244"/>
        <v>137</v>
      </c>
      <c r="B144" s="128">
        <v>44657</v>
      </c>
      <c r="C144" s="121" t="s">
        <v>6</v>
      </c>
      <c r="D144" s="121">
        <v>1</v>
      </c>
      <c r="E144" s="120" t="s">
        <v>632</v>
      </c>
      <c r="F144" s="121" t="s">
        <v>130</v>
      </c>
      <c r="G144" s="120"/>
      <c r="H144" s="122">
        <v>44679</v>
      </c>
      <c r="I144" s="120">
        <v>6750</v>
      </c>
      <c r="J144" s="120">
        <v>276.5</v>
      </c>
      <c r="K144" s="120">
        <v>285.55</v>
      </c>
      <c r="L144" s="124">
        <f t="shared" ca="1" si="401"/>
        <v>0</v>
      </c>
      <c r="M144" s="124">
        <f t="shared" ca="1" si="402"/>
        <v>61087.50000000008</v>
      </c>
      <c r="N144" s="120">
        <f t="shared" ca="1" si="412"/>
        <v>1.0327305605786619</v>
      </c>
      <c r="O144" s="164">
        <f t="shared" ca="1" si="413"/>
        <v>207.375</v>
      </c>
      <c r="P144" s="168">
        <f t="shared" ca="1" si="245"/>
        <v>1866375</v>
      </c>
      <c r="Q144" s="168" t="e">
        <f t="shared" ca="1" si="414"/>
        <v>#N/A</v>
      </c>
      <c r="R144" s="184">
        <f t="shared" ca="1" si="403"/>
        <v>0</v>
      </c>
      <c r="S144" s="124">
        <f t="shared" ca="1" si="415"/>
        <v>27.649999999999995</v>
      </c>
      <c r="T144" s="120">
        <f ca="1">VLOOKUP(TRIM($F144),Reference!B:C,2,0)</f>
        <v>221.6</v>
      </c>
      <c r="U144" s="181">
        <f t="shared" ca="1" si="416"/>
        <v>0</v>
      </c>
      <c r="V144" s="125" t="str">
        <f t="shared" ca="1" si="395"/>
        <v>TATAPOWER22APRFUT</v>
      </c>
      <c r="W144" s="166" t="e">
        <f ca="1">VLOOKUP($V144,Reference!BA:BD,4,0)</f>
        <v>#N/A</v>
      </c>
      <c r="X144" s="168">
        <f t="shared" ca="1" si="396"/>
        <v>0</v>
      </c>
      <c r="Y144" s="168">
        <f t="shared" ca="1" si="397"/>
        <v>0</v>
      </c>
      <c r="Z144" s="168">
        <f t="shared" ca="1" si="404"/>
        <v>0</v>
      </c>
      <c r="AA144" s="168">
        <f t="shared" ca="1" si="398"/>
        <v>0</v>
      </c>
      <c r="AB144" s="168">
        <f t="shared" ca="1" si="399"/>
        <v>0</v>
      </c>
      <c r="AC144" s="124">
        <f t="shared" ca="1" si="400"/>
        <v>0</v>
      </c>
      <c r="AD144" s="120">
        <f t="shared" ca="1" si="417"/>
        <v>-0.21369863013698631</v>
      </c>
      <c r="AE144" s="120">
        <f t="shared" ca="1" si="418"/>
        <v>20</v>
      </c>
      <c r="AF144" s="120"/>
      <c r="AG144" s="120"/>
      <c r="AH144" s="120">
        <f t="shared" ca="1" si="246"/>
        <v>0</v>
      </c>
      <c r="AI144" s="120"/>
      <c r="AJ144" s="120">
        <f t="shared" ca="1" si="247"/>
        <v>55.991250000000001</v>
      </c>
      <c r="AK144" s="120"/>
      <c r="AL144" s="147"/>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c r="BS144" s="13">
        <v>2</v>
      </c>
      <c r="BT144" s="128">
        <v>44491</v>
      </c>
      <c r="BU144" s="121" t="s">
        <v>8</v>
      </c>
      <c r="BV144" s="120" t="s">
        <v>482</v>
      </c>
      <c r="BW144" s="121" t="s">
        <v>502</v>
      </c>
      <c r="BX144" s="120">
        <v>18400</v>
      </c>
      <c r="BY144" s="120">
        <v>41.7</v>
      </c>
      <c r="BZ144" s="120">
        <v>47.945</v>
      </c>
      <c r="CA144" s="124">
        <v>-3216.6708800000001</v>
      </c>
      <c r="CB144" s="120">
        <v>1.1497601918465228</v>
      </c>
      <c r="CC144" s="120">
        <v>500</v>
      </c>
      <c r="CD144" s="120">
        <v>50</v>
      </c>
      <c r="CE144" s="124">
        <v>20850</v>
      </c>
    </row>
    <row r="145" spans="1:83" hidden="1">
      <c r="A145" s="13">
        <f t="shared" ca="1" si="244"/>
        <v>138</v>
      </c>
      <c r="B145" s="128">
        <v>44657</v>
      </c>
      <c r="C145" s="121" t="s">
        <v>6</v>
      </c>
      <c r="D145" s="121">
        <v>1</v>
      </c>
      <c r="E145" s="120" t="s">
        <v>632</v>
      </c>
      <c r="F145" s="121" t="s">
        <v>130</v>
      </c>
      <c r="G145" s="120"/>
      <c r="H145" s="122">
        <v>44679</v>
      </c>
      <c r="I145" s="120">
        <v>6750</v>
      </c>
      <c r="J145" s="120">
        <v>286.2</v>
      </c>
      <c r="K145" s="120">
        <v>257.3</v>
      </c>
      <c r="L145" s="124">
        <f t="shared" ca="1" si="401"/>
        <v>0</v>
      </c>
      <c r="M145" s="124">
        <f t="shared" ca="1" si="402"/>
        <v>-195074.99999999985</v>
      </c>
      <c r="N145" s="120">
        <f t="shared" ref="N145" ca="1" si="419">K145/$J145</f>
        <v>0.89902166317260668</v>
      </c>
      <c r="O145" s="164">
        <f t="shared" ref="O145" ca="1" si="420">J145*(1+$O$6*IF(C145="B",-1,1))</f>
        <v>214.64999999999998</v>
      </c>
      <c r="P145" s="168">
        <f t="shared" ca="1" si="245"/>
        <v>1931850</v>
      </c>
      <c r="Q145" s="168" t="e">
        <f t="shared" ref="Q145" ca="1" si="421">(W145-J145)*I145*IF(C145="B",1,-1)*IF(K145=0,1,0)</f>
        <v>#N/A</v>
      </c>
      <c r="R145" s="184">
        <f t="shared" ca="1" si="403"/>
        <v>0</v>
      </c>
      <c r="S145" s="124">
        <f t="shared" ref="S145" ca="1" si="422">(1-$S$6)*J145</f>
        <v>28.619999999999994</v>
      </c>
      <c r="T145" s="120">
        <f ca="1">VLOOKUP(TRIM($F145),Reference!B:C,2,0)</f>
        <v>221.6</v>
      </c>
      <c r="U145" s="181">
        <f t="shared" ref="U145" ca="1" si="423">AC145</f>
        <v>0</v>
      </c>
      <c r="V145" s="125" t="str">
        <f t="shared" ca="1" si="395"/>
        <v>TATAPOWER22APRFUT</v>
      </c>
      <c r="W145" s="166" t="e">
        <f ca="1">VLOOKUP($V145,Reference!BA:BD,4,0)</f>
        <v>#N/A</v>
      </c>
      <c r="X145" s="168">
        <f t="shared" ca="1" si="396"/>
        <v>0</v>
      </c>
      <c r="Y145" s="168">
        <f t="shared" ca="1" si="397"/>
        <v>0</v>
      </c>
      <c r="Z145" s="168">
        <f t="shared" ca="1" si="404"/>
        <v>0</v>
      </c>
      <c r="AA145" s="168">
        <f t="shared" ca="1" si="398"/>
        <v>0</v>
      </c>
      <c r="AB145" s="168">
        <f t="shared" ca="1" si="399"/>
        <v>0</v>
      </c>
      <c r="AC145" s="124">
        <f t="shared" ca="1" si="400"/>
        <v>0</v>
      </c>
      <c r="AD145" s="120">
        <f t="shared" ref="AD145" ca="1" si="424">(H145-TODAY())/365</f>
        <v>-0.21369863013698631</v>
      </c>
      <c r="AE145" s="120">
        <f t="shared" ref="AE145" ca="1" si="425">IF(I145&lt;&gt;0,20,0)</f>
        <v>20</v>
      </c>
      <c r="AF145" s="120"/>
      <c r="AG145" s="120"/>
      <c r="AH145" s="120">
        <f t="shared" ca="1" si="246"/>
        <v>0</v>
      </c>
      <c r="AI145" s="120"/>
      <c r="AJ145" s="120">
        <f t="shared" ca="1" si="247"/>
        <v>57.955500000000001</v>
      </c>
      <c r="AK145" s="120"/>
      <c r="AL145" s="147"/>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c r="BS145" s="13">
        <v>2</v>
      </c>
      <c r="BT145" s="128">
        <v>44491</v>
      </c>
      <c r="BU145" s="121" t="s">
        <v>8</v>
      </c>
      <c r="BV145" s="120" t="s">
        <v>482</v>
      </c>
      <c r="BW145" s="121" t="s">
        <v>502</v>
      </c>
      <c r="BX145" s="120">
        <v>18400</v>
      </c>
      <c r="BY145" s="120">
        <v>41.7</v>
      </c>
      <c r="BZ145" s="120">
        <v>47.945</v>
      </c>
      <c r="CA145" s="124">
        <v>-3216.6708800000001</v>
      </c>
      <c r="CB145" s="120">
        <v>1.1497601918465228</v>
      </c>
      <c r="CC145" s="120">
        <v>500</v>
      </c>
      <c r="CD145" s="120">
        <v>50</v>
      </c>
      <c r="CE145" s="124">
        <v>20850</v>
      </c>
    </row>
    <row r="146" spans="1:83" hidden="1">
      <c r="A146" s="13">
        <f t="shared" ca="1" si="244"/>
        <v>139</v>
      </c>
      <c r="B146" s="128">
        <v>44657</v>
      </c>
      <c r="C146" s="121" t="s">
        <v>6</v>
      </c>
      <c r="D146" s="121">
        <v>1</v>
      </c>
      <c r="E146" s="120" t="s">
        <v>632</v>
      </c>
      <c r="F146" s="121" t="s">
        <v>130</v>
      </c>
      <c r="G146" s="120"/>
      <c r="H146" s="122">
        <v>44679</v>
      </c>
      <c r="I146" s="120">
        <v>6750</v>
      </c>
      <c r="J146" s="120">
        <v>286</v>
      </c>
      <c r="K146" s="120">
        <v>244</v>
      </c>
      <c r="L146" s="124">
        <f t="shared" ca="1" si="401"/>
        <v>0</v>
      </c>
      <c r="M146" s="124">
        <f t="shared" ca="1" si="402"/>
        <v>-283500</v>
      </c>
      <c r="N146" s="120">
        <f t="shared" ref="N146" ca="1" si="426">K146/$J146</f>
        <v>0.85314685314685312</v>
      </c>
      <c r="O146" s="164">
        <f t="shared" ref="O146" ca="1" si="427">J146*(1+$O$6*IF(C146="B",-1,1))</f>
        <v>214.5</v>
      </c>
      <c r="P146" s="168">
        <f t="shared" ca="1" si="245"/>
        <v>1930500</v>
      </c>
      <c r="Q146" s="168" t="e">
        <f t="shared" ref="Q146" ca="1" si="428">(W146-J146)*I146*IF(C146="B",1,-1)*IF(K146=0,1,0)</f>
        <v>#N/A</v>
      </c>
      <c r="R146" s="184">
        <f t="shared" ca="1" si="403"/>
        <v>0</v>
      </c>
      <c r="S146" s="124">
        <f t="shared" ref="S146" ca="1" si="429">(1-$S$6)*J146</f>
        <v>28.599999999999994</v>
      </c>
      <c r="T146" s="120">
        <f ca="1">VLOOKUP(TRIM($F146),Reference!B:C,2,0)</f>
        <v>221.6</v>
      </c>
      <c r="U146" s="181">
        <f t="shared" ref="U146" ca="1" si="430">AC146</f>
        <v>0</v>
      </c>
      <c r="V146" s="125" t="str">
        <f t="shared" ca="1" si="395"/>
        <v>TATAPOWER22APRFUT</v>
      </c>
      <c r="W146" s="166" t="e">
        <f ca="1">VLOOKUP($V146,Reference!BA:BD,4,0)</f>
        <v>#N/A</v>
      </c>
      <c r="X146" s="168">
        <f t="shared" ca="1" si="396"/>
        <v>0</v>
      </c>
      <c r="Y146" s="168">
        <f t="shared" ca="1" si="397"/>
        <v>0</v>
      </c>
      <c r="Z146" s="168">
        <f t="shared" ca="1" si="404"/>
        <v>0</v>
      </c>
      <c r="AA146" s="168">
        <f t="shared" ca="1" si="398"/>
        <v>0</v>
      </c>
      <c r="AB146" s="168">
        <f t="shared" ca="1" si="399"/>
        <v>0</v>
      </c>
      <c r="AC146" s="124">
        <f t="shared" ca="1" si="400"/>
        <v>0</v>
      </c>
      <c r="AD146" s="120">
        <f t="shared" ref="AD146" ca="1" si="431">(H146-TODAY())/365</f>
        <v>-0.21369863013698631</v>
      </c>
      <c r="AE146" s="120">
        <f t="shared" ref="AE146" ca="1" si="432">IF(I146&lt;&gt;0,20,0)</f>
        <v>20</v>
      </c>
      <c r="AF146" s="120"/>
      <c r="AG146" s="120"/>
      <c r="AH146" s="120">
        <f t="shared" ca="1" si="246"/>
        <v>0</v>
      </c>
      <c r="AI146" s="120"/>
      <c r="AJ146" s="120">
        <f t="shared" ca="1" si="247"/>
        <v>57.914999999999999</v>
      </c>
      <c r="AK146" s="120"/>
      <c r="AL146" s="147"/>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c r="BS146" s="13">
        <v>2</v>
      </c>
      <c r="BT146" s="128">
        <v>44491</v>
      </c>
      <c r="BU146" s="121" t="s">
        <v>8</v>
      </c>
      <c r="BV146" s="120" t="s">
        <v>482</v>
      </c>
      <c r="BW146" s="121" t="s">
        <v>502</v>
      </c>
      <c r="BX146" s="120">
        <v>18400</v>
      </c>
      <c r="BY146" s="120">
        <v>41.7</v>
      </c>
      <c r="BZ146" s="120">
        <v>47.945</v>
      </c>
      <c r="CA146" s="124">
        <v>-3216.6708800000001</v>
      </c>
      <c r="CB146" s="120">
        <v>1.1497601918465228</v>
      </c>
      <c r="CC146" s="120">
        <v>500</v>
      </c>
      <c r="CD146" s="120">
        <v>50</v>
      </c>
      <c r="CE146" s="124">
        <v>20850</v>
      </c>
    </row>
    <row r="147" spans="1:83" hidden="1">
      <c r="A147" s="13">
        <f t="shared" ca="1" si="244"/>
        <v>140</v>
      </c>
      <c r="B147" s="128">
        <v>44657</v>
      </c>
      <c r="C147" s="121" t="s">
        <v>6</v>
      </c>
      <c r="D147" s="121">
        <v>1</v>
      </c>
      <c r="E147" s="120" t="s">
        <v>632</v>
      </c>
      <c r="F147" s="121" t="s">
        <v>130</v>
      </c>
      <c r="G147" s="120"/>
      <c r="H147" s="122">
        <v>44679</v>
      </c>
      <c r="I147" s="120">
        <v>6750</v>
      </c>
      <c r="J147" s="120">
        <v>285</v>
      </c>
      <c r="K147" s="120">
        <v>282</v>
      </c>
      <c r="L147" s="124">
        <f t="shared" ca="1" si="401"/>
        <v>0</v>
      </c>
      <c r="M147" s="124">
        <f t="shared" ca="1" si="402"/>
        <v>-20250</v>
      </c>
      <c r="N147" s="120">
        <f t="shared" ref="N147" ca="1" si="433">K147/$J147</f>
        <v>0.98947368421052628</v>
      </c>
      <c r="O147" s="164">
        <f t="shared" ref="O147" ca="1" si="434">J147*(1+$O$6*IF(C147="B",-1,1))</f>
        <v>213.75</v>
      </c>
      <c r="P147" s="168">
        <f t="shared" ca="1" si="245"/>
        <v>1923750</v>
      </c>
      <c r="Q147" s="168" t="e">
        <f t="shared" ref="Q147" ca="1" si="435">(W147-J147)*I147*IF(C147="B",1,-1)*IF(K147=0,1,0)</f>
        <v>#N/A</v>
      </c>
      <c r="R147" s="184">
        <f t="shared" ca="1" si="403"/>
        <v>0</v>
      </c>
      <c r="S147" s="124">
        <f t="shared" ref="S147" ca="1" si="436">(1-$S$6)*J147</f>
        <v>28.499999999999993</v>
      </c>
      <c r="T147" s="120">
        <f ca="1">VLOOKUP(TRIM($F147),Reference!B:C,2,0)</f>
        <v>221.6</v>
      </c>
      <c r="U147" s="181">
        <f t="shared" ref="U147" ca="1" si="437">AC147</f>
        <v>0</v>
      </c>
      <c r="V147" s="125" t="str">
        <f t="shared" ca="1" si="395"/>
        <v>TATAPOWER22APRFUT</v>
      </c>
      <c r="W147" s="166" t="e">
        <f ca="1">VLOOKUP($V147,Reference!BA:BD,4,0)</f>
        <v>#N/A</v>
      </c>
      <c r="X147" s="168">
        <f t="shared" ca="1" si="396"/>
        <v>0</v>
      </c>
      <c r="Y147" s="168">
        <f t="shared" ca="1" si="397"/>
        <v>0</v>
      </c>
      <c r="Z147" s="168">
        <f t="shared" ca="1" si="404"/>
        <v>0</v>
      </c>
      <c r="AA147" s="168">
        <f t="shared" ca="1" si="398"/>
        <v>0</v>
      </c>
      <c r="AB147" s="168">
        <f t="shared" ca="1" si="399"/>
        <v>0</v>
      </c>
      <c r="AC147" s="124">
        <f t="shared" ca="1" si="400"/>
        <v>0</v>
      </c>
      <c r="AD147" s="120">
        <f t="shared" ref="AD147" ca="1" si="438">(H147-TODAY())/365</f>
        <v>-0.21369863013698631</v>
      </c>
      <c r="AE147" s="120">
        <f t="shared" ref="AE147" ca="1" si="439">IF(I147&lt;&gt;0,20,0)</f>
        <v>20</v>
      </c>
      <c r="AF147" s="120"/>
      <c r="AG147" s="120"/>
      <c r="AH147" s="120">
        <f t="shared" ca="1" si="246"/>
        <v>0</v>
      </c>
      <c r="AI147" s="120"/>
      <c r="AJ147" s="120">
        <f t="shared" ca="1" si="247"/>
        <v>57.712499999999999</v>
      </c>
      <c r="AK147" s="120"/>
      <c r="AL147" s="147"/>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c r="BS147" s="13">
        <v>2</v>
      </c>
      <c r="BT147" s="128">
        <v>44491</v>
      </c>
      <c r="BU147" s="121" t="s">
        <v>8</v>
      </c>
      <c r="BV147" s="120" t="s">
        <v>482</v>
      </c>
      <c r="BW147" s="121" t="s">
        <v>502</v>
      </c>
      <c r="BX147" s="120">
        <v>18400</v>
      </c>
      <c r="BY147" s="120">
        <v>41.7</v>
      </c>
      <c r="BZ147" s="120">
        <v>47.945</v>
      </c>
      <c r="CA147" s="124">
        <v>-3216.6708800000001</v>
      </c>
      <c r="CB147" s="120">
        <v>1.1497601918465228</v>
      </c>
      <c r="CC147" s="120">
        <v>500</v>
      </c>
      <c r="CD147" s="120">
        <v>50</v>
      </c>
      <c r="CE147" s="124">
        <v>20850</v>
      </c>
    </row>
    <row r="148" spans="1:83" hidden="1">
      <c r="A148" s="13">
        <f t="shared" ca="1" si="244"/>
        <v>141</v>
      </c>
      <c r="B148" s="128">
        <v>44657</v>
      </c>
      <c r="C148" s="121" t="s">
        <v>6</v>
      </c>
      <c r="D148" s="121">
        <v>0</v>
      </c>
      <c r="E148" s="120" t="s">
        <v>632</v>
      </c>
      <c r="F148" s="121" t="s">
        <v>284</v>
      </c>
      <c r="G148" s="120"/>
      <c r="H148" s="122">
        <v>44679</v>
      </c>
      <c r="I148" s="120">
        <v>2850</v>
      </c>
      <c r="J148" s="120">
        <v>459.45</v>
      </c>
      <c r="K148" s="120">
        <v>430.8</v>
      </c>
      <c r="L148" s="124">
        <f t="shared" ca="1" si="401"/>
        <v>0</v>
      </c>
      <c r="M148" s="124">
        <f t="shared" ca="1" si="402"/>
        <v>0</v>
      </c>
      <c r="N148" s="120">
        <f t="shared" ref="N148" ca="1" si="440">K148/$J148</f>
        <v>0.93764283382304936</v>
      </c>
      <c r="O148" s="164">
        <f t="shared" ref="O148" ca="1" si="441">J148*(1+$O$6*IF(C148="B",-1,1))</f>
        <v>344.58749999999998</v>
      </c>
      <c r="P148" s="168">
        <f t="shared" ca="1" si="245"/>
        <v>0</v>
      </c>
      <c r="Q148" s="168" t="e">
        <f t="shared" ref="Q148" ca="1" si="442">(W148-J148)*I148*IF(C148="B",1,-1)*IF(K148=0,1,0)</f>
        <v>#N/A</v>
      </c>
      <c r="R148" s="184">
        <f t="shared" ca="1" si="403"/>
        <v>0</v>
      </c>
      <c r="S148" s="124">
        <f t="shared" ref="S148" ca="1" si="443">(1-$S$6)*J148</f>
        <v>45.944999999999986</v>
      </c>
      <c r="T148" s="120">
        <f ca="1">VLOOKUP(TRIM($F148),Reference!B:C,2,0)</f>
        <v>428</v>
      </c>
      <c r="U148" s="181">
        <f t="shared" ref="U148" ca="1" si="444">AC148</f>
        <v>0</v>
      </c>
      <c r="V148" s="125" t="str">
        <f t="shared" ca="1" si="395"/>
        <v>TATAMOTORS22APRFUT</v>
      </c>
      <c r="W148" s="166" t="e">
        <f ca="1">VLOOKUP($V148,Reference!BA:BD,4,0)</f>
        <v>#N/A</v>
      </c>
      <c r="X148" s="168">
        <f t="shared" ca="1" si="396"/>
        <v>0</v>
      </c>
      <c r="Y148" s="168">
        <f t="shared" ca="1" si="397"/>
        <v>0</v>
      </c>
      <c r="Z148" s="168">
        <f t="shared" ca="1" si="404"/>
        <v>0</v>
      </c>
      <c r="AA148" s="168">
        <f t="shared" ca="1" si="398"/>
        <v>0</v>
      </c>
      <c r="AB148" s="168">
        <f t="shared" ca="1" si="399"/>
        <v>0</v>
      </c>
      <c r="AC148" s="124">
        <f t="shared" ca="1" si="400"/>
        <v>0</v>
      </c>
      <c r="AD148" s="120">
        <f t="shared" ref="AD148" ca="1" si="445">(H148-TODAY())/365</f>
        <v>-0.21369863013698631</v>
      </c>
      <c r="AE148" s="120">
        <f t="shared" ref="AE148" ca="1" si="446">IF(I148&lt;&gt;0,20,0)</f>
        <v>20</v>
      </c>
      <c r="AF148" s="120"/>
      <c r="AG148" s="120"/>
      <c r="AH148" s="120">
        <f t="shared" ca="1" si="246"/>
        <v>0</v>
      </c>
      <c r="AI148" s="120"/>
      <c r="AJ148" s="120">
        <f t="shared" ca="1" si="247"/>
        <v>0</v>
      </c>
      <c r="AK148" s="120"/>
      <c r="AL148" s="147"/>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c r="BS148" s="13">
        <v>2</v>
      </c>
      <c r="BT148" s="128">
        <v>44491</v>
      </c>
      <c r="BU148" s="121" t="s">
        <v>8</v>
      </c>
      <c r="BV148" s="120" t="s">
        <v>482</v>
      </c>
      <c r="BW148" s="121" t="s">
        <v>502</v>
      </c>
      <c r="BX148" s="120">
        <v>18400</v>
      </c>
      <c r="BY148" s="120">
        <v>41.7</v>
      </c>
      <c r="BZ148" s="120">
        <v>47.945</v>
      </c>
      <c r="CA148" s="124">
        <v>-3216.6708800000001</v>
      </c>
      <c r="CB148" s="120">
        <v>1.1497601918465228</v>
      </c>
      <c r="CC148" s="120">
        <v>500</v>
      </c>
      <c r="CD148" s="120">
        <v>50</v>
      </c>
      <c r="CE148" s="124">
        <v>20850</v>
      </c>
    </row>
    <row r="149" spans="1:83" hidden="1">
      <c r="A149" s="13">
        <f t="shared" ca="1" si="244"/>
        <v>142</v>
      </c>
      <c r="B149" s="128">
        <v>44657</v>
      </c>
      <c r="C149" s="121" t="s">
        <v>6</v>
      </c>
      <c r="D149" s="121">
        <v>0</v>
      </c>
      <c r="E149" s="120" t="s">
        <v>632</v>
      </c>
      <c r="F149" s="121" t="s">
        <v>284</v>
      </c>
      <c r="G149" s="120"/>
      <c r="H149" s="122">
        <v>44679</v>
      </c>
      <c r="I149" s="120">
        <v>2850</v>
      </c>
      <c r="J149" s="120">
        <v>459.3</v>
      </c>
      <c r="K149" s="120">
        <v>430.8</v>
      </c>
      <c r="L149" s="124">
        <f t="shared" ca="1" si="401"/>
        <v>0</v>
      </c>
      <c r="M149" s="124">
        <f t="shared" ca="1" si="402"/>
        <v>0</v>
      </c>
      <c r="N149" s="120">
        <f t="shared" ref="N149:N151" ca="1" si="447">K149/$J149</f>
        <v>0.93794905290659703</v>
      </c>
      <c r="O149" s="164">
        <f t="shared" ref="O149:O151" ca="1" si="448">J149*(1+$O$6*IF(C149="B",-1,1))</f>
        <v>344.47500000000002</v>
      </c>
      <c r="P149" s="168">
        <f t="shared" ca="1" si="245"/>
        <v>0</v>
      </c>
      <c r="Q149" s="168" t="e">
        <f t="shared" ref="Q149:Q151" ca="1" si="449">(W149-J149)*I149*IF(C149="B",1,-1)*IF(K149=0,1,0)</f>
        <v>#N/A</v>
      </c>
      <c r="R149" s="184">
        <f t="shared" ca="1" si="403"/>
        <v>0</v>
      </c>
      <c r="S149" s="124">
        <f t="shared" ref="S149:S151" ca="1" si="450">(1-$S$6)*J149</f>
        <v>45.929999999999993</v>
      </c>
      <c r="T149" s="120">
        <f ca="1">VLOOKUP(TRIM($F149),Reference!B:C,2,0)</f>
        <v>428</v>
      </c>
      <c r="U149" s="181">
        <f t="shared" ref="U149:U151" ca="1" si="451">AC149</f>
        <v>0</v>
      </c>
      <c r="V149" s="125" t="str">
        <f t="shared" ca="1" si="395"/>
        <v>TATAMOTORS22APRFUT</v>
      </c>
      <c r="W149" s="166" t="e">
        <f ca="1">VLOOKUP($V149,Reference!BA:BD,4,0)</f>
        <v>#N/A</v>
      </c>
      <c r="X149" s="168">
        <f t="shared" ca="1" si="396"/>
        <v>0</v>
      </c>
      <c r="Y149" s="168">
        <f t="shared" ca="1" si="397"/>
        <v>0</v>
      </c>
      <c r="Z149" s="168">
        <f t="shared" ca="1" si="404"/>
        <v>0</v>
      </c>
      <c r="AA149" s="168">
        <f t="shared" ca="1" si="398"/>
        <v>0</v>
      </c>
      <c r="AB149" s="168">
        <f t="shared" ca="1" si="399"/>
        <v>0</v>
      </c>
      <c r="AC149" s="124">
        <f t="shared" ca="1" si="400"/>
        <v>0</v>
      </c>
      <c r="AD149" s="120">
        <f t="shared" ref="AD149:AD151" ca="1" si="452">(H149-TODAY())/365</f>
        <v>-0.21369863013698631</v>
      </c>
      <c r="AE149" s="120">
        <f t="shared" ref="AE149:AE151" ca="1" si="453">IF(I149&lt;&gt;0,20,0)</f>
        <v>20</v>
      </c>
      <c r="AF149" s="120"/>
      <c r="AG149" s="120"/>
      <c r="AH149" s="120">
        <f t="shared" ca="1" si="246"/>
        <v>0</v>
      </c>
      <c r="AI149" s="120"/>
      <c r="AJ149" s="120">
        <f t="shared" ca="1" si="247"/>
        <v>0</v>
      </c>
      <c r="AK149" s="120"/>
      <c r="AL149" s="147"/>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c r="BS149" s="13">
        <v>2</v>
      </c>
      <c r="BT149" s="128">
        <v>44491</v>
      </c>
      <c r="BU149" s="121" t="s">
        <v>8</v>
      </c>
      <c r="BV149" s="120" t="s">
        <v>482</v>
      </c>
      <c r="BW149" s="121" t="s">
        <v>502</v>
      </c>
      <c r="BX149" s="120">
        <v>18400</v>
      </c>
      <c r="BY149" s="120">
        <v>41.7</v>
      </c>
      <c r="BZ149" s="120">
        <v>47.945</v>
      </c>
      <c r="CA149" s="124">
        <v>-3216.6708800000001</v>
      </c>
      <c r="CB149" s="120">
        <v>1.1497601918465228</v>
      </c>
      <c r="CC149" s="120">
        <v>500</v>
      </c>
      <c r="CD149" s="120">
        <v>50</v>
      </c>
      <c r="CE149" s="124">
        <v>20850</v>
      </c>
    </row>
    <row r="150" spans="1:83" hidden="1">
      <c r="A150" s="13">
        <f t="shared" ca="1" si="244"/>
        <v>143</v>
      </c>
      <c r="B150" s="128">
        <v>44657</v>
      </c>
      <c r="C150" s="121" t="s">
        <v>6</v>
      </c>
      <c r="D150" s="121">
        <v>0</v>
      </c>
      <c r="E150" s="120" t="s">
        <v>632</v>
      </c>
      <c r="F150" s="121" t="s">
        <v>126</v>
      </c>
      <c r="G150" s="120"/>
      <c r="H150" s="122">
        <v>44679</v>
      </c>
      <c r="I150" s="120">
        <v>3750</v>
      </c>
      <c r="J150" s="120">
        <v>246.3</v>
      </c>
      <c r="K150" s="120">
        <v>219.05</v>
      </c>
      <c r="L150" s="124">
        <f t="shared" ca="1" si="401"/>
        <v>0</v>
      </c>
      <c r="M150" s="124">
        <f t="shared" ca="1" si="402"/>
        <v>0</v>
      </c>
      <c r="N150" s="120">
        <f t="shared" ca="1" si="447"/>
        <v>0.88936256597645147</v>
      </c>
      <c r="O150" s="164">
        <f t="shared" ca="1" si="448"/>
        <v>184.72500000000002</v>
      </c>
      <c r="P150" s="168">
        <f t="shared" ca="1" si="245"/>
        <v>0</v>
      </c>
      <c r="Q150" s="168" t="e">
        <f t="shared" ca="1" si="449"/>
        <v>#N/A</v>
      </c>
      <c r="R150" s="184">
        <f t="shared" ca="1" si="403"/>
        <v>0</v>
      </c>
      <c r="S150" s="124">
        <f t="shared" ca="1" si="450"/>
        <v>24.629999999999995</v>
      </c>
      <c r="T150" s="120">
        <f ca="1">VLOOKUP(TRIM($F150),Reference!B:C,2,0)</f>
        <v>162.15</v>
      </c>
      <c r="U150" s="181">
        <f t="shared" ca="1" si="451"/>
        <v>0</v>
      </c>
      <c r="V150" s="125" t="str">
        <f t="shared" ca="1" si="395"/>
        <v>IEX22APRFUT</v>
      </c>
      <c r="W150" s="166" t="e">
        <f ca="1">VLOOKUP($V150,Reference!BA:BD,4,0)</f>
        <v>#N/A</v>
      </c>
      <c r="X150" s="168">
        <f t="shared" ca="1" si="396"/>
        <v>0</v>
      </c>
      <c r="Y150" s="168">
        <f t="shared" ca="1" si="397"/>
        <v>0</v>
      </c>
      <c r="Z150" s="168">
        <f t="shared" ca="1" si="404"/>
        <v>0</v>
      </c>
      <c r="AA150" s="168">
        <f t="shared" ca="1" si="398"/>
        <v>0</v>
      </c>
      <c r="AB150" s="168">
        <f t="shared" ca="1" si="399"/>
        <v>0</v>
      </c>
      <c r="AC150" s="124">
        <f t="shared" ca="1" si="400"/>
        <v>0</v>
      </c>
      <c r="AD150" s="120">
        <f t="shared" ca="1" si="452"/>
        <v>-0.21369863013698631</v>
      </c>
      <c r="AE150" s="120">
        <f t="shared" ca="1" si="453"/>
        <v>20</v>
      </c>
      <c r="AF150" s="120"/>
      <c r="AG150" s="120"/>
      <c r="AH150" s="120">
        <f t="shared" ca="1" si="246"/>
        <v>0</v>
      </c>
      <c r="AI150" s="120"/>
      <c r="AJ150" s="120">
        <f t="shared" ca="1" si="247"/>
        <v>0</v>
      </c>
      <c r="AK150" s="120"/>
      <c r="AL150" s="147"/>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c r="BS150" s="13">
        <v>2</v>
      </c>
      <c r="BT150" s="128">
        <v>44491</v>
      </c>
      <c r="BU150" s="121" t="s">
        <v>8</v>
      </c>
      <c r="BV150" s="120" t="s">
        <v>482</v>
      </c>
      <c r="BW150" s="121" t="s">
        <v>502</v>
      </c>
      <c r="BX150" s="120">
        <v>18400</v>
      </c>
      <c r="BY150" s="120">
        <v>41.7</v>
      </c>
      <c r="BZ150" s="120">
        <v>47.945</v>
      </c>
      <c r="CA150" s="124">
        <v>-3216.6708800000001</v>
      </c>
      <c r="CB150" s="120">
        <v>1.1497601918465228</v>
      </c>
      <c r="CC150" s="120">
        <v>500</v>
      </c>
      <c r="CD150" s="120">
        <v>50</v>
      </c>
      <c r="CE150" s="124">
        <v>20850</v>
      </c>
    </row>
    <row r="151" spans="1:83" hidden="1">
      <c r="A151" s="13">
        <f t="shared" ca="1" si="244"/>
        <v>144</v>
      </c>
      <c r="B151" s="128">
        <v>44657</v>
      </c>
      <c r="C151" s="121" t="s">
        <v>6</v>
      </c>
      <c r="D151" s="121">
        <v>1</v>
      </c>
      <c r="E151" s="120" t="s">
        <v>632</v>
      </c>
      <c r="F151" s="121" t="s">
        <v>130</v>
      </c>
      <c r="G151" s="120"/>
      <c r="H151" s="122">
        <v>44679</v>
      </c>
      <c r="I151" s="120">
        <v>6750</v>
      </c>
      <c r="J151" s="120">
        <v>289.5</v>
      </c>
      <c r="K151" s="120">
        <v>290.2</v>
      </c>
      <c r="L151" s="124">
        <f t="shared" ca="1" si="401"/>
        <v>0</v>
      </c>
      <c r="M151" s="124">
        <f t="shared" ca="1" si="402"/>
        <v>4724.9999999999236</v>
      </c>
      <c r="N151" s="120">
        <f t="shared" ca="1" si="447"/>
        <v>1.0024179620034541</v>
      </c>
      <c r="O151" s="164">
        <f t="shared" ca="1" si="448"/>
        <v>217.125</v>
      </c>
      <c r="P151" s="168">
        <f t="shared" ca="1" si="245"/>
        <v>1954125</v>
      </c>
      <c r="Q151" s="168" t="e">
        <f t="shared" ca="1" si="449"/>
        <v>#N/A</v>
      </c>
      <c r="R151" s="184">
        <f t="shared" ca="1" si="403"/>
        <v>0</v>
      </c>
      <c r="S151" s="124">
        <f t="shared" ca="1" si="450"/>
        <v>28.949999999999992</v>
      </c>
      <c r="T151" s="120">
        <f ca="1">VLOOKUP(TRIM($F151),Reference!B:C,2,0)</f>
        <v>221.6</v>
      </c>
      <c r="U151" s="181">
        <f t="shared" ca="1" si="451"/>
        <v>0</v>
      </c>
      <c r="V151" s="125" t="str">
        <f t="shared" ca="1" si="395"/>
        <v>TATAPOWER22APRFUT</v>
      </c>
      <c r="W151" s="166" t="e">
        <f ca="1">VLOOKUP($V151,Reference!BA:BD,4,0)</f>
        <v>#N/A</v>
      </c>
      <c r="X151" s="168">
        <f t="shared" ca="1" si="396"/>
        <v>0</v>
      </c>
      <c r="Y151" s="168">
        <f t="shared" ca="1" si="397"/>
        <v>0</v>
      </c>
      <c r="Z151" s="168">
        <f t="shared" ca="1" si="404"/>
        <v>0</v>
      </c>
      <c r="AA151" s="168">
        <f t="shared" ca="1" si="398"/>
        <v>0</v>
      </c>
      <c r="AB151" s="168">
        <f t="shared" ca="1" si="399"/>
        <v>0</v>
      </c>
      <c r="AC151" s="124">
        <f t="shared" ca="1" si="400"/>
        <v>0</v>
      </c>
      <c r="AD151" s="120">
        <f t="shared" ca="1" si="452"/>
        <v>-0.21369863013698631</v>
      </c>
      <c r="AE151" s="120">
        <f t="shared" ca="1" si="453"/>
        <v>20</v>
      </c>
      <c r="AF151" s="120"/>
      <c r="AG151" s="120"/>
      <c r="AH151" s="120">
        <f t="shared" ca="1" si="246"/>
        <v>0</v>
      </c>
      <c r="AI151" s="120"/>
      <c r="AJ151" s="120">
        <f t="shared" ca="1" si="247"/>
        <v>58.623750000000001</v>
      </c>
      <c r="AK151" s="120"/>
      <c r="AL151" s="147"/>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c r="BS151" s="13">
        <v>2</v>
      </c>
      <c r="BT151" s="128">
        <v>44491</v>
      </c>
      <c r="BU151" s="121" t="s">
        <v>8</v>
      </c>
      <c r="BV151" s="120" t="s">
        <v>482</v>
      </c>
      <c r="BW151" s="121" t="s">
        <v>502</v>
      </c>
      <c r="BX151" s="120">
        <v>18400</v>
      </c>
      <c r="BY151" s="120">
        <v>41.7</v>
      </c>
      <c r="BZ151" s="120">
        <v>47.945</v>
      </c>
      <c r="CA151" s="124">
        <v>-3216.6708800000001</v>
      </c>
      <c r="CB151" s="120">
        <v>1.1497601918465228</v>
      </c>
      <c r="CC151" s="120">
        <v>500</v>
      </c>
      <c r="CD151" s="120">
        <v>50</v>
      </c>
      <c r="CE151" s="124">
        <v>20850</v>
      </c>
    </row>
    <row r="152" spans="1:83" hidden="1">
      <c r="A152" s="13">
        <f t="shared" ca="1" si="244"/>
        <v>145</v>
      </c>
      <c r="B152" s="128">
        <v>44657</v>
      </c>
      <c r="C152" s="121" t="s">
        <v>6</v>
      </c>
      <c r="D152" s="121">
        <v>0</v>
      </c>
      <c r="E152" s="120" t="s">
        <v>632</v>
      </c>
      <c r="F152" s="121" t="s">
        <v>130</v>
      </c>
      <c r="G152" s="120"/>
      <c r="H152" s="122">
        <v>44679</v>
      </c>
      <c r="I152" s="120">
        <v>6750</v>
      </c>
      <c r="J152" s="120">
        <v>293.39999999999998</v>
      </c>
      <c r="K152" s="120">
        <v>247.65</v>
      </c>
      <c r="L152" s="124">
        <f t="shared" ca="1" si="401"/>
        <v>0</v>
      </c>
      <c r="M152" s="124">
        <f t="shared" ca="1" si="402"/>
        <v>0</v>
      </c>
      <c r="N152" s="120">
        <f t="shared" ref="N152:N153" ca="1" si="454">K152/$J152</f>
        <v>0.84406952965235182</v>
      </c>
      <c r="O152" s="164">
        <f t="shared" ref="O152:O153" ca="1" si="455">J152*(1+$O$6*IF(C152="B",-1,1))</f>
        <v>220.04999999999998</v>
      </c>
      <c r="P152" s="168">
        <f t="shared" ca="1" si="245"/>
        <v>0</v>
      </c>
      <c r="Q152" s="168" t="e">
        <f t="shared" ref="Q152:Q153" ca="1" si="456">(W152-J152)*I152*IF(C152="B",1,-1)*IF(K152=0,1,0)</f>
        <v>#N/A</v>
      </c>
      <c r="R152" s="184">
        <f t="shared" ca="1" si="403"/>
        <v>0</v>
      </c>
      <c r="S152" s="124">
        <f t="shared" ref="S152:S153" ca="1" si="457">(1-$S$6)*J152</f>
        <v>29.339999999999993</v>
      </c>
      <c r="T152" s="120">
        <f ca="1">VLOOKUP(TRIM($F152),Reference!B:C,2,0)</f>
        <v>221.6</v>
      </c>
      <c r="U152" s="181">
        <f t="shared" ref="U152:U153" ca="1" si="458">AC152</f>
        <v>0</v>
      </c>
      <c r="V152" s="125" t="str">
        <f t="shared" ca="1" si="395"/>
        <v>TATAPOWER22APRFUT</v>
      </c>
      <c r="W152" s="166" t="e">
        <f ca="1">VLOOKUP($V152,Reference!BA:BD,4,0)</f>
        <v>#N/A</v>
      </c>
      <c r="X152" s="168">
        <f t="shared" ca="1" si="396"/>
        <v>0</v>
      </c>
      <c r="Y152" s="168">
        <f t="shared" ca="1" si="397"/>
        <v>0</v>
      </c>
      <c r="Z152" s="168">
        <f t="shared" ca="1" si="404"/>
        <v>0</v>
      </c>
      <c r="AA152" s="168">
        <f t="shared" ca="1" si="398"/>
        <v>0</v>
      </c>
      <c r="AB152" s="168">
        <f t="shared" ca="1" si="399"/>
        <v>0</v>
      </c>
      <c r="AC152" s="124">
        <f t="shared" ca="1" si="400"/>
        <v>0</v>
      </c>
      <c r="AD152" s="120">
        <f t="shared" ref="AD152:AD153" ca="1" si="459">(H152-TODAY())/365</f>
        <v>-0.21369863013698631</v>
      </c>
      <c r="AE152" s="120">
        <f t="shared" ref="AE152:AE153" ca="1" si="460">IF(I152&lt;&gt;0,20,0)</f>
        <v>20</v>
      </c>
      <c r="AF152" s="120"/>
      <c r="AG152" s="120"/>
      <c r="AH152" s="120">
        <f t="shared" ca="1" si="246"/>
        <v>0</v>
      </c>
      <c r="AI152" s="120"/>
      <c r="AJ152" s="120">
        <f t="shared" ca="1" si="247"/>
        <v>0</v>
      </c>
      <c r="AK152" s="120"/>
      <c r="AL152" s="147"/>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c r="BS152" s="13">
        <v>2</v>
      </c>
      <c r="BT152" s="128">
        <v>44491</v>
      </c>
      <c r="BU152" s="121" t="s">
        <v>8</v>
      </c>
      <c r="BV152" s="120" t="s">
        <v>482</v>
      </c>
      <c r="BW152" s="121" t="s">
        <v>502</v>
      </c>
      <c r="BX152" s="120">
        <v>18400</v>
      </c>
      <c r="BY152" s="120">
        <v>41.7</v>
      </c>
      <c r="BZ152" s="120">
        <v>47.945</v>
      </c>
      <c r="CA152" s="124">
        <v>-3216.6708800000001</v>
      </c>
      <c r="CB152" s="120">
        <v>1.1497601918465228</v>
      </c>
      <c r="CC152" s="120">
        <v>500</v>
      </c>
      <c r="CD152" s="120">
        <v>50</v>
      </c>
      <c r="CE152" s="124">
        <v>20850</v>
      </c>
    </row>
    <row r="153" spans="1:83" hidden="1">
      <c r="A153" s="13">
        <f t="shared" ca="1" si="244"/>
        <v>146</v>
      </c>
      <c r="B153" s="128">
        <v>44657</v>
      </c>
      <c r="C153" s="121" t="s">
        <v>8</v>
      </c>
      <c r="D153" s="121">
        <v>1</v>
      </c>
      <c r="E153" s="120" t="s">
        <v>481</v>
      </c>
      <c r="F153" s="121" t="s">
        <v>130</v>
      </c>
      <c r="G153" s="120">
        <v>300</v>
      </c>
      <c r="H153" s="122">
        <v>44679</v>
      </c>
      <c r="I153" s="120">
        <v>6750</v>
      </c>
      <c r="J153" s="120">
        <v>10.5</v>
      </c>
      <c r="K153" s="120">
        <v>13.2</v>
      </c>
      <c r="L153" s="124">
        <f t="shared" ca="1" si="401"/>
        <v>0</v>
      </c>
      <c r="M153" s="124">
        <f t="shared" ca="1" si="402"/>
        <v>-18224.999999999996</v>
      </c>
      <c r="N153" s="120">
        <f t="shared" ca="1" si="454"/>
        <v>1.2571428571428571</v>
      </c>
      <c r="O153" s="164">
        <f t="shared" ca="1" si="455"/>
        <v>13.125</v>
      </c>
      <c r="P153" s="168">
        <f t="shared" ca="1" si="245"/>
        <v>70875</v>
      </c>
      <c r="Q153" s="168" t="e">
        <f t="shared" ca="1" si="456"/>
        <v>#N/A</v>
      </c>
      <c r="R153" s="184">
        <f t="shared" ca="1" si="403"/>
        <v>0</v>
      </c>
      <c r="S153" s="124">
        <f t="shared" ca="1" si="457"/>
        <v>1.0499999999999998</v>
      </c>
      <c r="T153" s="120">
        <f ca="1">VLOOKUP(TRIM($F153),Reference!B:C,2,0)</f>
        <v>221.6</v>
      </c>
      <c r="U153" s="181">
        <f t="shared" ca="1" si="458"/>
        <v>0</v>
      </c>
      <c r="V153" s="125" t="str">
        <f t="shared" ca="1" si="395"/>
        <v>TATAPOWER22APR300CE</v>
      </c>
      <c r="W153" s="166" t="e">
        <f ca="1">VLOOKUP($V153,Reference!BA:BD,4,0)</f>
        <v>#N/A</v>
      </c>
      <c r="X153" s="168">
        <f t="shared" ca="1" si="396"/>
        <v>0</v>
      </c>
      <c r="Y153" s="168">
        <f t="shared" ca="1" si="397"/>
        <v>0</v>
      </c>
      <c r="Z153" s="168">
        <f t="shared" ca="1" si="404"/>
        <v>0</v>
      </c>
      <c r="AA153" s="168">
        <f t="shared" ca="1" si="398"/>
        <v>0</v>
      </c>
      <c r="AB153" s="168">
        <f t="shared" ca="1" si="399"/>
        <v>0</v>
      </c>
      <c r="AC153" s="124">
        <f t="shared" ca="1" si="400"/>
        <v>0</v>
      </c>
      <c r="AD153" s="120">
        <f t="shared" ca="1" si="459"/>
        <v>-0.21369863013698631</v>
      </c>
      <c r="AE153" s="120">
        <f t="shared" ca="1" si="460"/>
        <v>20</v>
      </c>
      <c r="AF153" s="120"/>
      <c r="AG153" s="120"/>
      <c r="AH153" s="120">
        <f t="shared" ca="1" si="246"/>
        <v>35.4375</v>
      </c>
      <c r="AI153" s="120"/>
      <c r="AJ153" s="120">
        <f t="shared" ca="1" si="247"/>
        <v>0</v>
      </c>
      <c r="AK153" s="120"/>
      <c r="AL153" s="147"/>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c r="BS153" s="13">
        <v>2</v>
      </c>
      <c r="BT153" s="128">
        <v>44491</v>
      </c>
      <c r="BU153" s="121" t="s">
        <v>8</v>
      </c>
      <c r="BV153" s="120" t="s">
        <v>482</v>
      </c>
      <c r="BW153" s="121" t="s">
        <v>502</v>
      </c>
      <c r="BX153" s="120">
        <v>18400</v>
      </c>
      <c r="BY153" s="120">
        <v>41.7</v>
      </c>
      <c r="BZ153" s="120">
        <v>47.945</v>
      </c>
      <c r="CA153" s="124">
        <v>-3216.6708800000001</v>
      </c>
      <c r="CB153" s="120">
        <v>1.1497601918465228</v>
      </c>
      <c r="CC153" s="120">
        <v>500</v>
      </c>
      <c r="CD153" s="120">
        <v>50</v>
      </c>
      <c r="CE153" s="124">
        <v>20850</v>
      </c>
    </row>
    <row r="154" spans="1:83" hidden="1">
      <c r="A154" s="13">
        <f t="shared" ca="1" si="244"/>
        <v>147</v>
      </c>
      <c r="B154" s="128">
        <v>44657</v>
      </c>
      <c r="C154" s="121" t="s">
        <v>8</v>
      </c>
      <c r="D154" s="121">
        <v>1</v>
      </c>
      <c r="E154" s="120" t="s">
        <v>481</v>
      </c>
      <c r="F154" s="121" t="s">
        <v>130</v>
      </c>
      <c r="G154" s="120">
        <v>315</v>
      </c>
      <c r="H154" s="122">
        <v>44679</v>
      </c>
      <c r="I154" s="120">
        <v>6750</v>
      </c>
      <c r="J154" s="120">
        <v>8.25</v>
      </c>
      <c r="K154" s="120">
        <v>1.65</v>
      </c>
      <c r="L154" s="124">
        <f t="shared" ref="L154" ca="1" si="461">IF(AND(K154&lt;&gt;0,I154&lt;&gt;0),(IF(C154="B",1,-1))*(K154-J154)*I154-AK154*2,0)*$D154*IF(MONTH($B$2)=MONTH($H154),1,0)</f>
        <v>0</v>
      </c>
      <c r="M154" s="124">
        <f t="shared" ref="M154" ca="1" si="462">IF(AND(K154&lt;&gt;0,I154&lt;&gt;0),(IF(C154="B",1,-1))*(K154-J154)*I154-AK154*2,0)*$D154</f>
        <v>44550</v>
      </c>
      <c r="N154" s="120">
        <f t="shared" ref="N154" ca="1" si="463">K154/$J154</f>
        <v>0.19999999999999998</v>
      </c>
      <c r="O154" s="164">
        <f t="shared" ref="O154" ca="1" si="464">J154*(1+$O$6*IF(C154="B",-1,1))</f>
        <v>10.3125</v>
      </c>
      <c r="P154" s="168">
        <f t="shared" ca="1" si="245"/>
        <v>55687.5</v>
      </c>
      <c r="Q154" s="168" t="e">
        <f t="shared" ref="Q154" ca="1" si="465">(W154-J154)*I154*IF(C154="B",1,-1)*IF(K154=0,1,0)</f>
        <v>#N/A</v>
      </c>
      <c r="R154" s="184">
        <f t="shared" ca="1" si="403"/>
        <v>0</v>
      </c>
      <c r="S154" s="124">
        <f t="shared" ref="S154" ca="1" si="466">(1-$S$6)*J154</f>
        <v>0.82499999999999984</v>
      </c>
      <c r="T154" s="120">
        <f ca="1">VLOOKUP(TRIM($F154),Reference!B:C,2,0)</f>
        <v>221.6</v>
      </c>
      <c r="U154" s="181">
        <f t="shared" ref="U154" ca="1" si="467">AC154</f>
        <v>0</v>
      </c>
      <c r="V154" s="125" t="str">
        <f t="shared" ca="1" si="395"/>
        <v>TATAPOWER22APR315CE</v>
      </c>
      <c r="W154" s="166" t="e">
        <f ca="1">VLOOKUP($V154,Reference!BA:BD,4,0)</f>
        <v>#N/A</v>
      </c>
      <c r="X154" s="168">
        <f t="shared" ca="1" si="396"/>
        <v>0</v>
      </c>
      <c r="Y154" s="168">
        <f t="shared" ca="1" si="397"/>
        <v>0</v>
      </c>
      <c r="Z154" s="168">
        <f t="shared" ca="1" si="404"/>
        <v>0</v>
      </c>
      <c r="AA154" s="168">
        <f t="shared" ca="1" si="398"/>
        <v>0</v>
      </c>
      <c r="AB154" s="168">
        <f t="shared" ca="1" si="399"/>
        <v>0</v>
      </c>
      <c r="AC154" s="124">
        <f t="shared" ca="1" si="400"/>
        <v>0</v>
      </c>
      <c r="AD154" s="120">
        <f t="shared" ref="AD154" ca="1" si="468">(H154-TODAY())/365</f>
        <v>-0.21369863013698631</v>
      </c>
      <c r="AE154" s="120">
        <f t="shared" ref="AE154" ca="1" si="469">IF(I154&lt;&gt;0,20,0)</f>
        <v>20</v>
      </c>
      <c r="AF154" s="120"/>
      <c r="AG154" s="120"/>
      <c r="AH154" s="120">
        <f t="shared" ca="1" si="246"/>
        <v>27.84375</v>
      </c>
      <c r="AI154" s="120"/>
      <c r="AJ154" s="120">
        <f t="shared" ca="1" si="247"/>
        <v>0</v>
      </c>
      <c r="AK154" s="120"/>
      <c r="AL154" s="147"/>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c r="BS154" s="13">
        <v>2</v>
      </c>
      <c r="BT154" s="128">
        <v>44491</v>
      </c>
      <c r="BU154" s="121" t="s">
        <v>8</v>
      </c>
      <c r="BV154" s="120" t="s">
        <v>482</v>
      </c>
      <c r="BW154" s="121" t="s">
        <v>502</v>
      </c>
      <c r="BX154" s="120">
        <v>18400</v>
      </c>
      <c r="BY154" s="120">
        <v>41.7</v>
      </c>
      <c r="BZ154" s="120">
        <v>47.945</v>
      </c>
      <c r="CA154" s="124">
        <v>-3216.6708800000001</v>
      </c>
      <c r="CB154" s="120">
        <v>1.1497601918465228</v>
      </c>
      <c r="CC154" s="120">
        <v>500</v>
      </c>
      <c r="CD154" s="120">
        <v>50</v>
      </c>
      <c r="CE154" s="124">
        <v>20850</v>
      </c>
    </row>
    <row r="155" spans="1:83" hidden="1">
      <c r="A155" s="13">
        <f t="shared" ca="1" si="244"/>
        <v>148</v>
      </c>
      <c r="B155" s="128">
        <v>44657</v>
      </c>
      <c r="C155" s="121" t="s">
        <v>8</v>
      </c>
      <c r="D155" s="121">
        <v>1</v>
      </c>
      <c r="E155" s="120" t="s">
        <v>481</v>
      </c>
      <c r="F155" s="121" t="s">
        <v>130</v>
      </c>
      <c r="G155" s="120">
        <v>320</v>
      </c>
      <c r="H155" s="122">
        <v>44679</v>
      </c>
      <c r="I155" s="120">
        <v>6750</v>
      </c>
      <c r="J155" s="120">
        <v>7.2</v>
      </c>
      <c r="K155" s="120">
        <v>1.4</v>
      </c>
      <c r="L155" s="124">
        <f t="shared" ref="L155" ca="1" si="470">IF(AND(K155&lt;&gt;0,I155&lt;&gt;0),(IF(C155="B",1,-1))*(K155-J155)*I155-AK155*2,0)*$D155*IF(MONTH($B$2)=MONTH($H155),1,0)</f>
        <v>0</v>
      </c>
      <c r="M155" s="124">
        <f t="shared" ref="M155" ca="1" si="471">IF(AND(K155&lt;&gt;0,I155&lt;&gt;0),(IF(C155="B",1,-1))*(K155-J155)*I155-AK155*2,0)*$D155</f>
        <v>39150.000000000007</v>
      </c>
      <c r="N155" s="120">
        <f t="shared" ref="N155" ca="1" si="472">K155/$J155</f>
        <v>0.19444444444444442</v>
      </c>
      <c r="O155" s="164">
        <f t="shared" ref="O155" ca="1" si="473">J155*(1+$O$6*IF(C155="B",-1,1))</f>
        <v>9</v>
      </c>
      <c r="P155" s="168">
        <f t="shared" ca="1" si="245"/>
        <v>48600</v>
      </c>
      <c r="Q155" s="168" t="e">
        <f t="shared" ref="Q155" ca="1" si="474">(W155-J155)*I155*IF(C155="B",1,-1)*IF(K155=0,1,0)</f>
        <v>#N/A</v>
      </c>
      <c r="R155" s="184">
        <f t="shared" ca="1" si="403"/>
        <v>0</v>
      </c>
      <c r="S155" s="124">
        <f t="shared" ref="S155" ca="1" si="475">(1-$S$6)*J155</f>
        <v>0.71999999999999986</v>
      </c>
      <c r="T155" s="120">
        <f ca="1">VLOOKUP(TRIM($F155),Reference!B:C,2,0)</f>
        <v>221.6</v>
      </c>
      <c r="U155" s="181">
        <f t="shared" ref="U155" ca="1" si="476">AC155</f>
        <v>0</v>
      </c>
      <c r="V155" s="125" t="str">
        <f t="shared" ca="1" si="395"/>
        <v>TATAPOWER22APR320CE</v>
      </c>
      <c r="W155" s="166" t="e">
        <f ca="1">VLOOKUP($V155,Reference!BA:BD,4,0)</f>
        <v>#N/A</v>
      </c>
      <c r="X155" s="168">
        <f t="shared" ca="1" si="396"/>
        <v>0</v>
      </c>
      <c r="Y155" s="168">
        <f t="shared" ca="1" si="397"/>
        <v>0</v>
      </c>
      <c r="Z155" s="168">
        <f t="shared" ca="1" si="404"/>
        <v>0</v>
      </c>
      <c r="AA155" s="168">
        <f t="shared" ca="1" si="398"/>
        <v>0</v>
      </c>
      <c r="AB155" s="168">
        <f t="shared" ca="1" si="399"/>
        <v>0</v>
      </c>
      <c r="AC155" s="124">
        <f t="shared" ca="1" si="400"/>
        <v>0</v>
      </c>
      <c r="AD155" s="120">
        <f t="shared" ref="AD155" ca="1" si="477">(H155-TODAY())/365</f>
        <v>-0.21369863013698631</v>
      </c>
      <c r="AE155" s="120">
        <f t="shared" ref="AE155" ca="1" si="478">IF(I155&lt;&gt;0,20,0)</f>
        <v>20</v>
      </c>
      <c r="AF155" s="120"/>
      <c r="AG155" s="120"/>
      <c r="AH155" s="120">
        <f t="shared" ca="1" si="246"/>
        <v>24.3</v>
      </c>
      <c r="AI155" s="120"/>
      <c r="AJ155" s="120">
        <f t="shared" ca="1" si="247"/>
        <v>0</v>
      </c>
      <c r="AK155" s="120"/>
      <c r="AL155" s="147"/>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c r="BS155" s="13">
        <v>2</v>
      </c>
      <c r="BT155" s="128">
        <v>44491</v>
      </c>
      <c r="BU155" s="121" t="s">
        <v>8</v>
      </c>
      <c r="BV155" s="120" t="s">
        <v>482</v>
      </c>
      <c r="BW155" s="121" t="s">
        <v>502</v>
      </c>
      <c r="BX155" s="120">
        <v>18400</v>
      </c>
      <c r="BY155" s="120">
        <v>41.7</v>
      </c>
      <c r="BZ155" s="120">
        <v>47.945</v>
      </c>
      <c r="CA155" s="124">
        <v>-3216.6708800000001</v>
      </c>
      <c r="CB155" s="120">
        <v>1.1497601918465228</v>
      </c>
      <c r="CC155" s="120">
        <v>500</v>
      </c>
      <c r="CD155" s="120">
        <v>50</v>
      </c>
      <c r="CE155" s="124">
        <v>20850</v>
      </c>
    </row>
    <row r="156" spans="1:83" hidden="1">
      <c r="A156" s="13">
        <f t="shared" ca="1" si="244"/>
        <v>149</v>
      </c>
      <c r="B156" s="128">
        <v>44657</v>
      </c>
      <c r="C156" s="121" t="s">
        <v>8</v>
      </c>
      <c r="D156" s="121">
        <v>1</v>
      </c>
      <c r="E156" s="120" t="s">
        <v>481</v>
      </c>
      <c r="F156" s="121" t="s">
        <v>130</v>
      </c>
      <c r="G156" s="120">
        <v>280</v>
      </c>
      <c r="H156" s="122">
        <v>44679</v>
      </c>
      <c r="I156" s="120">
        <v>6750</v>
      </c>
      <c r="J156" s="120">
        <v>22.2</v>
      </c>
      <c r="K156" s="120">
        <v>12.25</v>
      </c>
      <c r="L156" s="124">
        <f t="shared" ref="L156:L157" ca="1" si="479">IF(AND(K156&lt;&gt;0,I156&lt;&gt;0),(IF(C156="B",1,-1))*(K156-J156)*I156-AK156*2,0)*$D156*IF(MONTH($B$2)=MONTH($H156),1,0)</f>
        <v>0</v>
      </c>
      <c r="M156" s="124">
        <f t="shared" ref="M156:M157" ca="1" si="480">IF(AND(K156&lt;&gt;0,I156&lt;&gt;0),(IF(C156="B",1,-1))*(K156-J156)*I156-AK156*2,0)*$D156</f>
        <v>67162.5</v>
      </c>
      <c r="N156" s="120">
        <f t="shared" ref="N156:N157" ca="1" si="481">K156/$J156</f>
        <v>0.55180180180180183</v>
      </c>
      <c r="O156" s="164">
        <f t="shared" ref="O156:O157" ca="1" si="482">J156*(1+$O$6*IF(C156="B",-1,1))</f>
        <v>27.75</v>
      </c>
      <c r="P156" s="168">
        <f t="shared" ca="1" si="245"/>
        <v>149850</v>
      </c>
      <c r="Q156" s="168" t="e">
        <f t="shared" ref="Q156:Q157" ca="1" si="483">(W156-J156)*I156*IF(C156="B",1,-1)*IF(K156=0,1,0)</f>
        <v>#N/A</v>
      </c>
      <c r="R156" s="184">
        <f t="shared" ca="1" si="403"/>
        <v>0</v>
      </c>
      <c r="S156" s="124">
        <f t="shared" ref="S156:S157" ca="1" si="484">(1-$S$6)*J156</f>
        <v>2.2199999999999993</v>
      </c>
      <c r="T156" s="120">
        <f ca="1">VLOOKUP(TRIM($F156),Reference!B:C,2,0)</f>
        <v>221.6</v>
      </c>
      <c r="U156" s="181">
        <f t="shared" ref="U156:U157" ca="1" si="485">AC156</f>
        <v>0</v>
      </c>
      <c r="V156" s="125" t="str">
        <f t="shared" ca="1" si="395"/>
        <v>TATAPOWER22APR280CE</v>
      </c>
      <c r="W156" s="166" t="e">
        <f ca="1">VLOOKUP($V156,Reference!BA:BD,4,0)</f>
        <v>#N/A</v>
      </c>
      <c r="X156" s="168">
        <f t="shared" ca="1" si="396"/>
        <v>0</v>
      </c>
      <c r="Y156" s="168">
        <f t="shared" ca="1" si="397"/>
        <v>0</v>
      </c>
      <c r="Z156" s="168">
        <f t="shared" ca="1" si="404"/>
        <v>0</v>
      </c>
      <c r="AA156" s="168">
        <f t="shared" ca="1" si="398"/>
        <v>0</v>
      </c>
      <c r="AB156" s="168">
        <f t="shared" ca="1" si="399"/>
        <v>0</v>
      </c>
      <c r="AC156" s="124">
        <f t="shared" ca="1" si="400"/>
        <v>0</v>
      </c>
      <c r="AD156" s="120">
        <f t="shared" ref="AD156:AD157" ca="1" si="486">(H156-TODAY())/365</f>
        <v>-0.21369863013698631</v>
      </c>
      <c r="AE156" s="120">
        <f t="shared" ref="AE156:AE157" ca="1" si="487">IF(I156&lt;&gt;0,20,0)</f>
        <v>20</v>
      </c>
      <c r="AF156" s="120"/>
      <c r="AG156" s="120"/>
      <c r="AH156" s="120">
        <f t="shared" ca="1" si="246"/>
        <v>74.924999999999997</v>
      </c>
      <c r="AI156" s="120"/>
      <c r="AJ156" s="120">
        <f t="shared" ca="1" si="247"/>
        <v>0</v>
      </c>
      <c r="AK156" s="120"/>
      <c r="AL156" s="147"/>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c r="BS156" s="13">
        <v>2</v>
      </c>
      <c r="BT156" s="128">
        <v>44491</v>
      </c>
      <c r="BU156" s="121" t="s">
        <v>8</v>
      </c>
      <c r="BV156" s="120" t="s">
        <v>482</v>
      </c>
      <c r="BW156" s="121" t="s">
        <v>502</v>
      </c>
      <c r="BX156" s="120">
        <v>18400</v>
      </c>
      <c r="BY156" s="120">
        <v>41.7</v>
      </c>
      <c r="BZ156" s="120">
        <v>47.945</v>
      </c>
      <c r="CA156" s="124">
        <v>-3216.6708800000001</v>
      </c>
      <c r="CB156" s="120">
        <v>1.1497601918465228</v>
      </c>
      <c r="CC156" s="120">
        <v>500</v>
      </c>
      <c r="CD156" s="120">
        <v>50</v>
      </c>
      <c r="CE156" s="124">
        <v>20850</v>
      </c>
    </row>
    <row r="157" spans="1:83" hidden="1">
      <c r="A157" s="13">
        <f t="shared" ca="1" si="244"/>
        <v>150</v>
      </c>
      <c r="B157" s="128">
        <v>44657</v>
      </c>
      <c r="C157" s="121" t="s">
        <v>6</v>
      </c>
      <c r="D157" s="121">
        <v>0</v>
      </c>
      <c r="E157" s="120" t="s">
        <v>632</v>
      </c>
      <c r="F157" s="121" t="s">
        <v>90</v>
      </c>
      <c r="G157" s="120"/>
      <c r="H157" s="122">
        <v>44679</v>
      </c>
      <c r="I157" s="120">
        <v>150</v>
      </c>
      <c r="J157" s="120">
        <v>3736.25</v>
      </c>
      <c r="K157" s="120">
        <v>3557.3</v>
      </c>
      <c r="L157" s="124">
        <f t="shared" ca="1" si="479"/>
        <v>0</v>
      </c>
      <c r="M157" s="124">
        <f t="shared" ca="1" si="480"/>
        <v>0</v>
      </c>
      <c r="N157" s="120">
        <f t="shared" ca="1" si="481"/>
        <v>0.95210438273670128</v>
      </c>
      <c r="O157" s="164">
        <f t="shared" ca="1" si="482"/>
        <v>2802.1875</v>
      </c>
      <c r="P157" s="168">
        <f t="shared" ca="1" si="245"/>
        <v>0</v>
      </c>
      <c r="Q157" s="168" t="e">
        <f t="shared" ca="1" si="483"/>
        <v>#N/A</v>
      </c>
      <c r="R157" s="184">
        <f t="shared" ca="1" si="403"/>
        <v>0</v>
      </c>
      <c r="S157" s="124">
        <f t="shared" ca="1" si="484"/>
        <v>373.62499999999994</v>
      </c>
      <c r="T157" s="120">
        <f ca="1">VLOOKUP(TRIM($F157),Reference!B:C,2,0)</f>
        <v>3003</v>
      </c>
      <c r="U157" s="181">
        <f t="shared" ca="1" si="485"/>
        <v>0</v>
      </c>
      <c r="V157" s="125" t="str">
        <f t="shared" ca="1" si="395"/>
        <v>TCS22APRFUT</v>
      </c>
      <c r="W157" s="166" t="e">
        <f ca="1">VLOOKUP($V157,Reference!BA:BD,4,0)</f>
        <v>#N/A</v>
      </c>
      <c r="X157" s="168">
        <f t="shared" ca="1" si="396"/>
        <v>0</v>
      </c>
      <c r="Y157" s="168">
        <f t="shared" ca="1" si="397"/>
        <v>0</v>
      </c>
      <c r="Z157" s="168">
        <f t="shared" ca="1" si="404"/>
        <v>0</v>
      </c>
      <c r="AA157" s="168">
        <f t="shared" ca="1" si="398"/>
        <v>0</v>
      </c>
      <c r="AB157" s="168">
        <f t="shared" ca="1" si="399"/>
        <v>0</v>
      </c>
      <c r="AC157" s="124">
        <f t="shared" ca="1" si="400"/>
        <v>0</v>
      </c>
      <c r="AD157" s="120">
        <f t="shared" ca="1" si="486"/>
        <v>-0.21369863013698631</v>
      </c>
      <c r="AE157" s="120">
        <f t="shared" ca="1" si="487"/>
        <v>20</v>
      </c>
      <c r="AF157" s="120"/>
      <c r="AG157" s="120"/>
      <c r="AH157" s="120">
        <f t="shared" ca="1" si="246"/>
        <v>0</v>
      </c>
      <c r="AI157" s="120"/>
      <c r="AJ157" s="120">
        <f t="shared" ca="1" si="247"/>
        <v>0</v>
      </c>
      <c r="AK157" s="120"/>
      <c r="AL157" s="147"/>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c r="BS157" s="13">
        <v>2</v>
      </c>
      <c r="BT157" s="128">
        <v>44491</v>
      </c>
      <c r="BU157" s="121" t="s">
        <v>8</v>
      </c>
      <c r="BV157" s="120" t="s">
        <v>482</v>
      </c>
      <c r="BW157" s="121" t="s">
        <v>502</v>
      </c>
      <c r="BX157" s="120">
        <v>18400</v>
      </c>
      <c r="BY157" s="120">
        <v>41.7</v>
      </c>
      <c r="BZ157" s="120">
        <v>47.945</v>
      </c>
      <c r="CA157" s="124">
        <v>-3216.6708800000001</v>
      </c>
      <c r="CB157" s="120">
        <v>1.1497601918465228</v>
      </c>
      <c r="CC157" s="120">
        <v>500</v>
      </c>
      <c r="CD157" s="120">
        <v>50</v>
      </c>
      <c r="CE157" s="124">
        <v>20850</v>
      </c>
    </row>
    <row r="158" spans="1:83" hidden="1">
      <c r="A158" s="13">
        <f t="shared" ca="1" si="244"/>
        <v>151</v>
      </c>
      <c r="B158" s="128">
        <v>44657</v>
      </c>
      <c r="C158" s="121" t="s">
        <v>8</v>
      </c>
      <c r="D158" s="121">
        <v>1</v>
      </c>
      <c r="E158" s="120" t="s">
        <v>481</v>
      </c>
      <c r="F158" s="121" t="s">
        <v>130</v>
      </c>
      <c r="G158" s="120">
        <v>310</v>
      </c>
      <c r="H158" s="122">
        <v>44679</v>
      </c>
      <c r="I158" s="120">
        <v>6750</v>
      </c>
      <c r="J158" s="120">
        <v>6.3</v>
      </c>
      <c r="K158" s="120">
        <v>1.3</v>
      </c>
      <c r="L158" s="124">
        <f t="shared" ref="L158" ca="1" si="488">IF(AND(K158&lt;&gt;0,I158&lt;&gt;0),(IF(C158="B",1,-1))*(K158-J158)*I158-AK158*2,0)*$D158*IF(MONTH($B$2)=MONTH($H158),1,0)</f>
        <v>0</v>
      </c>
      <c r="M158" s="124">
        <f t="shared" ref="M158" ca="1" si="489">IF(AND(K158&lt;&gt;0,I158&lt;&gt;0),(IF(C158="B",1,-1))*(K158-J158)*I158-AK158*2,0)*$D158</f>
        <v>33750</v>
      </c>
      <c r="N158" s="120">
        <f t="shared" ref="N158" ca="1" si="490">K158/$J158</f>
        <v>0.20634920634920637</v>
      </c>
      <c r="O158" s="164">
        <f t="shared" ref="O158" ca="1" si="491">J158*(1+$O$6*IF(C158="B",-1,1))</f>
        <v>7.875</v>
      </c>
      <c r="P158" s="168">
        <f t="shared" ca="1" si="245"/>
        <v>42525</v>
      </c>
      <c r="Q158" s="168" t="e">
        <f t="shared" ref="Q158" ca="1" si="492">(W158-J158)*I158*IF(C158="B",1,-1)*IF(K158=0,1,0)</f>
        <v>#N/A</v>
      </c>
      <c r="R158" s="184">
        <f t="shared" ca="1" si="403"/>
        <v>0</v>
      </c>
      <c r="S158" s="124">
        <f t="shared" ref="S158" ca="1" si="493">(1-$S$6)*J158</f>
        <v>0.62999999999999989</v>
      </c>
      <c r="T158" s="120">
        <f ca="1">VLOOKUP(TRIM($F158),Reference!B:C,2,0)</f>
        <v>221.6</v>
      </c>
      <c r="U158" s="181">
        <f t="shared" ref="U158" ca="1" si="494">AC158</f>
        <v>0</v>
      </c>
      <c r="V158" s="125" t="str">
        <f t="shared" ca="1" si="395"/>
        <v>TATAPOWER22APR310CE</v>
      </c>
      <c r="W158" s="166" t="e">
        <f ca="1">VLOOKUP($V158,Reference!BA:BD,4,0)</f>
        <v>#N/A</v>
      </c>
      <c r="X158" s="168">
        <f t="shared" ca="1" si="396"/>
        <v>0</v>
      </c>
      <c r="Y158" s="168">
        <f t="shared" ca="1" si="397"/>
        <v>0</v>
      </c>
      <c r="Z158" s="168">
        <f t="shared" ca="1" si="404"/>
        <v>0</v>
      </c>
      <c r="AA158" s="168">
        <f t="shared" ca="1" si="398"/>
        <v>0</v>
      </c>
      <c r="AB158" s="168">
        <f t="shared" ca="1" si="399"/>
        <v>0</v>
      </c>
      <c r="AC158" s="124">
        <f t="shared" ca="1" si="400"/>
        <v>0</v>
      </c>
      <c r="AD158" s="120">
        <f t="shared" ref="AD158" ca="1" si="495">(H158-TODAY())/365</f>
        <v>-0.21369863013698631</v>
      </c>
      <c r="AE158" s="120">
        <f t="shared" ref="AE158" ca="1" si="496">IF(I158&lt;&gt;0,20,0)</f>
        <v>20</v>
      </c>
      <c r="AF158" s="120"/>
      <c r="AG158" s="120"/>
      <c r="AH158" s="120">
        <f t="shared" ca="1" si="246"/>
        <v>21.262499999999999</v>
      </c>
      <c r="AI158" s="120"/>
      <c r="AJ158" s="120">
        <f t="shared" ca="1" si="247"/>
        <v>0</v>
      </c>
      <c r="AK158" s="120"/>
      <c r="AL158" s="147"/>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c r="BS158" s="13">
        <v>2</v>
      </c>
      <c r="BT158" s="128">
        <v>44491</v>
      </c>
      <c r="BU158" s="121" t="s">
        <v>8</v>
      </c>
      <c r="BV158" s="120" t="s">
        <v>482</v>
      </c>
      <c r="BW158" s="121" t="s">
        <v>502</v>
      </c>
      <c r="BX158" s="120">
        <v>18400</v>
      </c>
      <c r="BY158" s="120">
        <v>41.7</v>
      </c>
      <c r="BZ158" s="120">
        <v>47.945</v>
      </c>
      <c r="CA158" s="124">
        <v>-3216.6708800000001</v>
      </c>
      <c r="CB158" s="120">
        <v>1.1497601918465228</v>
      </c>
      <c r="CC158" s="120">
        <v>500</v>
      </c>
      <c r="CD158" s="120">
        <v>50</v>
      </c>
      <c r="CE158" s="124">
        <v>20850</v>
      </c>
    </row>
    <row r="159" spans="1:83" hidden="1">
      <c r="A159" s="13">
        <f t="shared" ca="1" si="244"/>
        <v>152</v>
      </c>
      <c r="B159" s="128">
        <v>44657</v>
      </c>
      <c r="C159" s="121" t="s">
        <v>8</v>
      </c>
      <c r="D159" s="121">
        <v>1</v>
      </c>
      <c r="E159" s="120" t="s">
        <v>481</v>
      </c>
      <c r="F159" s="121" t="s">
        <v>130</v>
      </c>
      <c r="G159" s="120">
        <v>295</v>
      </c>
      <c r="H159" s="122">
        <v>44679</v>
      </c>
      <c r="I159" s="120">
        <v>6750</v>
      </c>
      <c r="J159" s="120">
        <v>6.9</v>
      </c>
      <c r="K159" s="120">
        <v>1.65</v>
      </c>
      <c r="L159" s="124">
        <f t="shared" ref="L159:L160" ca="1" si="497">IF(AND(K159&lt;&gt;0,I159&lt;&gt;0),(IF(C159="B",1,-1))*(K159-J159)*I159-AK159*2,0)*$D159*IF(MONTH($B$2)=MONTH($H159),1,0)</f>
        <v>0</v>
      </c>
      <c r="M159" s="124">
        <f t="shared" ref="M159:M160" ca="1" si="498">IF(AND(K159&lt;&gt;0,I159&lt;&gt;0),(IF(C159="B",1,-1))*(K159-J159)*I159-AK159*2,0)*$D159</f>
        <v>35437.5</v>
      </c>
      <c r="N159" s="120">
        <f t="shared" ref="N159:N160" ca="1" si="499">K159/$J159</f>
        <v>0.23913043478260868</v>
      </c>
      <c r="O159" s="164">
        <f t="shared" ref="O159:O160" ca="1" si="500">J159*(1+$O$6*IF(C159="B",-1,1))</f>
        <v>8.625</v>
      </c>
      <c r="P159" s="168">
        <f t="shared" ca="1" si="245"/>
        <v>46575</v>
      </c>
      <c r="Q159" s="168" t="e">
        <f t="shared" ref="Q159:Q160" ca="1" si="501">(W159-J159)*I159*IF(C159="B",1,-1)*IF(K159=0,1,0)</f>
        <v>#N/A</v>
      </c>
      <c r="R159" s="184">
        <f t="shared" ca="1" si="403"/>
        <v>0</v>
      </c>
      <c r="S159" s="124">
        <f t="shared" ref="S159:S160" ca="1" si="502">(1-$S$6)*J159</f>
        <v>0.68999999999999984</v>
      </c>
      <c r="T159" s="120">
        <f ca="1">VLOOKUP(TRIM($F159),Reference!B:C,2,0)</f>
        <v>221.6</v>
      </c>
      <c r="U159" s="181">
        <f t="shared" ref="U159:U160" ca="1" si="503">AC159</f>
        <v>0</v>
      </c>
      <c r="V159" s="125" t="str">
        <f t="shared" ca="1" si="395"/>
        <v>TATAPOWER22APR295CE</v>
      </c>
      <c r="W159" s="166" t="e">
        <f ca="1">VLOOKUP($V159,Reference!BA:BD,4,0)</f>
        <v>#N/A</v>
      </c>
      <c r="X159" s="168">
        <f t="shared" ca="1" si="396"/>
        <v>0</v>
      </c>
      <c r="Y159" s="168">
        <f t="shared" ca="1" si="397"/>
        <v>0</v>
      </c>
      <c r="Z159" s="168">
        <f t="shared" ca="1" si="404"/>
        <v>0</v>
      </c>
      <c r="AA159" s="168">
        <f t="shared" ca="1" si="398"/>
        <v>0</v>
      </c>
      <c r="AB159" s="168">
        <f t="shared" ca="1" si="399"/>
        <v>0</v>
      </c>
      <c r="AC159" s="124">
        <f t="shared" ca="1" si="400"/>
        <v>0</v>
      </c>
      <c r="AD159" s="120">
        <f t="shared" ref="AD159:AD160" ca="1" si="504">(H159-TODAY())/365</f>
        <v>-0.21369863013698631</v>
      </c>
      <c r="AE159" s="120">
        <f t="shared" ref="AE159:AE160" ca="1" si="505">IF(I159&lt;&gt;0,20,0)</f>
        <v>20</v>
      </c>
      <c r="AF159" s="120"/>
      <c r="AG159" s="120"/>
      <c r="AH159" s="120">
        <f t="shared" ca="1" si="246"/>
        <v>23.287500000000001</v>
      </c>
      <c r="AI159" s="120"/>
      <c r="AJ159" s="120">
        <f t="shared" ca="1" si="247"/>
        <v>0</v>
      </c>
      <c r="AK159" s="120"/>
      <c r="AL159" s="147"/>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c r="BS159" s="13">
        <v>2</v>
      </c>
      <c r="BT159" s="128">
        <v>44491</v>
      </c>
      <c r="BU159" s="121" t="s">
        <v>8</v>
      </c>
      <c r="BV159" s="120" t="s">
        <v>482</v>
      </c>
      <c r="BW159" s="121" t="s">
        <v>502</v>
      </c>
      <c r="BX159" s="120">
        <v>18400</v>
      </c>
      <c r="BY159" s="120">
        <v>41.7</v>
      </c>
      <c r="BZ159" s="120">
        <v>47.945</v>
      </c>
      <c r="CA159" s="124">
        <v>-3216.6708800000001</v>
      </c>
      <c r="CB159" s="120">
        <v>1.1497601918465228</v>
      </c>
      <c r="CC159" s="120">
        <v>500</v>
      </c>
      <c r="CD159" s="120">
        <v>50</v>
      </c>
      <c r="CE159" s="124">
        <v>20850</v>
      </c>
    </row>
    <row r="160" spans="1:83" hidden="1">
      <c r="A160" s="13">
        <f t="shared" ref="A160:A227" ca="1" si="506">A159+1</f>
        <v>153</v>
      </c>
      <c r="B160" s="128">
        <v>44657</v>
      </c>
      <c r="C160" s="121" t="s">
        <v>8</v>
      </c>
      <c r="D160" s="121">
        <v>1</v>
      </c>
      <c r="E160" s="120" t="s">
        <v>481</v>
      </c>
      <c r="F160" s="121" t="s">
        <v>130</v>
      </c>
      <c r="G160" s="120">
        <v>300</v>
      </c>
      <c r="H160" s="122">
        <v>44679</v>
      </c>
      <c r="I160" s="120">
        <v>6750</v>
      </c>
      <c r="J160" s="120">
        <v>5.7</v>
      </c>
      <c r="K160" s="120">
        <v>0.75</v>
      </c>
      <c r="L160" s="124">
        <f t="shared" ca="1" si="497"/>
        <v>0</v>
      </c>
      <c r="M160" s="124">
        <f t="shared" ca="1" si="498"/>
        <v>33412.5</v>
      </c>
      <c r="N160" s="120">
        <f t="shared" ca="1" si="499"/>
        <v>0.13157894736842105</v>
      </c>
      <c r="O160" s="164">
        <f t="shared" ca="1" si="500"/>
        <v>7.125</v>
      </c>
      <c r="P160" s="168">
        <f t="shared" ref="P160:P227" ca="1" si="507">$J160*$I160*$D160</f>
        <v>38475</v>
      </c>
      <c r="Q160" s="168" t="e">
        <f t="shared" ca="1" si="501"/>
        <v>#N/A</v>
      </c>
      <c r="R160" s="184">
        <f t="shared" ca="1" si="403"/>
        <v>0</v>
      </c>
      <c r="S160" s="124">
        <f t="shared" ca="1" si="502"/>
        <v>0.56999999999999984</v>
      </c>
      <c r="T160" s="120">
        <f ca="1">VLOOKUP(TRIM($F160),Reference!B:C,2,0)</f>
        <v>221.6</v>
      </c>
      <c r="U160" s="181">
        <f t="shared" ca="1" si="503"/>
        <v>0</v>
      </c>
      <c r="V160" s="125" t="str">
        <f t="shared" ca="1" si="395"/>
        <v>TATAPOWER22APR300CE</v>
      </c>
      <c r="W160" s="166" t="e">
        <f ca="1">VLOOKUP($V160,Reference!BA:BD,4,0)</f>
        <v>#N/A</v>
      </c>
      <c r="X160" s="168">
        <f t="shared" ca="1" si="396"/>
        <v>0</v>
      </c>
      <c r="Y160" s="168">
        <f t="shared" ca="1" si="397"/>
        <v>0</v>
      </c>
      <c r="Z160" s="168">
        <f t="shared" ca="1" si="404"/>
        <v>0</v>
      </c>
      <c r="AA160" s="168">
        <f t="shared" ca="1" si="398"/>
        <v>0</v>
      </c>
      <c r="AB160" s="168">
        <f t="shared" ca="1" si="399"/>
        <v>0</v>
      </c>
      <c r="AC160" s="124">
        <f t="shared" ca="1" si="400"/>
        <v>0</v>
      </c>
      <c r="AD160" s="120">
        <f t="shared" ca="1" si="504"/>
        <v>-0.21369863013698631</v>
      </c>
      <c r="AE160" s="120">
        <f t="shared" ca="1" si="505"/>
        <v>20</v>
      </c>
      <c r="AF160" s="120"/>
      <c r="AG160" s="120"/>
      <c r="AH160" s="120">
        <f t="shared" ref="AH160:AH227" ca="1" si="508">0.05%*$P160*(IF($C160="B",0,1))</f>
        <v>19.237500000000001</v>
      </c>
      <c r="AI160" s="120"/>
      <c r="AJ160" s="120">
        <f t="shared" ref="AJ160:AJ227" ca="1" si="509">300/10000000*$P160*(IF($C160="B",1,0))</f>
        <v>0</v>
      </c>
      <c r="AK160" s="120"/>
      <c r="AL160" s="147"/>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c r="BS160" s="13">
        <v>2</v>
      </c>
      <c r="BT160" s="128">
        <v>44491</v>
      </c>
      <c r="BU160" s="121" t="s">
        <v>8</v>
      </c>
      <c r="BV160" s="120" t="s">
        <v>482</v>
      </c>
      <c r="BW160" s="121" t="s">
        <v>502</v>
      </c>
      <c r="BX160" s="120">
        <v>18400</v>
      </c>
      <c r="BY160" s="120">
        <v>41.7</v>
      </c>
      <c r="BZ160" s="120">
        <v>47.945</v>
      </c>
      <c r="CA160" s="124">
        <v>-3216.6708800000001</v>
      </c>
      <c r="CB160" s="120">
        <v>1.1497601918465228</v>
      </c>
      <c r="CC160" s="120">
        <v>500</v>
      </c>
      <c r="CD160" s="120">
        <v>50</v>
      </c>
      <c r="CE160" s="124">
        <v>20850</v>
      </c>
    </row>
    <row r="161" spans="1:83" hidden="1">
      <c r="A161" s="13">
        <f t="shared" ca="1" si="506"/>
        <v>154</v>
      </c>
      <c r="B161" s="128">
        <v>44657</v>
      </c>
      <c r="C161" s="121" t="s">
        <v>8</v>
      </c>
      <c r="D161" s="121">
        <v>1</v>
      </c>
      <c r="E161" s="120" t="s">
        <v>481</v>
      </c>
      <c r="F161" s="121" t="s">
        <v>130</v>
      </c>
      <c r="G161" s="120">
        <v>280</v>
      </c>
      <c r="H161" s="122">
        <v>44679</v>
      </c>
      <c r="I161" s="120">
        <v>6750</v>
      </c>
      <c r="J161" s="120">
        <v>12.45</v>
      </c>
      <c r="K161" s="120">
        <v>0.7</v>
      </c>
      <c r="L161" s="124">
        <f t="shared" ref="L161:L167" ca="1" si="510">IF(AND(K161&lt;&gt;0,I161&lt;&gt;0),(IF(C161="B",1,-1))*(K161-J161)*I161-AK161*2,0)*$D161*IF(MONTH($B$2)=MONTH($H161),1,0)</f>
        <v>0</v>
      </c>
      <c r="M161" s="124">
        <f t="shared" ref="M161:M167" ca="1" si="511">IF(AND(K161&lt;&gt;0,I161&lt;&gt;0),(IF(C161="B",1,-1))*(K161-J161)*I161-AK161*2,0)*$D161</f>
        <v>79312.5</v>
      </c>
      <c r="N161" s="120">
        <f t="shared" ref="N161:N167" ca="1" si="512">K161/$J161</f>
        <v>5.6224899598393573E-2</v>
      </c>
      <c r="O161" s="164">
        <f t="shared" ref="O161:O167" ca="1" si="513">J161*(1+$O$6*IF(C161="B",-1,1))</f>
        <v>15.5625</v>
      </c>
      <c r="P161" s="168">
        <f t="shared" ca="1" si="507"/>
        <v>84037.5</v>
      </c>
      <c r="Q161" s="168" t="e">
        <f t="shared" ref="Q161:Q167" ca="1" si="514">(W161-J161)*I161*IF(C161="B",1,-1)*IF(K161=0,1,0)</f>
        <v>#N/A</v>
      </c>
      <c r="R161" s="184">
        <f t="shared" ca="1" si="403"/>
        <v>0</v>
      </c>
      <c r="S161" s="124">
        <f t="shared" ref="S161:S167" ca="1" si="515">(1-$S$6)*J161</f>
        <v>1.2449999999999997</v>
      </c>
      <c r="T161" s="120">
        <f ca="1">VLOOKUP(TRIM($F161),Reference!B:C,2,0)</f>
        <v>221.6</v>
      </c>
      <c r="U161" s="181">
        <f t="shared" ref="U161:U167" ca="1" si="516">AC161</f>
        <v>0</v>
      </c>
      <c r="V161" s="125" t="str">
        <f t="shared" ca="1" si="395"/>
        <v>TATAPOWER22APR280CE</v>
      </c>
      <c r="W161" s="166" t="e">
        <f ca="1">VLOOKUP($V161,Reference!BA:BD,4,0)</f>
        <v>#N/A</v>
      </c>
      <c r="X161" s="168">
        <f t="shared" ca="1" si="396"/>
        <v>0</v>
      </c>
      <c r="Y161" s="168">
        <f t="shared" ca="1" si="397"/>
        <v>0</v>
      </c>
      <c r="Z161" s="168">
        <f t="shared" ca="1" si="404"/>
        <v>0</v>
      </c>
      <c r="AA161" s="168">
        <f t="shared" ca="1" si="398"/>
        <v>0</v>
      </c>
      <c r="AB161" s="168">
        <f t="shared" ca="1" si="399"/>
        <v>0</v>
      </c>
      <c r="AC161" s="124">
        <f t="shared" ca="1" si="400"/>
        <v>0</v>
      </c>
      <c r="AD161" s="120">
        <f t="shared" ref="AD161:AD167" ca="1" si="517">(H161-TODAY())/365</f>
        <v>-0.21369863013698631</v>
      </c>
      <c r="AE161" s="120">
        <f t="shared" ref="AE161:AE167" ca="1" si="518">IF(I161&lt;&gt;0,20,0)</f>
        <v>20</v>
      </c>
      <c r="AF161" s="120"/>
      <c r="AG161" s="120"/>
      <c r="AH161" s="120">
        <f t="shared" ca="1" si="508"/>
        <v>42.018750000000004</v>
      </c>
      <c r="AI161" s="120"/>
      <c r="AJ161" s="120">
        <f t="shared" ca="1" si="509"/>
        <v>0</v>
      </c>
      <c r="AK161" s="120"/>
      <c r="AL161" s="147"/>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c r="BS161" s="13">
        <v>2</v>
      </c>
      <c r="BT161" s="128">
        <v>44491</v>
      </c>
      <c r="BU161" s="121" t="s">
        <v>8</v>
      </c>
      <c r="BV161" s="120" t="s">
        <v>482</v>
      </c>
      <c r="BW161" s="121" t="s">
        <v>502</v>
      </c>
      <c r="BX161" s="120">
        <v>18400</v>
      </c>
      <c r="BY161" s="120">
        <v>41.7</v>
      </c>
      <c r="BZ161" s="120">
        <v>47.945</v>
      </c>
      <c r="CA161" s="124">
        <v>-3216.6708800000001</v>
      </c>
      <c r="CB161" s="120">
        <v>1.1497601918465228</v>
      </c>
      <c r="CC161" s="120">
        <v>500</v>
      </c>
      <c r="CD161" s="120">
        <v>50</v>
      </c>
      <c r="CE161" s="124">
        <v>20850</v>
      </c>
    </row>
    <row r="162" spans="1:83" hidden="1">
      <c r="A162" s="13">
        <f t="shared" ca="1" si="506"/>
        <v>155</v>
      </c>
      <c r="B162" s="128">
        <v>44663</v>
      </c>
      <c r="C162" s="121" t="s">
        <v>6</v>
      </c>
      <c r="D162" s="121">
        <v>0</v>
      </c>
      <c r="E162" s="120" t="s">
        <v>632</v>
      </c>
      <c r="F162" s="121" t="s">
        <v>126</v>
      </c>
      <c r="G162" s="120"/>
      <c r="H162" s="122">
        <v>44679</v>
      </c>
      <c r="I162" s="120">
        <v>3750</v>
      </c>
      <c r="J162" s="120">
        <v>234.9</v>
      </c>
      <c r="K162" s="120">
        <v>219.05</v>
      </c>
      <c r="L162" s="124">
        <f t="shared" ca="1" si="510"/>
        <v>0</v>
      </c>
      <c r="M162" s="124">
        <f t="shared" ca="1" si="511"/>
        <v>0</v>
      </c>
      <c r="N162" s="120">
        <f t="shared" ca="1" si="512"/>
        <v>0.93252447850149001</v>
      </c>
      <c r="O162" s="164">
        <f t="shared" ca="1" si="513"/>
        <v>176.17500000000001</v>
      </c>
      <c r="P162" s="168">
        <f t="shared" ca="1" si="507"/>
        <v>0</v>
      </c>
      <c r="Q162" s="168" t="e">
        <f t="shared" ca="1" si="514"/>
        <v>#N/A</v>
      </c>
      <c r="R162" s="184">
        <f t="shared" ca="1" si="403"/>
        <v>0</v>
      </c>
      <c r="S162" s="124">
        <f t="shared" ca="1" si="515"/>
        <v>23.489999999999995</v>
      </c>
      <c r="T162" s="120">
        <f ca="1">VLOOKUP(TRIM($F162),Reference!B:C,2,0)</f>
        <v>162.15</v>
      </c>
      <c r="U162" s="181">
        <f t="shared" ca="1" si="516"/>
        <v>0</v>
      </c>
      <c r="V162" s="125" t="str">
        <f t="shared" ca="1" si="395"/>
        <v>IEX22APRFUT</v>
      </c>
      <c r="W162" s="166" t="e">
        <f ca="1">VLOOKUP($V162,Reference!BA:BD,4,0)</f>
        <v>#N/A</v>
      </c>
      <c r="X162" s="168">
        <f t="shared" ca="1" si="396"/>
        <v>0</v>
      </c>
      <c r="Y162" s="168">
        <f t="shared" ca="1" si="397"/>
        <v>0</v>
      </c>
      <c r="Z162" s="168">
        <f t="shared" ca="1" si="404"/>
        <v>0</v>
      </c>
      <c r="AA162" s="168">
        <f t="shared" ca="1" si="398"/>
        <v>0</v>
      </c>
      <c r="AB162" s="168">
        <f t="shared" ca="1" si="399"/>
        <v>0</v>
      </c>
      <c r="AC162" s="124">
        <f t="shared" ca="1" si="400"/>
        <v>0</v>
      </c>
      <c r="AD162" s="120">
        <f t="shared" ca="1" si="517"/>
        <v>-0.21369863013698631</v>
      </c>
      <c r="AE162" s="120">
        <f t="shared" ca="1" si="518"/>
        <v>20</v>
      </c>
      <c r="AF162" s="120"/>
      <c r="AG162" s="120"/>
      <c r="AH162" s="120">
        <f t="shared" ca="1" si="508"/>
        <v>0</v>
      </c>
      <c r="AI162" s="120"/>
      <c r="AJ162" s="120">
        <f t="shared" ca="1" si="509"/>
        <v>0</v>
      </c>
      <c r="AK162" s="120"/>
      <c r="AL162" s="147"/>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c r="BS162" s="13">
        <v>2</v>
      </c>
      <c r="BT162" s="128">
        <v>44491</v>
      </c>
      <c r="BU162" s="121" t="s">
        <v>8</v>
      </c>
      <c r="BV162" s="120" t="s">
        <v>482</v>
      </c>
      <c r="BW162" s="121" t="s">
        <v>502</v>
      </c>
      <c r="BX162" s="120">
        <v>18400</v>
      </c>
      <c r="BY162" s="120">
        <v>41.7</v>
      </c>
      <c r="BZ162" s="120">
        <v>47.945</v>
      </c>
      <c r="CA162" s="124">
        <v>-3216.6708800000001</v>
      </c>
      <c r="CB162" s="120">
        <v>1.1497601918465228</v>
      </c>
      <c r="CC162" s="120">
        <v>500</v>
      </c>
      <c r="CD162" s="120">
        <v>50</v>
      </c>
      <c r="CE162" s="124">
        <v>20850</v>
      </c>
    </row>
    <row r="163" spans="1:83" hidden="1">
      <c r="A163" s="13">
        <f t="shared" ca="1" si="506"/>
        <v>156</v>
      </c>
      <c r="B163" s="128">
        <v>44663</v>
      </c>
      <c r="C163" s="121" t="s">
        <v>6</v>
      </c>
      <c r="D163" s="121">
        <v>1</v>
      </c>
      <c r="E163" s="120" t="s">
        <v>632</v>
      </c>
      <c r="F163" s="121" t="s">
        <v>502</v>
      </c>
      <c r="G163" s="120"/>
      <c r="H163" s="122">
        <v>44679</v>
      </c>
      <c r="I163" s="120">
        <v>50</v>
      </c>
      <c r="J163" s="120">
        <v>17549.150000000001</v>
      </c>
      <c r="K163" s="120">
        <v>17140</v>
      </c>
      <c r="L163" s="124">
        <f t="shared" ca="1" si="510"/>
        <v>0</v>
      </c>
      <c r="M163" s="124">
        <f t="shared" ca="1" si="511"/>
        <v>-20457.500000000073</v>
      </c>
      <c r="N163" s="120">
        <f t="shared" ca="1" si="512"/>
        <v>0.97668548049335713</v>
      </c>
      <c r="O163" s="164">
        <f t="shared" ca="1" si="513"/>
        <v>13161.862500000001</v>
      </c>
      <c r="P163" s="168">
        <f t="shared" ca="1" si="507"/>
        <v>877457.50000000012</v>
      </c>
      <c r="Q163" s="168" t="e">
        <f t="shared" ca="1" si="514"/>
        <v>#N/A</v>
      </c>
      <c r="R163" s="184">
        <f t="shared" ca="1" si="403"/>
        <v>0</v>
      </c>
      <c r="S163" s="124">
        <f t="shared" ca="1" si="515"/>
        <v>1754.9149999999997</v>
      </c>
      <c r="T163" s="120">
        <f ca="1">VLOOKUP(TRIM($F163),Reference!B:C,2,0)</f>
        <v>15938.65</v>
      </c>
      <c r="U163" s="181">
        <f t="shared" ca="1" si="516"/>
        <v>0</v>
      </c>
      <c r="V163" s="125" t="str">
        <f t="shared" ca="1" si="395"/>
        <v>NIFTY22APRFUT</v>
      </c>
      <c r="W163" s="166" t="e">
        <f ca="1">VLOOKUP($V163,Reference!BA:BD,4,0)</f>
        <v>#N/A</v>
      </c>
      <c r="X163" s="168">
        <f t="shared" ca="1" si="396"/>
        <v>0</v>
      </c>
      <c r="Y163" s="168">
        <f t="shared" ca="1" si="397"/>
        <v>0</v>
      </c>
      <c r="Z163" s="168">
        <f t="shared" ca="1" si="404"/>
        <v>0</v>
      </c>
      <c r="AA163" s="168">
        <f t="shared" ca="1" si="398"/>
        <v>0</v>
      </c>
      <c r="AB163" s="168">
        <f t="shared" ca="1" si="399"/>
        <v>0</v>
      </c>
      <c r="AC163" s="124">
        <f t="shared" ca="1" si="400"/>
        <v>0</v>
      </c>
      <c r="AD163" s="120">
        <f t="shared" ca="1" si="517"/>
        <v>-0.21369863013698631</v>
      </c>
      <c r="AE163" s="120">
        <f t="shared" ca="1" si="518"/>
        <v>20</v>
      </c>
      <c r="AF163" s="120"/>
      <c r="AG163" s="120"/>
      <c r="AH163" s="120">
        <f t="shared" ca="1" si="508"/>
        <v>0</v>
      </c>
      <c r="AI163" s="120"/>
      <c r="AJ163" s="120">
        <f t="shared" ca="1" si="509"/>
        <v>26.323725000000003</v>
      </c>
      <c r="AK163" s="120"/>
      <c r="AL163" s="147"/>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c r="BS163" s="13">
        <v>2</v>
      </c>
      <c r="BT163" s="128">
        <v>44491</v>
      </c>
      <c r="BU163" s="121" t="s">
        <v>8</v>
      </c>
      <c r="BV163" s="120" t="s">
        <v>482</v>
      </c>
      <c r="BW163" s="121" t="s">
        <v>502</v>
      </c>
      <c r="BX163" s="120">
        <v>18400</v>
      </c>
      <c r="BY163" s="120">
        <v>41.7</v>
      </c>
      <c r="BZ163" s="120">
        <v>47.945</v>
      </c>
      <c r="CA163" s="124">
        <v>-3216.6708800000001</v>
      </c>
      <c r="CB163" s="120">
        <v>1.1497601918465228</v>
      </c>
      <c r="CC163" s="120">
        <v>500</v>
      </c>
      <c r="CD163" s="120">
        <v>50</v>
      </c>
      <c r="CE163" s="124">
        <v>20850</v>
      </c>
    </row>
    <row r="164" spans="1:83" hidden="1">
      <c r="A164" s="13">
        <f t="shared" ca="1" si="506"/>
        <v>157</v>
      </c>
      <c r="B164" s="128">
        <v>44663</v>
      </c>
      <c r="C164" s="121" t="s">
        <v>8</v>
      </c>
      <c r="D164" s="121">
        <v>1</v>
      </c>
      <c r="E164" s="120" t="s">
        <v>481</v>
      </c>
      <c r="F164" s="121" t="s">
        <v>126</v>
      </c>
      <c r="G164" s="120">
        <v>250</v>
      </c>
      <c r="H164" s="122">
        <v>44679</v>
      </c>
      <c r="I164" s="120">
        <v>3750</v>
      </c>
      <c r="J164" s="120">
        <v>4</v>
      </c>
      <c r="K164" s="120">
        <v>0.05</v>
      </c>
      <c r="L164" s="124">
        <f t="shared" ca="1" si="510"/>
        <v>0</v>
      </c>
      <c r="M164" s="124">
        <f t="shared" ca="1" si="511"/>
        <v>14812.5</v>
      </c>
      <c r="N164" s="120">
        <f t="shared" ca="1" si="512"/>
        <v>1.2500000000000001E-2</v>
      </c>
      <c r="O164" s="164">
        <f t="shared" ca="1" si="513"/>
        <v>5</v>
      </c>
      <c r="P164" s="168">
        <f t="shared" ca="1" si="507"/>
        <v>15000</v>
      </c>
      <c r="Q164" s="168" t="e">
        <f t="shared" ca="1" si="514"/>
        <v>#N/A</v>
      </c>
      <c r="R164" s="184">
        <f t="shared" ca="1" si="403"/>
        <v>0</v>
      </c>
      <c r="S164" s="124">
        <f t="shared" ca="1" si="515"/>
        <v>0.39999999999999991</v>
      </c>
      <c r="T164" s="120">
        <f ca="1">VLOOKUP(TRIM($F164),Reference!B:C,2,0)</f>
        <v>162.15</v>
      </c>
      <c r="U164" s="181">
        <f t="shared" ca="1" si="516"/>
        <v>0</v>
      </c>
      <c r="V164" s="125" t="str">
        <f t="shared" ca="1" si="395"/>
        <v>IEX22APR250CE</v>
      </c>
      <c r="W164" s="166" t="e">
        <f ca="1">VLOOKUP($V164,Reference!BA:BD,4,0)</f>
        <v>#N/A</v>
      </c>
      <c r="X164" s="168">
        <f t="shared" ca="1" si="396"/>
        <v>0</v>
      </c>
      <c r="Y164" s="168">
        <f t="shared" ca="1" si="397"/>
        <v>0</v>
      </c>
      <c r="Z164" s="168">
        <f t="shared" ca="1" si="404"/>
        <v>0</v>
      </c>
      <c r="AA164" s="168">
        <f t="shared" ca="1" si="398"/>
        <v>0</v>
      </c>
      <c r="AB164" s="168">
        <f t="shared" ca="1" si="399"/>
        <v>0</v>
      </c>
      <c r="AC164" s="124">
        <f t="shared" ca="1" si="400"/>
        <v>0</v>
      </c>
      <c r="AD164" s="120">
        <f t="shared" ca="1" si="517"/>
        <v>-0.21369863013698631</v>
      </c>
      <c r="AE164" s="120">
        <f t="shared" ca="1" si="518"/>
        <v>20</v>
      </c>
      <c r="AF164" s="120"/>
      <c r="AG164" s="120"/>
      <c r="AH164" s="120">
        <f t="shared" ca="1" si="508"/>
        <v>7.5</v>
      </c>
      <c r="AI164" s="120"/>
      <c r="AJ164" s="120">
        <f t="shared" ca="1" si="509"/>
        <v>0</v>
      </c>
      <c r="AK164" s="120"/>
      <c r="AL164" s="147"/>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c r="BS164" s="13">
        <v>2</v>
      </c>
      <c r="BT164" s="128">
        <v>44491</v>
      </c>
      <c r="BU164" s="121" t="s">
        <v>8</v>
      </c>
      <c r="BV164" s="120" t="s">
        <v>482</v>
      </c>
      <c r="BW164" s="121" t="s">
        <v>502</v>
      </c>
      <c r="BX164" s="120">
        <v>18400</v>
      </c>
      <c r="BY164" s="120">
        <v>41.7</v>
      </c>
      <c r="BZ164" s="120">
        <v>47.945</v>
      </c>
      <c r="CA164" s="124">
        <v>-3216.6708800000001</v>
      </c>
      <c r="CB164" s="120">
        <v>1.1497601918465228</v>
      </c>
      <c r="CC164" s="120">
        <v>500</v>
      </c>
      <c r="CD164" s="120">
        <v>50</v>
      </c>
      <c r="CE164" s="124">
        <v>20850</v>
      </c>
    </row>
    <row r="165" spans="1:83" hidden="1">
      <c r="A165" s="13">
        <f t="shared" ca="1" si="506"/>
        <v>158</v>
      </c>
      <c r="B165" s="128">
        <v>44664</v>
      </c>
      <c r="C165" s="121" t="s">
        <v>8</v>
      </c>
      <c r="D165" s="121">
        <v>1</v>
      </c>
      <c r="E165" s="120" t="s">
        <v>481</v>
      </c>
      <c r="F165" s="121" t="s">
        <v>130</v>
      </c>
      <c r="G165" s="120">
        <v>300</v>
      </c>
      <c r="H165" s="122">
        <v>44679</v>
      </c>
      <c r="I165" s="120">
        <v>6750</v>
      </c>
      <c r="J165" s="120">
        <v>2.85</v>
      </c>
      <c r="K165" s="120">
        <v>0.75</v>
      </c>
      <c r="L165" s="124">
        <f t="shared" ca="1" si="510"/>
        <v>0</v>
      </c>
      <c r="M165" s="124">
        <f t="shared" ca="1" si="511"/>
        <v>14175</v>
      </c>
      <c r="N165" s="120">
        <f t="shared" ca="1" si="512"/>
        <v>0.26315789473684209</v>
      </c>
      <c r="O165" s="164">
        <f t="shared" ca="1" si="513"/>
        <v>3.5625</v>
      </c>
      <c r="P165" s="168">
        <f t="shared" ca="1" si="507"/>
        <v>19237.5</v>
      </c>
      <c r="Q165" s="168" t="e">
        <f t="shared" ca="1" si="514"/>
        <v>#N/A</v>
      </c>
      <c r="R165" s="184">
        <f t="shared" ca="1" si="403"/>
        <v>0</v>
      </c>
      <c r="S165" s="124">
        <f t="shared" ca="1" si="515"/>
        <v>0.28499999999999992</v>
      </c>
      <c r="T165" s="120">
        <f ca="1">VLOOKUP(TRIM($F165),Reference!B:C,2,0)</f>
        <v>221.6</v>
      </c>
      <c r="U165" s="181">
        <f t="shared" ca="1" si="516"/>
        <v>0</v>
      </c>
      <c r="V165" s="125" t="str">
        <f t="shared" ca="1" si="395"/>
        <v>TATAPOWER22APR300CE</v>
      </c>
      <c r="W165" s="166" t="e">
        <f ca="1">VLOOKUP($V165,Reference!BA:BD,4,0)</f>
        <v>#N/A</v>
      </c>
      <c r="X165" s="168">
        <f t="shared" ca="1" si="396"/>
        <v>0</v>
      </c>
      <c r="Y165" s="168">
        <f t="shared" ca="1" si="397"/>
        <v>0</v>
      </c>
      <c r="Z165" s="168">
        <f t="shared" ca="1" si="404"/>
        <v>0</v>
      </c>
      <c r="AA165" s="168">
        <f t="shared" ca="1" si="398"/>
        <v>0</v>
      </c>
      <c r="AB165" s="168">
        <f t="shared" ca="1" si="399"/>
        <v>0</v>
      </c>
      <c r="AC165" s="124">
        <f t="shared" ca="1" si="400"/>
        <v>0</v>
      </c>
      <c r="AD165" s="120">
        <f t="shared" ca="1" si="517"/>
        <v>-0.21369863013698631</v>
      </c>
      <c r="AE165" s="120">
        <f t="shared" ca="1" si="518"/>
        <v>20</v>
      </c>
      <c r="AF165" s="120"/>
      <c r="AG165" s="120"/>
      <c r="AH165" s="120">
        <f t="shared" ca="1" si="508"/>
        <v>9.6187500000000004</v>
      </c>
      <c r="AI165" s="120"/>
      <c r="AJ165" s="120">
        <f t="shared" ca="1" si="509"/>
        <v>0</v>
      </c>
      <c r="AK165" s="120"/>
      <c r="AL165" s="147"/>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c r="BS165" s="13">
        <v>2</v>
      </c>
      <c r="BT165" s="128">
        <v>44491</v>
      </c>
      <c r="BU165" s="121" t="s">
        <v>8</v>
      </c>
      <c r="BV165" s="120" t="s">
        <v>482</v>
      </c>
      <c r="BW165" s="121" t="s">
        <v>502</v>
      </c>
      <c r="BX165" s="120">
        <v>18400</v>
      </c>
      <c r="BY165" s="120">
        <v>41.7</v>
      </c>
      <c r="BZ165" s="120">
        <v>47.945</v>
      </c>
      <c r="CA165" s="124">
        <v>-3216.6708800000001</v>
      </c>
      <c r="CB165" s="120">
        <v>1.1497601918465228</v>
      </c>
      <c r="CC165" s="120">
        <v>500</v>
      </c>
      <c r="CD165" s="120">
        <v>50</v>
      </c>
      <c r="CE165" s="124">
        <v>20850</v>
      </c>
    </row>
    <row r="166" spans="1:83" hidden="1">
      <c r="A166" s="13">
        <f t="shared" ca="1" si="506"/>
        <v>159</v>
      </c>
      <c r="B166" s="128">
        <v>44670</v>
      </c>
      <c r="C166" s="121" t="s">
        <v>8</v>
      </c>
      <c r="D166" s="121">
        <v>1</v>
      </c>
      <c r="E166" s="120" t="s">
        <v>481</v>
      </c>
      <c r="F166" s="121" t="s">
        <v>284</v>
      </c>
      <c r="G166" s="120">
        <v>470</v>
      </c>
      <c r="H166" s="122">
        <v>44679</v>
      </c>
      <c r="I166" s="120">
        <v>2850</v>
      </c>
      <c r="J166" s="120">
        <v>2.4500000000000002</v>
      </c>
      <c r="K166" s="120">
        <v>1.75</v>
      </c>
      <c r="L166" s="124">
        <f t="shared" ca="1" si="510"/>
        <v>0</v>
      </c>
      <c r="M166" s="124">
        <f t="shared" ca="1" si="511"/>
        <v>1995.0000000000005</v>
      </c>
      <c r="N166" s="120">
        <f t="shared" ca="1" si="512"/>
        <v>0.71428571428571419</v>
      </c>
      <c r="O166" s="164">
        <f t="shared" ca="1" si="513"/>
        <v>3.0625</v>
      </c>
      <c r="P166" s="168">
        <f t="shared" ca="1" si="507"/>
        <v>6982.5000000000009</v>
      </c>
      <c r="Q166" s="168" t="e">
        <f t="shared" ca="1" si="514"/>
        <v>#N/A</v>
      </c>
      <c r="R166" s="184">
        <f t="shared" ca="1" si="403"/>
        <v>0</v>
      </c>
      <c r="S166" s="124">
        <f t="shared" ca="1" si="515"/>
        <v>0.24499999999999997</v>
      </c>
      <c r="T166" s="120">
        <f ca="1">VLOOKUP(TRIM($F166),Reference!B:C,2,0)</f>
        <v>428</v>
      </c>
      <c r="U166" s="181">
        <f t="shared" ca="1" si="516"/>
        <v>0</v>
      </c>
      <c r="V166" s="125" t="str">
        <f t="shared" ca="1" si="395"/>
        <v>TATAMOTORS22APR470CE</v>
      </c>
      <c r="W166" s="166" t="e">
        <f ca="1">VLOOKUP($V166,Reference!BA:BD,4,0)</f>
        <v>#N/A</v>
      </c>
      <c r="X166" s="168">
        <f t="shared" ca="1" si="396"/>
        <v>0</v>
      </c>
      <c r="Y166" s="168">
        <f t="shared" ca="1" si="397"/>
        <v>0</v>
      </c>
      <c r="Z166" s="168">
        <f t="shared" ca="1" si="404"/>
        <v>0</v>
      </c>
      <c r="AA166" s="168">
        <f t="shared" ca="1" si="398"/>
        <v>0</v>
      </c>
      <c r="AB166" s="168">
        <f t="shared" ca="1" si="399"/>
        <v>0</v>
      </c>
      <c r="AC166" s="124">
        <f t="shared" ca="1" si="400"/>
        <v>0</v>
      </c>
      <c r="AD166" s="120">
        <f t="shared" ca="1" si="517"/>
        <v>-0.21369863013698631</v>
      </c>
      <c r="AE166" s="120">
        <f t="shared" ca="1" si="518"/>
        <v>20</v>
      </c>
      <c r="AF166" s="120"/>
      <c r="AG166" s="120"/>
      <c r="AH166" s="120">
        <f t="shared" ca="1" si="508"/>
        <v>3.4912500000000004</v>
      </c>
      <c r="AI166" s="120"/>
      <c r="AJ166" s="120">
        <f t="shared" ca="1" si="509"/>
        <v>0</v>
      </c>
      <c r="AK166" s="120"/>
      <c r="AL166" s="147"/>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c r="BS166" s="13">
        <v>2</v>
      </c>
      <c r="BT166" s="128">
        <v>44491</v>
      </c>
      <c r="BU166" s="121" t="s">
        <v>8</v>
      </c>
      <c r="BV166" s="120" t="s">
        <v>482</v>
      </c>
      <c r="BW166" s="121" t="s">
        <v>502</v>
      </c>
      <c r="BX166" s="120">
        <v>18400</v>
      </c>
      <c r="BY166" s="120">
        <v>41.7</v>
      </c>
      <c r="BZ166" s="120">
        <v>47.945</v>
      </c>
      <c r="CA166" s="124">
        <v>-3216.6708800000001</v>
      </c>
      <c r="CB166" s="120">
        <v>1.1497601918465228</v>
      </c>
      <c r="CC166" s="120">
        <v>500</v>
      </c>
      <c r="CD166" s="120">
        <v>50</v>
      </c>
      <c r="CE166" s="124">
        <v>20850</v>
      </c>
    </row>
    <row r="167" spans="1:83" hidden="1">
      <c r="A167" s="13">
        <f t="shared" ca="1" si="506"/>
        <v>160</v>
      </c>
      <c r="B167" s="128">
        <v>44652</v>
      </c>
      <c r="C167" s="121" t="s">
        <v>6</v>
      </c>
      <c r="D167" s="121">
        <v>1</v>
      </c>
      <c r="E167" s="120" t="s">
        <v>632</v>
      </c>
      <c r="F167" s="121" t="s">
        <v>506</v>
      </c>
      <c r="G167" s="120"/>
      <c r="H167" s="122">
        <v>44679</v>
      </c>
      <c r="I167" s="120">
        <v>25</v>
      </c>
      <c r="J167" s="120">
        <v>37157.65</v>
      </c>
      <c r="K167" s="120">
        <v>36064.75</v>
      </c>
      <c r="L167" s="124">
        <f t="shared" ca="1" si="510"/>
        <v>0</v>
      </c>
      <c r="M167" s="124">
        <f t="shared" ca="1" si="511"/>
        <v>-27322.500000000036</v>
      </c>
      <c r="N167" s="120">
        <f t="shared" ca="1" si="512"/>
        <v>0.97058748333115785</v>
      </c>
      <c r="O167" s="164">
        <f t="shared" ca="1" si="513"/>
        <v>27868.237500000003</v>
      </c>
      <c r="P167" s="168">
        <f t="shared" ca="1" si="507"/>
        <v>928941.25</v>
      </c>
      <c r="Q167" s="168" t="e">
        <f t="shared" ca="1" si="514"/>
        <v>#N/A</v>
      </c>
      <c r="R167" s="184">
        <f t="shared" ca="1" si="403"/>
        <v>0</v>
      </c>
      <c r="S167" s="124">
        <f t="shared" ca="1" si="515"/>
        <v>3715.7649999999994</v>
      </c>
      <c r="T167" s="120">
        <f ca="1">VLOOKUP(TRIM($F167),Reference!B:C,2,0)</f>
        <v>34651.199999999997</v>
      </c>
      <c r="U167" s="181">
        <f t="shared" ca="1" si="516"/>
        <v>0</v>
      </c>
      <c r="V167" s="125" t="str">
        <f t="shared" ca="1" si="395"/>
        <v>BANKNIFTY22APRFUT</v>
      </c>
      <c r="W167" s="166" t="e">
        <f ca="1">VLOOKUP($V167,Reference!BA:BD,4,0)</f>
        <v>#N/A</v>
      </c>
      <c r="X167" s="168">
        <f t="shared" ca="1" si="396"/>
        <v>0</v>
      </c>
      <c r="Y167" s="168">
        <f t="shared" ca="1" si="397"/>
        <v>0</v>
      </c>
      <c r="Z167" s="168">
        <f t="shared" ca="1" si="404"/>
        <v>0</v>
      </c>
      <c r="AA167" s="168">
        <f t="shared" ca="1" si="398"/>
        <v>0</v>
      </c>
      <c r="AB167" s="168">
        <f t="shared" ca="1" si="399"/>
        <v>0</v>
      </c>
      <c r="AC167" s="124">
        <f t="shared" ca="1" si="400"/>
        <v>0</v>
      </c>
      <c r="AD167" s="120">
        <f t="shared" ca="1" si="517"/>
        <v>-0.21369863013698631</v>
      </c>
      <c r="AE167" s="120">
        <f t="shared" ca="1" si="518"/>
        <v>20</v>
      </c>
      <c r="AF167" s="120"/>
      <c r="AG167" s="120"/>
      <c r="AH167" s="120">
        <f t="shared" ca="1" si="508"/>
        <v>0</v>
      </c>
      <c r="AI167" s="120"/>
      <c r="AJ167" s="120">
        <f t="shared" ca="1" si="509"/>
        <v>27.868237499999999</v>
      </c>
      <c r="AK167" s="120"/>
      <c r="AL167" s="147"/>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c r="BS167" s="13">
        <v>2</v>
      </c>
      <c r="BT167" s="128">
        <v>44491</v>
      </c>
      <c r="BU167" s="121" t="s">
        <v>8</v>
      </c>
      <c r="BV167" s="120" t="s">
        <v>482</v>
      </c>
      <c r="BW167" s="121" t="s">
        <v>502</v>
      </c>
      <c r="BX167" s="120">
        <v>18400</v>
      </c>
      <c r="BY167" s="120">
        <v>41.7</v>
      </c>
      <c r="BZ167" s="120">
        <v>47.945</v>
      </c>
      <c r="CA167" s="124">
        <v>-3216.6708800000001</v>
      </c>
      <c r="CB167" s="120">
        <v>1.1497601918465228</v>
      </c>
      <c r="CC167" s="120">
        <v>500</v>
      </c>
      <c r="CD167" s="120">
        <v>50</v>
      </c>
      <c r="CE167" s="124">
        <v>20850</v>
      </c>
    </row>
    <row r="168" spans="1:83" hidden="1">
      <c r="A168" s="13">
        <f t="shared" ca="1" si="506"/>
        <v>161</v>
      </c>
      <c r="B168" s="128">
        <v>44671</v>
      </c>
      <c r="C168" s="121" t="s">
        <v>8</v>
      </c>
      <c r="D168" s="121">
        <v>1</v>
      </c>
      <c r="E168" s="120" t="s">
        <v>481</v>
      </c>
      <c r="F168" s="121" t="s">
        <v>284</v>
      </c>
      <c r="G168" s="120">
        <v>500</v>
      </c>
      <c r="H168" s="122">
        <v>44707</v>
      </c>
      <c r="I168" s="120">
        <v>2850</v>
      </c>
      <c r="J168" s="120">
        <v>5.6</v>
      </c>
      <c r="K168" s="120">
        <v>1.05</v>
      </c>
      <c r="L168" s="124">
        <f t="shared" ref="L168" ca="1" si="519">IF(AND(K168&lt;&gt;0,I168&lt;&gt;0),(IF(C168="B",1,-1))*(K168-J168)*I168-AK168*2,0)*$D168*IF(MONTH($B$2)=MONTH($H168),1,0)</f>
        <v>0</v>
      </c>
      <c r="M168" s="124">
        <f t="shared" ref="M168" ca="1" si="520">IF(AND(K168&lt;&gt;0,I168&lt;&gt;0),(IF(C168="B",1,-1))*(K168-J168)*I168-AK168*2,0)*$D168</f>
        <v>12967.5</v>
      </c>
      <c r="N168" s="120">
        <f t="shared" ref="N168" ca="1" si="521">K168/$J168</f>
        <v>0.18750000000000003</v>
      </c>
      <c r="O168" s="164">
        <f t="shared" ref="O168" ca="1" si="522">J168*(1+$O$6*IF(C168="B",-1,1))</f>
        <v>7</v>
      </c>
      <c r="P168" s="168">
        <f t="shared" ca="1" si="507"/>
        <v>15959.999999999998</v>
      </c>
      <c r="Q168" s="168" t="e">
        <f t="shared" ref="Q168" ca="1" si="523">(W168-J168)*I168*IF(C168="B",1,-1)*IF(K168=0,1,0)</f>
        <v>#N/A</v>
      </c>
      <c r="R168" s="184">
        <f t="shared" ca="1" si="403"/>
        <v>0</v>
      </c>
      <c r="S168" s="124">
        <f t="shared" ref="S168" ca="1" si="524">(1-$S$6)*J168</f>
        <v>0.55999999999999983</v>
      </c>
      <c r="T168" s="120">
        <f ca="1">VLOOKUP(TRIM($F168),Reference!B:C,2,0)</f>
        <v>428</v>
      </c>
      <c r="U168" s="181">
        <f t="shared" ref="U168" ca="1" si="525">AC168</f>
        <v>0</v>
      </c>
      <c r="V168" s="125" t="str">
        <f t="shared" ca="1" si="395"/>
        <v>TATAMOTORS22MAY500CE</v>
      </c>
      <c r="W168" s="166" t="e">
        <f ca="1">VLOOKUP($V168,Reference!BA:BD,4,0)</f>
        <v>#N/A</v>
      </c>
      <c r="X168" s="168">
        <f t="shared" ca="1" si="396"/>
        <v>0</v>
      </c>
      <c r="Y168" s="168">
        <f t="shared" ca="1" si="397"/>
        <v>0</v>
      </c>
      <c r="Z168" s="168">
        <f t="shared" ca="1" si="404"/>
        <v>0</v>
      </c>
      <c r="AA168" s="168">
        <f t="shared" ca="1" si="398"/>
        <v>0</v>
      </c>
      <c r="AB168" s="168">
        <f t="shared" ca="1" si="399"/>
        <v>0</v>
      </c>
      <c r="AC168" s="124">
        <f t="shared" ca="1" si="400"/>
        <v>0</v>
      </c>
      <c r="AD168" s="120">
        <f t="shared" ref="AD168" ca="1" si="526">(H168-TODAY())/365</f>
        <v>-0.13698630136986301</v>
      </c>
      <c r="AE168" s="120">
        <f t="shared" ref="AE168" ca="1" si="527">IF(I168&lt;&gt;0,20,0)</f>
        <v>20</v>
      </c>
      <c r="AF168" s="120"/>
      <c r="AG168" s="120"/>
      <c r="AH168" s="120">
        <f t="shared" ca="1" si="508"/>
        <v>7.9799999999999995</v>
      </c>
      <c r="AI168" s="120"/>
      <c r="AJ168" s="120">
        <f t="shared" ca="1" si="509"/>
        <v>0</v>
      </c>
      <c r="AK168" s="120"/>
      <c r="AL168" s="147"/>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c r="BS168" s="13">
        <v>2</v>
      </c>
      <c r="BT168" s="128">
        <v>44491</v>
      </c>
      <c r="BU168" s="121" t="s">
        <v>8</v>
      </c>
      <c r="BV168" s="120" t="s">
        <v>482</v>
      </c>
      <c r="BW168" s="121" t="s">
        <v>502</v>
      </c>
      <c r="BX168" s="120">
        <v>18400</v>
      </c>
      <c r="BY168" s="120">
        <v>41.7</v>
      </c>
      <c r="BZ168" s="120">
        <v>47.945</v>
      </c>
      <c r="CA168" s="124">
        <v>-3216.6708800000001</v>
      </c>
      <c r="CB168" s="120">
        <v>1.1497601918465228</v>
      </c>
      <c r="CC168" s="120">
        <v>500</v>
      </c>
      <c r="CD168" s="120">
        <v>50</v>
      </c>
      <c r="CE168" s="124">
        <v>20850</v>
      </c>
    </row>
    <row r="169" spans="1:83" hidden="1">
      <c r="A169" s="13">
        <f t="shared" ca="1" si="506"/>
        <v>162</v>
      </c>
      <c r="B169" s="128">
        <v>44671</v>
      </c>
      <c r="C169" s="121" t="s">
        <v>6</v>
      </c>
      <c r="D169" s="121">
        <v>1</v>
      </c>
      <c r="E169" s="120" t="s">
        <v>482</v>
      </c>
      <c r="F169" s="121" t="s">
        <v>284</v>
      </c>
      <c r="G169" s="120">
        <v>410</v>
      </c>
      <c r="H169" s="122">
        <v>44679</v>
      </c>
      <c r="I169" s="120">
        <v>2850</v>
      </c>
      <c r="J169" s="120">
        <v>2.35</v>
      </c>
      <c r="K169" s="120">
        <v>0.05</v>
      </c>
      <c r="L169" s="124">
        <f t="shared" ref="L169:L172" ca="1" si="528">IF(AND(K169&lt;&gt;0,I169&lt;&gt;0),(IF(C169="B",1,-1))*(K169-J169)*I169-AK169*2,0)*$D169*IF(MONTH($B$2)=MONTH($H169),1,0)</f>
        <v>0</v>
      </c>
      <c r="M169" s="124">
        <f t="shared" ref="M169:M172" ca="1" si="529">IF(AND(K169&lt;&gt;0,I169&lt;&gt;0),(IF(C169="B",1,-1))*(K169-J169)*I169-AK169*2,0)*$D169</f>
        <v>-6555.0000000000009</v>
      </c>
      <c r="N169" s="120">
        <f t="shared" ref="N169:N172" ca="1" si="530">K169/$J169</f>
        <v>2.1276595744680851E-2</v>
      </c>
      <c r="O169" s="164">
        <f t="shared" ref="O169:O172" ca="1" si="531">J169*(1+$O$6*IF(C169="B",-1,1))</f>
        <v>1.7625000000000002</v>
      </c>
      <c r="P169" s="168">
        <f ca="1">$J169*$I169*$D169</f>
        <v>6697.5</v>
      </c>
      <c r="Q169" s="168" t="e">
        <f t="shared" ref="Q169:Q172" ca="1" si="532">(W169-J169)*I169*IF(C169="B",1,-1)*IF(K169=0,1,0)</f>
        <v>#N/A</v>
      </c>
      <c r="R169" s="184">
        <f t="shared" ca="1" si="403"/>
        <v>0</v>
      </c>
      <c r="S169" s="124">
        <f t="shared" ref="S169:S172" ca="1" si="533">(1-$S$6)*J169</f>
        <v>0.23499999999999996</v>
      </c>
      <c r="T169" s="120">
        <f ca="1">VLOOKUP(TRIM($F169),Reference!B:C,2,0)</f>
        <v>428</v>
      </c>
      <c r="U169" s="181">
        <f t="shared" ref="U169:U172" ca="1" si="534">AC169</f>
        <v>0</v>
      </c>
      <c r="V169" s="125" t="str">
        <f t="shared" ca="1" si="395"/>
        <v>TATAMOTORS22APR410PE</v>
      </c>
      <c r="W169" s="166" t="e">
        <f ca="1">VLOOKUP($V169,Reference!BA:BD,4,0)</f>
        <v>#N/A</v>
      </c>
      <c r="X169" s="168">
        <f t="shared" ca="1" si="396"/>
        <v>0</v>
      </c>
      <c r="Y169" s="168">
        <f t="shared" ca="1" si="397"/>
        <v>0</v>
      </c>
      <c r="Z169" s="168">
        <f t="shared" ca="1" si="404"/>
        <v>0</v>
      </c>
      <c r="AA169" s="168">
        <f t="shared" ca="1" si="398"/>
        <v>0</v>
      </c>
      <c r="AB169" s="168">
        <f t="shared" ca="1" si="399"/>
        <v>0</v>
      </c>
      <c r="AC169" s="124">
        <f t="shared" ca="1" si="400"/>
        <v>0</v>
      </c>
      <c r="AD169" s="120">
        <f t="shared" ref="AD169:AD172" ca="1" si="535">(H169-TODAY())/365</f>
        <v>-0.21369863013698631</v>
      </c>
      <c r="AE169" s="120">
        <f t="shared" ref="AE169:AE172" ca="1" si="536">IF(I169&lt;&gt;0,20,0)</f>
        <v>20</v>
      </c>
      <c r="AF169" s="120"/>
      <c r="AG169" s="120"/>
      <c r="AH169" s="120">
        <f t="shared" ca="1" si="508"/>
        <v>0</v>
      </c>
      <c r="AI169" s="120"/>
      <c r="AJ169" s="120">
        <f t="shared" ca="1" si="509"/>
        <v>0.20092499999999999</v>
      </c>
      <c r="AK169" s="120"/>
      <c r="AL169" s="147"/>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c r="BS169" s="13">
        <v>2</v>
      </c>
      <c r="BT169" s="128">
        <v>44491</v>
      </c>
      <c r="BU169" s="121" t="s">
        <v>8</v>
      </c>
      <c r="BV169" s="120" t="s">
        <v>482</v>
      </c>
      <c r="BW169" s="121" t="s">
        <v>502</v>
      </c>
      <c r="BX169" s="120">
        <v>18400</v>
      </c>
      <c r="BY169" s="120">
        <v>41.7</v>
      </c>
      <c r="BZ169" s="120">
        <v>47.945</v>
      </c>
      <c r="CA169" s="124">
        <v>-3216.6708800000001</v>
      </c>
      <c r="CB169" s="120">
        <v>1.1497601918465228</v>
      </c>
      <c r="CC169" s="120">
        <v>500</v>
      </c>
      <c r="CD169" s="120">
        <v>50</v>
      </c>
      <c r="CE169" s="124">
        <v>20850</v>
      </c>
    </row>
    <row r="170" spans="1:83" hidden="1">
      <c r="A170" s="13">
        <f t="shared" ca="1" si="506"/>
        <v>163</v>
      </c>
      <c r="B170" s="128">
        <v>44671</v>
      </c>
      <c r="C170" s="121" t="s">
        <v>6</v>
      </c>
      <c r="D170" s="121">
        <v>1</v>
      </c>
      <c r="E170" s="120" t="s">
        <v>632</v>
      </c>
      <c r="F170" s="121" t="s">
        <v>90</v>
      </c>
      <c r="G170" s="120"/>
      <c r="H170" s="122">
        <v>44679</v>
      </c>
      <c r="I170" s="120">
        <v>150</v>
      </c>
      <c r="J170" s="120">
        <v>3549.35</v>
      </c>
      <c r="K170" s="120">
        <v>3557.45</v>
      </c>
      <c r="L170" s="124">
        <f t="shared" ca="1" si="528"/>
        <v>0</v>
      </c>
      <c r="M170" s="124">
        <f t="shared" ca="1" si="529"/>
        <v>1214.9999999999864</v>
      </c>
      <c r="N170" s="120">
        <f t="shared" ca="1" si="530"/>
        <v>1.002282107991604</v>
      </c>
      <c r="O170" s="164">
        <f t="shared" ca="1" si="531"/>
        <v>2662.0124999999998</v>
      </c>
      <c r="P170" s="168">
        <f t="shared" ca="1" si="507"/>
        <v>532402.5</v>
      </c>
      <c r="Q170" s="168" t="e">
        <f t="shared" ca="1" si="532"/>
        <v>#N/A</v>
      </c>
      <c r="R170" s="184">
        <f t="shared" ca="1" si="403"/>
        <v>0</v>
      </c>
      <c r="S170" s="124">
        <f t="shared" ca="1" si="533"/>
        <v>354.93499999999989</v>
      </c>
      <c r="T170" s="120">
        <f ca="1">VLOOKUP(TRIM($F170),Reference!B:C,2,0)</f>
        <v>3003</v>
      </c>
      <c r="U170" s="181">
        <f t="shared" ca="1" si="534"/>
        <v>0</v>
      </c>
      <c r="V170" s="125" t="str">
        <f t="shared" ca="1" si="395"/>
        <v>TCS22APRFUT</v>
      </c>
      <c r="W170" s="166" t="e">
        <f ca="1">VLOOKUP($V170,Reference!BA:BD,4,0)</f>
        <v>#N/A</v>
      </c>
      <c r="X170" s="168">
        <f t="shared" ca="1" si="396"/>
        <v>0</v>
      </c>
      <c r="Y170" s="168">
        <f t="shared" ca="1" si="397"/>
        <v>0</v>
      </c>
      <c r="Z170" s="168">
        <f t="shared" ca="1" si="404"/>
        <v>0</v>
      </c>
      <c r="AA170" s="168">
        <f t="shared" ca="1" si="398"/>
        <v>0</v>
      </c>
      <c r="AB170" s="168">
        <f t="shared" ca="1" si="399"/>
        <v>0</v>
      </c>
      <c r="AC170" s="124">
        <f t="shared" ca="1" si="400"/>
        <v>0</v>
      </c>
      <c r="AD170" s="120">
        <f t="shared" ca="1" si="535"/>
        <v>-0.21369863013698631</v>
      </c>
      <c r="AE170" s="120">
        <f t="shared" ca="1" si="536"/>
        <v>20</v>
      </c>
      <c r="AF170" s="120"/>
      <c r="AG170" s="120"/>
      <c r="AH170" s="120">
        <f t="shared" ca="1" si="508"/>
        <v>0</v>
      </c>
      <c r="AI170" s="120"/>
      <c r="AJ170" s="120">
        <f t="shared" ca="1" si="509"/>
        <v>15.972075</v>
      </c>
      <c r="AK170" s="120"/>
      <c r="AL170" s="147"/>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c r="BS170" s="13">
        <v>2</v>
      </c>
      <c r="BT170" s="128">
        <v>44491</v>
      </c>
      <c r="BU170" s="121" t="s">
        <v>8</v>
      </c>
      <c r="BV170" s="120" t="s">
        <v>482</v>
      </c>
      <c r="BW170" s="121" t="s">
        <v>502</v>
      </c>
      <c r="BX170" s="120">
        <v>18400</v>
      </c>
      <c r="BY170" s="120">
        <v>41.7</v>
      </c>
      <c r="BZ170" s="120">
        <v>47.945</v>
      </c>
      <c r="CA170" s="124">
        <v>-3216.6708800000001</v>
      </c>
      <c r="CB170" s="120">
        <v>1.1497601918465228</v>
      </c>
      <c r="CC170" s="120">
        <v>500</v>
      </c>
      <c r="CD170" s="120">
        <v>50</v>
      </c>
      <c r="CE170" s="124">
        <v>20850</v>
      </c>
    </row>
    <row r="171" spans="1:83" hidden="1">
      <c r="A171" s="13">
        <f t="shared" ca="1" si="506"/>
        <v>164</v>
      </c>
      <c r="B171" s="128">
        <v>44671</v>
      </c>
      <c r="C171" s="121" t="s">
        <v>6</v>
      </c>
      <c r="D171" s="121">
        <v>1</v>
      </c>
      <c r="E171" s="120" t="s">
        <v>482</v>
      </c>
      <c r="F171" s="121" t="s">
        <v>126</v>
      </c>
      <c r="G171" s="120">
        <v>220</v>
      </c>
      <c r="H171" s="122">
        <v>44679</v>
      </c>
      <c r="I171" s="120">
        <v>3750</v>
      </c>
      <c r="J171" s="120">
        <v>2.6</v>
      </c>
      <c r="K171" s="120">
        <v>7.55</v>
      </c>
      <c r="L171" s="124">
        <f t="shared" ca="1" si="528"/>
        <v>0</v>
      </c>
      <c r="M171" s="124">
        <f t="shared" ca="1" si="529"/>
        <v>18562.499999999996</v>
      </c>
      <c r="N171" s="120">
        <f t="shared" ca="1" si="530"/>
        <v>2.9038461538461537</v>
      </c>
      <c r="O171" s="164">
        <f t="shared" ca="1" si="531"/>
        <v>1.9500000000000002</v>
      </c>
      <c r="P171" s="168">
        <f t="shared" ca="1" si="507"/>
        <v>9750</v>
      </c>
      <c r="Q171" s="168" t="e">
        <f t="shared" ca="1" si="532"/>
        <v>#N/A</v>
      </c>
      <c r="R171" s="184">
        <f t="shared" ca="1" si="403"/>
        <v>0</v>
      </c>
      <c r="S171" s="124">
        <f t="shared" ca="1" si="533"/>
        <v>0.25999999999999995</v>
      </c>
      <c r="T171" s="120">
        <f ca="1">VLOOKUP(TRIM($F171),Reference!B:C,2,0)</f>
        <v>162.15</v>
      </c>
      <c r="U171" s="181">
        <f t="shared" ca="1" si="534"/>
        <v>0</v>
      </c>
      <c r="V171" s="125" t="str">
        <f t="shared" ca="1" si="395"/>
        <v>IEX22APR220PE</v>
      </c>
      <c r="W171" s="166" t="e">
        <f ca="1">VLOOKUP($V171,Reference!BA:BD,4,0)</f>
        <v>#N/A</v>
      </c>
      <c r="X171" s="168">
        <f t="shared" ca="1" si="396"/>
        <v>0</v>
      </c>
      <c r="Y171" s="168">
        <f t="shared" ca="1" si="397"/>
        <v>0</v>
      </c>
      <c r="Z171" s="168">
        <f t="shared" ca="1" si="404"/>
        <v>0</v>
      </c>
      <c r="AA171" s="168">
        <f t="shared" ca="1" si="398"/>
        <v>0</v>
      </c>
      <c r="AB171" s="168">
        <f t="shared" ca="1" si="399"/>
        <v>0</v>
      </c>
      <c r="AC171" s="124">
        <f t="shared" ca="1" si="400"/>
        <v>0</v>
      </c>
      <c r="AD171" s="120">
        <f t="shared" ca="1" si="535"/>
        <v>-0.21369863013698631</v>
      </c>
      <c r="AE171" s="120">
        <f t="shared" ca="1" si="536"/>
        <v>20</v>
      </c>
      <c r="AF171" s="120"/>
      <c r="AG171" s="120"/>
      <c r="AH171" s="120">
        <f t="shared" ca="1" si="508"/>
        <v>0</v>
      </c>
      <c r="AI171" s="120"/>
      <c r="AJ171" s="120">
        <f t="shared" ca="1" si="509"/>
        <v>0.29249999999999998</v>
      </c>
      <c r="AK171" s="120"/>
      <c r="AL171" s="147"/>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c r="BS171" s="13">
        <v>2</v>
      </c>
      <c r="BT171" s="128">
        <v>44491</v>
      </c>
      <c r="BU171" s="121" t="s">
        <v>8</v>
      </c>
      <c r="BV171" s="120" t="s">
        <v>482</v>
      </c>
      <c r="BW171" s="121" t="s">
        <v>502</v>
      </c>
      <c r="BX171" s="120">
        <v>18400</v>
      </c>
      <c r="BY171" s="120">
        <v>41.7</v>
      </c>
      <c r="BZ171" s="120">
        <v>47.945</v>
      </c>
      <c r="CA171" s="124">
        <v>-3216.6708800000001</v>
      </c>
      <c r="CB171" s="120">
        <v>1.1497601918465228</v>
      </c>
      <c r="CC171" s="120">
        <v>500</v>
      </c>
      <c r="CD171" s="120">
        <v>50</v>
      </c>
      <c r="CE171" s="124">
        <v>20850</v>
      </c>
    </row>
    <row r="172" spans="1:83" hidden="1">
      <c r="A172" s="13">
        <f t="shared" ca="1" si="506"/>
        <v>165</v>
      </c>
      <c r="B172" s="128">
        <v>44671</v>
      </c>
      <c r="C172" s="121" t="s">
        <v>6</v>
      </c>
      <c r="D172" s="121">
        <v>1</v>
      </c>
      <c r="E172" s="120" t="s">
        <v>482</v>
      </c>
      <c r="F172" s="121" t="s">
        <v>506</v>
      </c>
      <c r="G172" s="120">
        <v>35000</v>
      </c>
      <c r="H172" s="122">
        <v>44707</v>
      </c>
      <c r="I172" s="120">
        <v>25</v>
      </c>
      <c r="J172" s="120">
        <v>531.85</v>
      </c>
      <c r="K172" s="120">
        <v>1638.45</v>
      </c>
      <c r="L172" s="124">
        <f t="shared" ca="1" si="528"/>
        <v>0</v>
      </c>
      <c r="M172" s="124">
        <f t="shared" ca="1" si="529"/>
        <v>27664.999999999996</v>
      </c>
      <c r="N172" s="120">
        <f t="shared" ca="1" si="530"/>
        <v>3.0806618407445709</v>
      </c>
      <c r="O172" s="164">
        <f t="shared" ca="1" si="531"/>
        <v>398.88750000000005</v>
      </c>
      <c r="P172" s="168">
        <f t="shared" ca="1" si="507"/>
        <v>13296.25</v>
      </c>
      <c r="Q172" s="168" t="e">
        <f t="shared" ca="1" si="532"/>
        <v>#N/A</v>
      </c>
      <c r="R172" s="184">
        <f t="shared" ca="1" si="403"/>
        <v>0</v>
      </c>
      <c r="S172" s="124">
        <f t="shared" ca="1" si="533"/>
        <v>53.184999999999988</v>
      </c>
      <c r="T172" s="120">
        <f ca="1">VLOOKUP(TRIM($F172),Reference!B:C,2,0)</f>
        <v>34651.199999999997</v>
      </c>
      <c r="U172" s="181">
        <f t="shared" ca="1" si="534"/>
        <v>0</v>
      </c>
      <c r="V172" s="125" t="str">
        <f t="shared" ca="1" si="395"/>
        <v>BANKNIFTY22MAY35000PE</v>
      </c>
      <c r="W172" s="166" t="e">
        <f ca="1">VLOOKUP($V172,Reference!BA:BD,4,0)</f>
        <v>#N/A</v>
      </c>
      <c r="X172" s="168">
        <f t="shared" ca="1" si="396"/>
        <v>0</v>
      </c>
      <c r="Y172" s="168">
        <f t="shared" ca="1" si="397"/>
        <v>0</v>
      </c>
      <c r="Z172" s="168">
        <f t="shared" ca="1" si="404"/>
        <v>0</v>
      </c>
      <c r="AA172" s="168">
        <f t="shared" ca="1" si="398"/>
        <v>0</v>
      </c>
      <c r="AB172" s="168">
        <f t="shared" ca="1" si="399"/>
        <v>0</v>
      </c>
      <c r="AC172" s="124">
        <f t="shared" ca="1" si="400"/>
        <v>0</v>
      </c>
      <c r="AD172" s="120">
        <f t="shared" ca="1" si="535"/>
        <v>-0.13698630136986301</v>
      </c>
      <c r="AE172" s="120">
        <f t="shared" ca="1" si="536"/>
        <v>20</v>
      </c>
      <c r="AF172" s="120"/>
      <c r="AG172" s="120"/>
      <c r="AH172" s="120">
        <f t="shared" ca="1" si="508"/>
        <v>0</v>
      </c>
      <c r="AI172" s="120"/>
      <c r="AJ172" s="120">
        <f t="shared" ca="1" si="509"/>
        <v>0.39888750000000001</v>
      </c>
      <c r="AK172" s="120"/>
      <c r="AL172" s="147"/>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c r="BS172" s="13">
        <v>2</v>
      </c>
      <c r="BT172" s="128">
        <v>44491</v>
      </c>
      <c r="BU172" s="121" t="s">
        <v>8</v>
      </c>
      <c r="BV172" s="120" t="s">
        <v>482</v>
      </c>
      <c r="BW172" s="121" t="s">
        <v>502</v>
      </c>
      <c r="BX172" s="120">
        <v>18400</v>
      </c>
      <c r="BY172" s="120">
        <v>41.7</v>
      </c>
      <c r="BZ172" s="120">
        <v>47.945</v>
      </c>
      <c r="CA172" s="124">
        <v>-3216.6708800000001</v>
      </c>
      <c r="CB172" s="120">
        <v>1.1497601918465228</v>
      </c>
      <c r="CC172" s="120">
        <v>500</v>
      </c>
      <c r="CD172" s="120">
        <v>50</v>
      </c>
      <c r="CE172" s="124">
        <v>20850</v>
      </c>
    </row>
    <row r="173" spans="1:83" hidden="1">
      <c r="A173" s="13">
        <f t="shared" ca="1" si="506"/>
        <v>166</v>
      </c>
      <c r="B173" s="128">
        <v>44671</v>
      </c>
      <c r="C173" s="121" t="s">
        <v>6</v>
      </c>
      <c r="D173" s="121">
        <v>1</v>
      </c>
      <c r="E173" s="120" t="s">
        <v>482</v>
      </c>
      <c r="F173" s="121" t="s">
        <v>284</v>
      </c>
      <c r="G173" s="120">
        <v>410</v>
      </c>
      <c r="H173" s="122">
        <v>44679</v>
      </c>
      <c r="I173" s="120">
        <v>2850</v>
      </c>
      <c r="J173" s="120">
        <v>1.5</v>
      </c>
      <c r="K173" s="120">
        <v>0.05</v>
      </c>
      <c r="L173" s="124">
        <f t="shared" ref="L173:L175" ca="1" si="537">IF(AND(K173&lt;&gt;0,I173&lt;&gt;0),(IF(C173="B",1,-1))*(K173-J173)*I173-AK173*2,0)*$D173*IF(MONTH($B$2)=MONTH($H173),1,0)</f>
        <v>0</v>
      </c>
      <c r="M173" s="124">
        <f t="shared" ref="M173:M175" ca="1" si="538">IF(AND(K173&lt;&gt;0,I173&lt;&gt;0),(IF(C173="B",1,-1))*(K173-J173)*I173-AK173*2,0)*$D173</f>
        <v>-4132.5</v>
      </c>
      <c r="N173" s="120">
        <f t="shared" ref="N173:N175" ca="1" si="539">K173/$J173</f>
        <v>3.3333333333333333E-2</v>
      </c>
      <c r="O173" s="164">
        <f t="shared" ref="O173:O175" ca="1" si="540">J173*(1+$O$6*IF(C173="B",-1,1))</f>
        <v>1.125</v>
      </c>
      <c r="P173" s="168">
        <f ca="1">$J173*$I173*$D173</f>
        <v>4275</v>
      </c>
      <c r="Q173" s="168" t="e">
        <f t="shared" ref="Q173:Q175" ca="1" si="541">(W173-J173)*I173*IF(C173="B",1,-1)*IF(K173=0,1,0)</f>
        <v>#N/A</v>
      </c>
      <c r="R173" s="184">
        <f t="shared" ca="1" si="403"/>
        <v>0</v>
      </c>
      <c r="S173" s="124">
        <f t="shared" ref="S173:S175" ca="1" si="542">(1-$S$6)*J173</f>
        <v>0.14999999999999997</v>
      </c>
      <c r="T173" s="120">
        <f ca="1">VLOOKUP(TRIM($F173),Reference!B:C,2,0)</f>
        <v>428</v>
      </c>
      <c r="U173" s="181">
        <f t="shared" ref="U173:U175" ca="1" si="543">AC173</f>
        <v>0</v>
      </c>
      <c r="V173" s="125" t="str">
        <f t="shared" ca="1" si="395"/>
        <v>TATAMOTORS22APR410PE</v>
      </c>
      <c r="W173" s="166" t="e">
        <f ca="1">VLOOKUP($V173,Reference!BA:BD,4,0)</f>
        <v>#N/A</v>
      </c>
      <c r="X173" s="168">
        <f t="shared" ca="1" si="396"/>
        <v>0</v>
      </c>
      <c r="Y173" s="168">
        <f t="shared" ca="1" si="397"/>
        <v>0</v>
      </c>
      <c r="Z173" s="168">
        <f t="shared" ca="1" si="404"/>
        <v>0</v>
      </c>
      <c r="AA173" s="168">
        <f t="shared" ca="1" si="398"/>
        <v>0</v>
      </c>
      <c r="AB173" s="168">
        <f t="shared" ca="1" si="399"/>
        <v>0</v>
      </c>
      <c r="AC173" s="124">
        <f t="shared" ca="1" si="400"/>
        <v>0</v>
      </c>
      <c r="AD173" s="120">
        <f t="shared" ref="AD173:AD175" ca="1" si="544">(H173-TODAY())/365</f>
        <v>-0.21369863013698631</v>
      </c>
      <c r="AE173" s="120">
        <f t="shared" ref="AE173:AE175" ca="1" si="545">IF(I173&lt;&gt;0,20,0)</f>
        <v>20</v>
      </c>
      <c r="AF173" s="120"/>
      <c r="AG173" s="120"/>
      <c r="AH173" s="120">
        <f t="shared" ca="1" si="508"/>
        <v>0</v>
      </c>
      <c r="AI173" s="120"/>
      <c r="AJ173" s="120">
        <f t="shared" ca="1" si="509"/>
        <v>0.12825</v>
      </c>
      <c r="AK173" s="120"/>
      <c r="AL173" s="147"/>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c r="BS173" s="13">
        <v>2</v>
      </c>
      <c r="BT173" s="128">
        <v>44491</v>
      </c>
      <c r="BU173" s="121" t="s">
        <v>8</v>
      </c>
      <c r="BV173" s="120" t="s">
        <v>482</v>
      </c>
      <c r="BW173" s="121" t="s">
        <v>502</v>
      </c>
      <c r="BX173" s="120">
        <v>18400</v>
      </c>
      <c r="BY173" s="120">
        <v>41.7</v>
      </c>
      <c r="BZ173" s="120">
        <v>47.945</v>
      </c>
      <c r="CA173" s="124">
        <v>-3216.6708800000001</v>
      </c>
      <c r="CB173" s="120">
        <v>1.1497601918465228</v>
      </c>
      <c r="CC173" s="120">
        <v>500</v>
      </c>
      <c r="CD173" s="120">
        <v>50</v>
      </c>
      <c r="CE173" s="124">
        <v>20850</v>
      </c>
    </row>
    <row r="174" spans="1:83" hidden="1">
      <c r="A174" s="13">
        <f t="shared" ca="1" si="506"/>
        <v>167</v>
      </c>
      <c r="B174" s="128">
        <v>44671</v>
      </c>
      <c r="C174" s="121" t="s">
        <v>8</v>
      </c>
      <c r="D174" s="121">
        <v>1</v>
      </c>
      <c r="E174" s="120" t="s">
        <v>481</v>
      </c>
      <c r="F174" s="121" t="s">
        <v>126</v>
      </c>
      <c r="G174" s="120">
        <v>250</v>
      </c>
      <c r="H174" s="122">
        <v>44679</v>
      </c>
      <c r="I174" s="120">
        <v>3750</v>
      </c>
      <c r="J174" s="120">
        <v>2.1</v>
      </c>
      <c r="K174" s="120">
        <v>0.05</v>
      </c>
      <c r="L174" s="124">
        <f t="shared" ca="1" si="537"/>
        <v>0</v>
      </c>
      <c r="M174" s="124">
        <f t="shared" ca="1" si="538"/>
        <v>7687.5000000000009</v>
      </c>
      <c r="N174" s="120">
        <f t="shared" ca="1" si="539"/>
        <v>2.3809523809523808E-2</v>
      </c>
      <c r="O174" s="164">
        <f t="shared" ca="1" si="540"/>
        <v>2.625</v>
      </c>
      <c r="P174" s="168">
        <f t="shared" ca="1" si="507"/>
        <v>7875</v>
      </c>
      <c r="Q174" s="168" t="e">
        <f t="shared" ca="1" si="541"/>
        <v>#N/A</v>
      </c>
      <c r="R174" s="184">
        <f t="shared" ca="1" si="403"/>
        <v>0</v>
      </c>
      <c r="S174" s="124">
        <f t="shared" ca="1" si="542"/>
        <v>0.20999999999999996</v>
      </c>
      <c r="T174" s="120">
        <f ca="1">VLOOKUP(TRIM($F174),Reference!B:C,2,0)</f>
        <v>162.15</v>
      </c>
      <c r="U174" s="181">
        <f t="shared" ca="1" si="543"/>
        <v>0</v>
      </c>
      <c r="V174" s="125" t="str">
        <f t="shared" ca="1" si="395"/>
        <v>IEX22APR250CE</v>
      </c>
      <c r="W174" s="166" t="e">
        <f ca="1">VLOOKUP($V174,Reference!BA:BD,4,0)</f>
        <v>#N/A</v>
      </c>
      <c r="X174" s="168">
        <f t="shared" ca="1" si="396"/>
        <v>0</v>
      </c>
      <c r="Y174" s="168">
        <f t="shared" ca="1" si="397"/>
        <v>0</v>
      </c>
      <c r="Z174" s="168">
        <f t="shared" ca="1" si="404"/>
        <v>0</v>
      </c>
      <c r="AA174" s="168">
        <f t="shared" ca="1" si="398"/>
        <v>0</v>
      </c>
      <c r="AB174" s="168">
        <f t="shared" ca="1" si="399"/>
        <v>0</v>
      </c>
      <c r="AC174" s="124">
        <f t="shared" ca="1" si="400"/>
        <v>0</v>
      </c>
      <c r="AD174" s="120">
        <f t="shared" ca="1" si="544"/>
        <v>-0.21369863013698631</v>
      </c>
      <c r="AE174" s="120">
        <f t="shared" ca="1" si="545"/>
        <v>20</v>
      </c>
      <c r="AF174" s="120"/>
      <c r="AG174" s="120"/>
      <c r="AH174" s="120">
        <f t="shared" ca="1" si="508"/>
        <v>3.9375</v>
      </c>
      <c r="AI174" s="120"/>
      <c r="AJ174" s="120">
        <f t="shared" ca="1" si="509"/>
        <v>0</v>
      </c>
      <c r="AK174" s="120"/>
      <c r="AL174" s="147"/>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c r="BS174" s="13">
        <v>2</v>
      </c>
      <c r="BT174" s="128">
        <v>44491</v>
      </c>
      <c r="BU174" s="121" t="s">
        <v>8</v>
      </c>
      <c r="BV174" s="120" t="s">
        <v>482</v>
      </c>
      <c r="BW174" s="121" t="s">
        <v>502</v>
      </c>
      <c r="BX174" s="120">
        <v>18400</v>
      </c>
      <c r="BY174" s="120">
        <v>41.7</v>
      </c>
      <c r="BZ174" s="120">
        <v>47.945</v>
      </c>
      <c r="CA174" s="124">
        <v>-3216.6708800000001</v>
      </c>
      <c r="CB174" s="120">
        <v>1.1497601918465228</v>
      </c>
      <c r="CC174" s="120">
        <v>500</v>
      </c>
      <c r="CD174" s="120">
        <v>50</v>
      </c>
      <c r="CE174" s="124">
        <v>20850</v>
      </c>
    </row>
    <row r="175" spans="1:83" hidden="1">
      <c r="A175" s="13">
        <f t="shared" ca="1" si="506"/>
        <v>168</v>
      </c>
      <c r="B175" s="128">
        <v>44672</v>
      </c>
      <c r="C175" s="121" t="s">
        <v>8</v>
      </c>
      <c r="D175" s="121">
        <v>1</v>
      </c>
      <c r="E175" s="120" t="s">
        <v>481</v>
      </c>
      <c r="F175" s="121" t="s">
        <v>284</v>
      </c>
      <c r="G175" s="120">
        <v>460</v>
      </c>
      <c r="H175" s="122">
        <v>44679</v>
      </c>
      <c r="I175" s="120">
        <v>2850</v>
      </c>
      <c r="J175" s="120">
        <v>4.3499999999999996</v>
      </c>
      <c r="K175" s="120">
        <v>0.05</v>
      </c>
      <c r="L175" s="124">
        <f t="shared" ca="1" si="537"/>
        <v>0</v>
      </c>
      <c r="M175" s="124">
        <f t="shared" ca="1" si="538"/>
        <v>12255</v>
      </c>
      <c r="N175" s="120">
        <f t="shared" ca="1" si="539"/>
        <v>1.149425287356322E-2</v>
      </c>
      <c r="O175" s="164">
        <f t="shared" ca="1" si="540"/>
        <v>5.4375</v>
      </c>
      <c r="P175" s="168">
        <f t="shared" ca="1" si="507"/>
        <v>12397.499999999998</v>
      </c>
      <c r="Q175" s="168" t="e">
        <f t="shared" ca="1" si="541"/>
        <v>#N/A</v>
      </c>
      <c r="R175" s="184">
        <f t="shared" ca="1" si="403"/>
        <v>0</v>
      </c>
      <c r="S175" s="124">
        <f t="shared" ca="1" si="542"/>
        <v>0.43499999999999989</v>
      </c>
      <c r="T175" s="120">
        <f ca="1">VLOOKUP(TRIM($F175),Reference!B:C,2,0)</f>
        <v>428</v>
      </c>
      <c r="U175" s="181">
        <f t="shared" ca="1" si="543"/>
        <v>0</v>
      </c>
      <c r="V175" s="125" t="str">
        <f t="shared" ca="1" si="395"/>
        <v>TATAMOTORS22APR460CE</v>
      </c>
      <c r="W175" s="166" t="e">
        <f ca="1">VLOOKUP($V175,Reference!BA:BD,4,0)</f>
        <v>#N/A</v>
      </c>
      <c r="X175" s="168">
        <f t="shared" ca="1" si="396"/>
        <v>0</v>
      </c>
      <c r="Y175" s="168">
        <f t="shared" ca="1" si="397"/>
        <v>0</v>
      </c>
      <c r="Z175" s="168">
        <f t="shared" ca="1" si="404"/>
        <v>0</v>
      </c>
      <c r="AA175" s="168">
        <f t="shared" ca="1" si="398"/>
        <v>0</v>
      </c>
      <c r="AB175" s="168">
        <f t="shared" ca="1" si="399"/>
        <v>0</v>
      </c>
      <c r="AC175" s="124">
        <f t="shared" ca="1" si="400"/>
        <v>0</v>
      </c>
      <c r="AD175" s="120">
        <f t="shared" ca="1" si="544"/>
        <v>-0.21369863013698631</v>
      </c>
      <c r="AE175" s="120">
        <f t="shared" ca="1" si="545"/>
        <v>20</v>
      </c>
      <c r="AF175" s="120"/>
      <c r="AG175" s="120"/>
      <c r="AH175" s="120">
        <f t="shared" ca="1" si="508"/>
        <v>6.1987499999999995</v>
      </c>
      <c r="AI175" s="120"/>
      <c r="AJ175" s="120">
        <f t="shared" ca="1" si="509"/>
        <v>0</v>
      </c>
      <c r="AK175" s="120"/>
      <c r="AL175" s="147"/>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c r="BS175" s="13">
        <v>2</v>
      </c>
      <c r="BT175" s="128">
        <v>44491</v>
      </c>
      <c r="BU175" s="121" t="s">
        <v>8</v>
      </c>
      <c r="BV175" s="120" t="s">
        <v>482</v>
      </c>
      <c r="BW175" s="121" t="s">
        <v>502</v>
      </c>
      <c r="BX175" s="120">
        <v>18400</v>
      </c>
      <c r="BY175" s="120">
        <v>41.7</v>
      </c>
      <c r="BZ175" s="120">
        <v>47.945</v>
      </c>
      <c r="CA175" s="124">
        <v>-3216.6708800000001</v>
      </c>
      <c r="CB175" s="120">
        <v>1.1497601918465228</v>
      </c>
      <c r="CC175" s="120">
        <v>500</v>
      </c>
      <c r="CD175" s="120">
        <v>50</v>
      </c>
      <c r="CE175" s="124">
        <v>20850</v>
      </c>
    </row>
    <row r="176" spans="1:83" hidden="1">
      <c r="A176" s="13">
        <f t="shared" ca="1" si="506"/>
        <v>169</v>
      </c>
      <c r="B176" s="128">
        <v>44672</v>
      </c>
      <c r="C176" s="121" t="s">
        <v>8</v>
      </c>
      <c r="D176" s="121">
        <v>1</v>
      </c>
      <c r="E176" s="120" t="s">
        <v>481</v>
      </c>
      <c r="F176" s="121" t="s">
        <v>284</v>
      </c>
      <c r="G176" s="120">
        <v>470</v>
      </c>
      <c r="H176" s="122">
        <v>44679</v>
      </c>
      <c r="I176" s="120">
        <v>2850</v>
      </c>
      <c r="J176" s="120">
        <v>2.5</v>
      </c>
      <c r="K176" s="120">
        <v>0.05</v>
      </c>
      <c r="L176" s="124">
        <f t="shared" ref="L176:L178" ca="1" si="546">IF(AND(K176&lt;&gt;0,I176&lt;&gt;0),(IF(C176="B",1,-1))*(K176-J176)*I176-AK176*2,0)*$D176*IF(MONTH($B$2)=MONTH($H176),1,0)</f>
        <v>0</v>
      </c>
      <c r="M176" s="124">
        <f t="shared" ref="M176:M178" ca="1" si="547">IF(AND(K176&lt;&gt;0,I176&lt;&gt;0),(IF(C176="B",1,-1))*(K176-J176)*I176-AK176*2,0)*$D176</f>
        <v>6982.5000000000009</v>
      </c>
      <c r="N176" s="120">
        <f t="shared" ref="N176:N178" ca="1" si="548">K176/$J176</f>
        <v>0.02</v>
      </c>
      <c r="O176" s="164">
        <f t="shared" ref="O176:O178" ca="1" si="549">J176*(1+$O$6*IF(C176="B",-1,1))</f>
        <v>3.125</v>
      </c>
      <c r="P176" s="168">
        <f t="shared" ca="1" si="507"/>
        <v>7125</v>
      </c>
      <c r="Q176" s="168" t="e">
        <f t="shared" ref="Q176:Q178" ca="1" si="550">(W176-J176)*I176*IF(C176="B",1,-1)*IF(K176=0,1,0)</f>
        <v>#N/A</v>
      </c>
      <c r="R176" s="184">
        <f t="shared" ca="1" si="403"/>
        <v>0</v>
      </c>
      <c r="S176" s="124">
        <f t="shared" ref="S176:S178" ca="1" si="551">(1-$S$6)*J176</f>
        <v>0.24999999999999994</v>
      </c>
      <c r="T176" s="120">
        <f ca="1">VLOOKUP(TRIM($F176),Reference!B:C,2,0)</f>
        <v>428</v>
      </c>
      <c r="U176" s="181">
        <f t="shared" ref="U176:U178" ca="1" si="552">AC176</f>
        <v>0</v>
      </c>
      <c r="V176" s="125" t="str">
        <f t="shared" ca="1" si="395"/>
        <v>TATAMOTORS22APR470CE</v>
      </c>
      <c r="W176" s="166" t="e">
        <f ca="1">VLOOKUP($V176,Reference!BA:BD,4,0)</f>
        <v>#N/A</v>
      </c>
      <c r="X176" s="168">
        <f t="shared" ca="1" si="396"/>
        <v>0</v>
      </c>
      <c r="Y176" s="168">
        <f t="shared" ca="1" si="397"/>
        <v>0</v>
      </c>
      <c r="Z176" s="168">
        <f t="shared" ca="1" si="404"/>
        <v>0</v>
      </c>
      <c r="AA176" s="168">
        <f t="shared" ca="1" si="398"/>
        <v>0</v>
      </c>
      <c r="AB176" s="168">
        <f t="shared" ca="1" si="399"/>
        <v>0</v>
      </c>
      <c r="AC176" s="124">
        <f t="shared" ca="1" si="400"/>
        <v>0</v>
      </c>
      <c r="AD176" s="120">
        <f t="shared" ref="AD176:AD178" ca="1" si="553">(H176-TODAY())/365</f>
        <v>-0.21369863013698631</v>
      </c>
      <c r="AE176" s="120">
        <f t="shared" ref="AE176:AE178" ca="1" si="554">IF(I176&lt;&gt;0,20,0)</f>
        <v>20</v>
      </c>
      <c r="AF176" s="120"/>
      <c r="AG176" s="120"/>
      <c r="AH176" s="120">
        <f t="shared" ca="1" si="508"/>
        <v>3.5625</v>
      </c>
      <c r="AI176" s="120"/>
      <c r="AJ176" s="120">
        <f t="shared" ca="1" si="509"/>
        <v>0</v>
      </c>
      <c r="AK176" s="120"/>
      <c r="AL176" s="147"/>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c r="BS176" s="13">
        <v>2</v>
      </c>
      <c r="BT176" s="128">
        <v>44491</v>
      </c>
      <c r="BU176" s="121" t="s">
        <v>8</v>
      </c>
      <c r="BV176" s="120" t="s">
        <v>482</v>
      </c>
      <c r="BW176" s="121" t="s">
        <v>502</v>
      </c>
      <c r="BX176" s="120">
        <v>18400</v>
      </c>
      <c r="BY176" s="120">
        <v>41.7</v>
      </c>
      <c r="BZ176" s="120">
        <v>47.945</v>
      </c>
      <c r="CA176" s="124">
        <v>-3216.6708800000001</v>
      </c>
      <c r="CB176" s="120">
        <v>1.1497601918465228</v>
      </c>
      <c r="CC176" s="120">
        <v>500</v>
      </c>
      <c r="CD176" s="120">
        <v>50</v>
      </c>
      <c r="CE176" s="124">
        <v>20850</v>
      </c>
    </row>
    <row r="177" spans="1:83" hidden="1">
      <c r="A177" s="13">
        <f t="shared" ca="1" si="506"/>
        <v>170</v>
      </c>
      <c r="B177" s="128">
        <v>44673</v>
      </c>
      <c r="C177" s="121" t="s">
        <v>8</v>
      </c>
      <c r="D177" s="121">
        <v>1</v>
      </c>
      <c r="E177" s="120" t="s">
        <v>481</v>
      </c>
      <c r="F177" s="121" t="s">
        <v>130</v>
      </c>
      <c r="G177" s="120">
        <v>270</v>
      </c>
      <c r="H177" s="122">
        <v>44679</v>
      </c>
      <c r="I177" s="120">
        <v>6750</v>
      </c>
      <c r="J177" s="120">
        <v>2.15</v>
      </c>
      <c r="K177" s="120">
        <v>0.15</v>
      </c>
      <c r="L177" s="124">
        <f t="shared" ca="1" si="546"/>
        <v>0</v>
      </c>
      <c r="M177" s="124">
        <f t="shared" ca="1" si="547"/>
        <v>13500</v>
      </c>
      <c r="N177" s="120">
        <f t="shared" ca="1" si="548"/>
        <v>6.9767441860465115E-2</v>
      </c>
      <c r="O177" s="164">
        <f t="shared" ca="1" si="549"/>
        <v>2.6875</v>
      </c>
      <c r="P177" s="168">
        <f t="shared" ca="1" si="507"/>
        <v>14512.5</v>
      </c>
      <c r="Q177" s="168" t="e">
        <f t="shared" ca="1" si="550"/>
        <v>#N/A</v>
      </c>
      <c r="R177" s="184">
        <f t="shared" ca="1" si="403"/>
        <v>0</v>
      </c>
      <c r="S177" s="124">
        <f t="shared" ca="1" si="551"/>
        <v>0.21499999999999994</v>
      </c>
      <c r="T177" s="120">
        <f ca="1">VLOOKUP(TRIM($F177),Reference!B:C,2,0)</f>
        <v>221.6</v>
      </c>
      <c r="U177" s="181">
        <f t="shared" ca="1" si="552"/>
        <v>0</v>
      </c>
      <c r="V177" s="125" t="str">
        <f t="shared" ca="1" si="395"/>
        <v>TATAPOWER22APR270CE</v>
      </c>
      <c r="W177" s="166" t="e">
        <f ca="1">VLOOKUP($V177,Reference!BA:BD,4,0)</f>
        <v>#N/A</v>
      </c>
      <c r="X177" s="168">
        <f t="shared" ca="1" si="396"/>
        <v>0</v>
      </c>
      <c r="Y177" s="168">
        <f t="shared" ca="1" si="397"/>
        <v>0</v>
      </c>
      <c r="Z177" s="168">
        <f t="shared" ca="1" si="404"/>
        <v>0</v>
      </c>
      <c r="AA177" s="168">
        <f t="shared" ca="1" si="398"/>
        <v>0</v>
      </c>
      <c r="AB177" s="168">
        <f t="shared" ca="1" si="399"/>
        <v>0</v>
      </c>
      <c r="AC177" s="124">
        <f t="shared" ca="1" si="400"/>
        <v>0</v>
      </c>
      <c r="AD177" s="120">
        <f t="shared" ca="1" si="553"/>
        <v>-0.21369863013698631</v>
      </c>
      <c r="AE177" s="120">
        <f t="shared" ca="1" si="554"/>
        <v>20</v>
      </c>
      <c r="AF177" s="120"/>
      <c r="AG177" s="120"/>
      <c r="AH177" s="120">
        <f t="shared" ca="1" si="508"/>
        <v>7.2562500000000005</v>
      </c>
      <c r="AI177" s="120"/>
      <c r="AJ177" s="120">
        <f t="shared" ca="1" si="509"/>
        <v>0</v>
      </c>
      <c r="AK177" s="120"/>
      <c r="AL177" s="147"/>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c r="BS177" s="13">
        <v>2</v>
      </c>
      <c r="BT177" s="128">
        <v>44491</v>
      </c>
      <c r="BU177" s="121" t="s">
        <v>8</v>
      </c>
      <c r="BV177" s="120" t="s">
        <v>482</v>
      </c>
      <c r="BW177" s="121" t="s">
        <v>502</v>
      </c>
      <c r="BX177" s="120">
        <v>18400</v>
      </c>
      <c r="BY177" s="120">
        <v>41.7</v>
      </c>
      <c r="BZ177" s="120">
        <v>47.945</v>
      </c>
      <c r="CA177" s="124">
        <v>-3216.6708800000001</v>
      </c>
      <c r="CB177" s="120">
        <v>1.1497601918465228</v>
      </c>
      <c r="CC177" s="120">
        <v>500</v>
      </c>
      <c r="CD177" s="120">
        <v>50</v>
      </c>
      <c r="CE177" s="124">
        <v>20850</v>
      </c>
    </row>
    <row r="178" spans="1:83" hidden="1">
      <c r="A178" s="13">
        <f t="shared" ca="1" si="506"/>
        <v>171</v>
      </c>
      <c r="B178" s="128">
        <v>44673</v>
      </c>
      <c r="C178" s="121" t="s">
        <v>6</v>
      </c>
      <c r="D178" s="121">
        <v>1</v>
      </c>
      <c r="E178" s="120" t="s">
        <v>632</v>
      </c>
      <c r="F178" s="121" t="s">
        <v>130</v>
      </c>
      <c r="G178" s="120"/>
      <c r="H178" s="122">
        <v>44707</v>
      </c>
      <c r="I178" s="120">
        <v>6750</v>
      </c>
      <c r="J178" s="120">
        <v>258</v>
      </c>
      <c r="K178" s="120">
        <v>212.55</v>
      </c>
      <c r="L178" s="124">
        <f t="shared" ca="1" si="546"/>
        <v>0</v>
      </c>
      <c r="M178" s="124">
        <f t="shared" ca="1" si="547"/>
        <v>-306787.49999999994</v>
      </c>
      <c r="N178" s="120">
        <f t="shared" ca="1" si="548"/>
        <v>0.82383720930232562</v>
      </c>
      <c r="O178" s="164">
        <f t="shared" ca="1" si="549"/>
        <v>193.5</v>
      </c>
      <c r="P178" s="168">
        <f t="shared" ca="1" si="507"/>
        <v>1741500</v>
      </c>
      <c r="Q178" s="168" t="e">
        <f t="shared" ca="1" si="550"/>
        <v>#N/A</v>
      </c>
      <c r="R178" s="184">
        <f t="shared" ca="1" si="403"/>
        <v>0</v>
      </c>
      <c r="S178" s="124">
        <f t="shared" ca="1" si="551"/>
        <v>25.799999999999994</v>
      </c>
      <c r="T178" s="120">
        <f ca="1">VLOOKUP(TRIM($F178),Reference!B:C,2,0)</f>
        <v>221.6</v>
      </c>
      <c r="U178" s="181">
        <f t="shared" ca="1" si="552"/>
        <v>0</v>
      </c>
      <c r="V178" s="125" t="str">
        <f t="shared" ca="1" si="395"/>
        <v>TATAPOWER22MAYFUT</v>
      </c>
      <c r="W178" s="166" t="e">
        <f ca="1">VLOOKUP($V178,Reference!BA:BD,4,0)</f>
        <v>#N/A</v>
      </c>
      <c r="X178" s="168">
        <f t="shared" ca="1" si="396"/>
        <v>0</v>
      </c>
      <c r="Y178" s="168">
        <f t="shared" ca="1" si="397"/>
        <v>0</v>
      </c>
      <c r="Z178" s="168">
        <f t="shared" ca="1" si="404"/>
        <v>0</v>
      </c>
      <c r="AA178" s="168">
        <f t="shared" ca="1" si="398"/>
        <v>0</v>
      </c>
      <c r="AB178" s="168">
        <f t="shared" ca="1" si="399"/>
        <v>0</v>
      </c>
      <c r="AC178" s="124">
        <f t="shared" ca="1" si="400"/>
        <v>0</v>
      </c>
      <c r="AD178" s="120">
        <f t="shared" ca="1" si="553"/>
        <v>-0.13698630136986301</v>
      </c>
      <c r="AE178" s="120">
        <f t="shared" ca="1" si="554"/>
        <v>20</v>
      </c>
      <c r="AF178" s="120"/>
      <c r="AG178" s="120"/>
      <c r="AH178" s="120">
        <f t="shared" ca="1" si="508"/>
        <v>0</v>
      </c>
      <c r="AI178" s="120"/>
      <c r="AJ178" s="120">
        <f t="shared" ca="1" si="509"/>
        <v>52.245000000000005</v>
      </c>
      <c r="AK178" s="120"/>
      <c r="AL178" s="147"/>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c r="BS178" s="13">
        <v>2</v>
      </c>
      <c r="BT178" s="128">
        <v>44491</v>
      </c>
      <c r="BU178" s="121" t="s">
        <v>8</v>
      </c>
      <c r="BV178" s="120" t="s">
        <v>482</v>
      </c>
      <c r="BW178" s="121" t="s">
        <v>502</v>
      </c>
      <c r="BX178" s="120">
        <v>18400</v>
      </c>
      <c r="BY178" s="120">
        <v>41.7</v>
      </c>
      <c r="BZ178" s="120">
        <v>47.945</v>
      </c>
      <c r="CA178" s="124">
        <v>-3216.6708800000001</v>
      </c>
      <c r="CB178" s="120">
        <v>1.1497601918465228</v>
      </c>
      <c r="CC178" s="120">
        <v>500</v>
      </c>
      <c r="CD178" s="120">
        <v>50</v>
      </c>
      <c r="CE178" s="124">
        <v>20850</v>
      </c>
    </row>
    <row r="179" spans="1:83" hidden="1">
      <c r="A179" s="13">
        <f t="shared" ca="1" si="506"/>
        <v>172</v>
      </c>
      <c r="B179" s="128">
        <v>44677</v>
      </c>
      <c r="C179" s="121" t="s">
        <v>8</v>
      </c>
      <c r="D179" s="121">
        <v>1</v>
      </c>
      <c r="E179" s="120" t="s">
        <v>481</v>
      </c>
      <c r="F179" s="121" t="s">
        <v>130</v>
      </c>
      <c r="G179" s="120">
        <v>280</v>
      </c>
      <c r="H179" s="122">
        <v>44707</v>
      </c>
      <c r="I179" s="120">
        <v>6750</v>
      </c>
      <c r="J179" s="120">
        <v>3.65</v>
      </c>
      <c r="K179" s="120">
        <v>0.95</v>
      </c>
      <c r="L179" s="124">
        <f t="shared" ref="L179:L185" ca="1" si="555">IF(AND(K179&lt;&gt;0,I179&lt;&gt;0),(IF(C179="B",1,-1))*(K179-J179)*I179-AK179*2,0)*$D179*IF(MONTH($B$2)=MONTH($H179),1,0)</f>
        <v>0</v>
      </c>
      <c r="M179" s="124">
        <f t="shared" ref="M179:M185" ca="1" si="556">IF(AND(K179&lt;&gt;0,I179&lt;&gt;0),(IF(C179="B",1,-1))*(K179-J179)*I179-AK179*2,0)*$D179</f>
        <v>18225</v>
      </c>
      <c r="N179" s="120">
        <f t="shared" ref="N179:N185" ca="1" si="557">K179/$J179</f>
        <v>0.26027397260273971</v>
      </c>
      <c r="O179" s="164">
        <f t="shared" ref="O179:O185" ca="1" si="558">J179*(1+$O$6*IF(C179="B",-1,1))</f>
        <v>4.5625</v>
      </c>
      <c r="P179" s="168">
        <f t="shared" ca="1" si="507"/>
        <v>24637.5</v>
      </c>
      <c r="Q179" s="168" t="e">
        <f t="shared" ref="Q179:Q185" ca="1" si="559">(W179-J179)*I179*IF(C179="B",1,-1)*IF(K179=0,1,0)</f>
        <v>#N/A</v>
      </c>
      <c r="R179" s="184">
        <f t="shared" ca="1" si="403"/>
        <v>0</v>
      </c>
      <c r="S179" s="124">
        <f t="shared" ref="S179:S185" ca="1" si="560">(1-$S$6)*J179</f>
        <v>0.36499999999999994</v>
      </c>
      <c r="T179" s="120">
        <f ca="1">VLOOKUP(TRIM($F179),Reference!B:C,2,0)</f>
        <v>221.6</v>
      </c>
      <c r="U179" s="181">
        <f t="shared" ref="U179:U185" ca="1" si="561">AC179</f>
        <v>0</v>
      </c>
      <c r="V179" s="125" t="str">
        <f t="shared" ca="1" si="395"/>
        <v>TATAPOWER22MAY280CE</v>
      </c>
      <c r="W179" s="166" t="e">
        <f ca="1">VLOOKUP($V179,Reference!BA:BD,4,0)</f>
        <v>#N/A</v>
      </c>
      <c r="X179" s="168">
        <f t="shared" ca="1" si="396"/>
        <v>0</v>
      </c>
      <c r="Y179" s="168">
        <f t="shared" ca="1" si="397"/>
        <v>0</v>
      </c>
      <c r="Z179" s="168">
        <f t="shared" ca="1" si="404"/>
        <v>0</v>
      </c>
      <c r="AA179" s="168">
        <f t="shared" ca="1" si="398"/>
        <v>0</v>
      </c>
      <c r="AB179" s="168">
        <f t="shared" ca="1" si="399"/>
        <v>0</v>
      </c>
      <c r="AC179" s="124">
        <f t="shared" ca="1" si="400"/>
        <v>0</v>
      </c>
      <c r="AD179" s="120">
        <f t="shared" ref="AD179:AD185" ca="1" si="562">(H179-TODAY())/365</f>
        <v>-0.13698630136986301</v>
      </c>
      <c r="AE179" s="120">
        <f t="shared" ref="AE179:AE185" ca="1" si="563">IF(I179&lt;&gt;0,20,0)</f>
        <v>20</v>
      </c>
      <c r="AF179" s="120"/>
      <c r="AG179" s="120"/>
      <c r="AH179" s="120">
        <f t="shared" ca="1" si="508"/>
        <v>12.31875</v>
      </c>
      <c r="AI179" s="120"/>
      <c r="AJ179" s="120">
        <f t="shared" ca="1" si="509"/>
        <v>0</v>
      </c>
      <c r="AK179" s="120"/>
      <c r="AL179" s="147"/>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c r="BS179" s="13">
        <v>2</v>
      </c>
      <c r="BT179" s="128">
        <v>44491</v>
      </c>
      <c r="BU179" s="121" t="s">
        <v>8</v>
      </c>
      <c r="BV179" s="120" t="s">
        <v>482</v>
      </c>
      <c r="BW179" s="121" t="s">
        <v>502</v>
      </c>
      <c r="BX179" s="120">
        <v>18400</v>
      </c>
      <c r="BY179" s="120">
        <v>41.7</v>
      </c>
      <c r="BZ179" s="120">
        <v>47.945</v>
      </c>
      <c r="CA179" s="124">
        <v>-3216.6708800000001</v>
      </c>
      <c r="CB179" s="120">
        <v>1.1497601918465228</v>
      </c>
      <c r="CC179" s="120">
        <v>500</v>
      </c>
      <c r="CD179" s="120">
        <v>50</v>
      </c>
      <c r="CE179" s="124">
        <v>20850</v>
      </c>
    </row>
    <row r="180" spans="1:83" hidden="1">
      <c r="A180" s="13">
        <f t="shared" ca="1" si="506"/>
        <v>173</v>
      </c>
      <c r="B180" s="128">
        <v>44677</v>
      </c>
      <c r="C180" s="121" t="s">
        <v>8</v>
      </c>
      <c r="D180" s="121">
        <v>1</v>
      </c>
      <c r="E180" s="120" t="s">
        <v>481</v>
      </c>
      <c r="F180" s="121" t="s">
        <v>506</v>
      </c>
      <c r="G180" s="120">
        <v>38000</v>
      </c>
      <c r="H180" s="122">
        <v>44707</v>
      </c>
      <c r="I180" s="120">
        <v>25</v>
      </c>
      <c r="J180" s="120">
        <v>317</v>
      </c>
      <c r="K180" s="120">
        <v>3.35</v>
      </c>
      <c r="L180" s="124">
        <f t="shared" ca="1" si="555"/>
        <v>0</v>
      </c>
      <c r="M180" s="124">
        <f t="shared" ca="1" si="556"/>
        <v>7841.2499999999991</v>
      </c>
      <c r="N180" s="120">
        <f t="shared" ca="1" si="557"/>
        <v>1.056782334384858E-2</v>
      </c>
      <c r="O180" s="164">
        <f t="shared" ca="1" si="558"/>
        <v>396.25</v>
      </c>
      <c r="P180" s="168">
        <f t="shared" ca="1" si="507"/>
        <v>7925</v>
      </c>
      <c r="Q180" s="168" t="e">
        <f t="shared" ca="1" si="559"/>
        <v>#N/A</v>
      </c>
      <c r="R180" s="184">
        <f t="shared" ca="1" si="403"/>
        <v>0</v>
      </c>
      <c r="S180" s="124">
        <f t="shared" ca="1" si="560"/>
        <v>31.699999999999992</v>
      </c>
      <c r="T180" s="120">
        <f ca="1">VLOOKUP(TRIM($F180),Reference!B:C,2,0)</f>
        <v>34651.199999999997</v>
      </c>
      <c r="U180" s="181">
        <f t="shared" ca="1" si="561"/>
        <v>0</v>
      </c>
      <c r="V180" s="125" t="str">
        <f t="shared" ca="1" si="395"/>
        <v>BANKNIFTY22MAY38000CE</v>
      </c>
      <c r="W180" s="166" t="e">
        <f ca="1">VLOOKUP($V180,Reference!BA:BD,4,0)</f>
        <v>#N/A</v>
      </c>
      <c r="X180" s="168">
        <f t="shared" ca="1" si="396"/>
        <v>0</v>
      </c>
      <c r="Y180" s="168">
        <f t="shared" ca="1" si="397"/>
        <v>0</v>
      </c>
      <c r="Z180" s="168">
        <f t="shared" ca="1" si="404"/>
        <v>0</v>
      </c>
      <c r="AA180" s="168">
        <f t="shared" ca="1" si="398"/>
        <v>0</v>
      </c>
      <c r="AB180" s="168">
        <f t="shared" ca="1" si="399"/>
        <v>0</v>
      </c>
      <c r="AC180" s="124">
        <f t="shared" ca="1" si="400"/>
        <v>0</v>
      </c>
      <c r="AD180" s="120">
        <f t="shared" ca="1" si="562"/>
        <v>-0.13698630136986301</v>
      </c>
      <c r="AE180" s="120">
        <f t="shared" ca="1" si="563"/>
        <v>20</v>
      </c>
      <c r="AF180" s="120"/>
      <c r="AG180" s="120"/>
      <c r="AH180" s="120">
        <f t="shared" ca="1" si="508"/>
        <v>3.9624999999999999</v>
      </c>
      <c r="AI180" s="120"/>
      <c r="AJ180" s="120">
        <f t="shared" ca="1" si="509"/>
        <v>0</v>
      </c>
      <c r="AK180" s="120"/>
      <c r="AL180" s="147"/>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c r="BS180" s="13">
        <v>2</v>
      </c>
      <c r="BT180" s="128">
        <v>44491</v>
      </c>
      <c r="BU180" s="121" t="s">
        <v>8</v>
      </c>
      <c r="BV180" s="120" t="s">
        <v>482</v>
      </c>
      <c r="BW180" s="121" t="s">
        <v>502</v>
      </c>
      <c r="BX180" s="120">
        <v>18400</v>
      </c>
      <c r="BY180" s="120">
        <v>41.7</v>
      </c>
      <c r="BZ180" s="120">
        <v>47.945</v>
      </c>
      <c r="CA180" s="124">
        <v>-3216.6708800000001</v>
      </c>
      <c r="CB180" s="120">
        <v>1.1497601918465228</v>
      </c>
      <c r="CC180" s="120">
        <v>500</v>
      </c>
      <c r="CD180" s="120">
        <v>50</v>
      </c>
      <c r="CE180" s="124">
        <v>20850</v>
      </c>
    </row>
    <row r="181" spans="1:83" hidden="1">
      <c r="A181" s="13">
        <f t="shared" ca="1" si="506"/>
        <v>174</v>
      </c>
      <c r="B181" s="128">
        <v>44678</v>
      </c>
      <c r="C181" s="121" t="s">
        <v>6</v>
      </c>
      <c r="D181" s="121">
        <v>1</v>
      </c>
      <c r="E181" s="120" t="s">
        <v>632</v>
      </c>
      <c r="F181" s="121" t="s">
        <v>130</v>
      </c>
      <c r="G181" s="120"/>
      <c r="H181" s="122">
        <v>44707</v>
      </c>
      <c r="I181" s="120">
        <v>3375</v>
      </c>
      <c r="J181" s="120">
        <v>248.85</v>
      </c>
      <c r="K181" s="120">
        <v>250.2</v>
      </c>
      <c r="L181" s="124">
        <f t="shared" ca="1" si="555"/>
        <v>0</v>
      </c>
      <c r="M181" s="124">
        <f t="shared" ca="1" si="556"/>
        <v>4556.2499999999809</v>
      </c>
      <c r="N181" s="120">
        <f t="shared" ca="1" si="557"/>
        <v>1.0054249547920433</v>
      </c>
      <c r="O181" s="164">
        <f t="shared" ca="1" si="558"/>
        <v>186.63749999999999</v>
      </c>
      <c r="P181" s="168">
        <f t="shared" ca="1" si="507"/>
        <v>839868.75</v>
      </c>
      <c r="Q181" s="168" t="e">
        <f t="shared" ca="1" si="559"/>
        <v>#N/A</v>
      </c>
      <c r="R181" s="184">
        <f t="shared" ca="1" si="403"/>
        <v>0</v>
      </c>
      <c r="S181" s="124">
        <f t="shared" ca="1" si="560"/>
        <v>24.884999999999994</v>
      </c>
      <c r="T181" s="120">
        <f ca="1">VLOOKUP(TRIM($F181),Reference!B:C,2,0)</f>
        <v>221.6</v>
      </c>
      <c r="U181" s="181">
        <f t="shared" ca="1" si="561"/>
        <v>0</v>
      </c>
      <c r="V181" s="125" t="str">
        <f t="shared" ca="1" si="395"/>
        <v>TATAPOWER22MAYFUT</v>
      </c>
      <c r="W181" s="166" t="e">
        <f ca="1">VLOOKUP($V181,Reference!BA:BD,4,0)</f>
        <v>#N/A</v>
      </c>
      <c r="X181" s="168">
        <f t="shared" ca="1" si="396"/>
        <v>0</v>
      </c>
      <c r="Y181" s="168">
        <f t="shared" ca="1" si="397"/>
        <v>0</v>
      </c>
      <c r="Z181" s="168">
        <f t="shared" ca="1" si="404"/>
        <v>0</v>
      </c>
      <c r="AA181" s="168">
        <f t="shared" ca="1" si="398"/>
        <v>0</v>
      </c>
      <c r="AB181" s="168">
        <f t="shared" ca="1" si="399"/>
        <v>0</v>
      </c>
      <c r="AC181" s="124">
        <f t="shared" ca="1" si="400"/>
        <v>0</v>
      </c>
      <c r="AD181" s="120">
        <f t="shared" ca="1" si="562"/>
        <v>-0.13698630136986301</v>
      </c>
      <c r="AE181" s="120">
        <f t="shared" ca="1" si="563"/>
        <v>20</v>
      </c>
      <c r="AF181" s="120"/>
      <c r="AG181" s="120"/>
      <c r="AH181" s="120">
        <f t="shared" ca="1" si="508"/>
        <v>0</v>
      </c>
      <c r="AI181" s="120"/>
      <c r="AJ181" s="120">
        <f t="shared" ca="1" si="509"/>
        <v>25.1960625</v>
      </c>
      <c r="AK181" s="120"/>
      <c r="AL181" s="147"/>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c r="BS181" s="13">
        <v>2</v>
      </c>
      <c r="BT181" s="128">
        <v>44491</v>
      </c>
      <c r="BU181" s="121" t="s">
        <v>8</v>
      </c>
      <c r="BV181" s="120" t="s">
        <v>482</v>
      </c>
      <c r="BW181" s="121" t="s">
        <v>502</v>
      </c>
      <c r="BX181" s="120">
        <v>18400</v>
      </c>
      <c r="BY181" s="120">
        <v>41.7</v>
      </c>
      <c r="BZ181" s="120">
        <v>47.945</v>
      </c>
      <c r="CA181" s="124">
        <v>-3216.6708800000001</v>
      </c>
      <c r="CB181" s="120">
        <v>1.1497601918465228</v>
      </c>
      <c r="CC181" s="120">
        <v>500</v>
      </c>
      <c r="CD181" s="120">
        <v>50</v>
      </c>
      <c r="CE181" s="124">
        <v>20850</v>
      </c>
    </row>
    <row r="182" spans="1:83" hidden="1">
      <c r="A182" s="13">
        <f t="shared" ca="1" si="506"/>
        <v>175</v>
      </c>
      <c r="B182" s="128">
        <v>44678</v>
      </c>
      <c r="C182" s="121" t="s">
        <v>6</v>
      </c>
      <c r="D182" s="121">
        <v>1</v>
      </c>
      <c r="E182" s="120" t="s">
        <v>632</v>
      </c>
      <c r="F182" s="121" t="s">
        <v>90</v>
      </c>
      <c r="G182" s="120"/>
      <c r="H182" s="122">
        <v>44707</v>
      </c>
      <c r="I182" s="120">
        <v>150</v>
      </c>
      <c r="J182" s="120">
        <v>3555.8</v>
      </c>
      <c r="K182" s="120">
        <v>3314</v>
      </c>
      <c r="L182" s="124">
        <f t="shared" ca="1" si="555"/>
        <v>0</v>
      </c>
      <c r="M182" s="124">
        <f t="shared" ca="1" si="556"/>
        <v>-36270.000000000029</v>
      </c>
      <c r="N182" s="120">
        <f t="shared" ca="1" si="557"/>
        <v>0.9319984251082738</v>
      </c>
      <c r="O182" s="164">
        <f t="shared" ca="1" si="558"/>
        <v>2666.8500000000004</v>
      </c>
      <c r="P182" s="168">
        <f t="shared" ca="1" si="507"/>
        <v>533370</v>
      </c>
      <c r="Q182" s="168" t="e">
        <f t="shared" ca="1" si="559"/>
        <v>#N/A</v>
      </c>
      <c r="R182" s="184">
        <f t="shared" ca="1" si="403"/>
        <v>0</v>
      </c>
      <c r="S182" s="124">
        <f t="shared" ca="1" si="560"/>
        <v>355.57999999999993</v>
      </c>
      <c r="T182" s="120">
        <f ca="1">VLOOKUP(TRIM($F182),Reference!B:C,2,0)</f>
        <v>3003</v>
      </c>
      <c r="U182" s="181">
        <f t="shared" ca="1" si="561"/>
        <v>0</v>
      </c>
      <c r="V182" s="125" t="str">
        <f t="shared" ca="1" si="395"/>
        <v>TCS22MAYFUT</v>
      </c>
      <c r="W182" s="166" t="e">
        <f ca="1">VLOOKUP($V182,Reference!BA:BD,4,0)</f>
        <v>#N/A</v>
      </c>
      <c r="X182" s="168">
        <f t="shared" ca="1" si="396"/>
        <v>0</v>
      </c>
      <c r="Y182" s="168">
        <f t="shared" ca="1" si="397"/>
        <v>0</v>
      </c>
      <c r="Z182" s="168">
        <f t="shared" ca="1" si="404"/>
        <v>0</v>
      </c>
      <c r="AA182" s="168">
        <f t="shared" ca="1" si="398"/>
        <v>0</v>
      </c>
      <c r="AB182" s="168">
        <f t="shared" ca="1" si="399"/>
        <v>0</v>
      </c>
      <c r="AC182" s="124">
        <f t="shared" ca="1" si="400"/>
        <v>0</v>
      </c>
      <c r="AD182" s="120">
        <f t="shared" ca="1" si="562"/>
        <v>-0.13698630136986301</v>
      </c>
      <c r="AE182" s="120">
        <f t="shared" ca="1" si="563"/>
        <v>20</v>
      </c>
      <c r="AF182" s="120"/>
      <c r="AG182" s="120"/>
      <c r="AH182" s="120">
        <f t="shared" ca="1" si="508"/>
        <v>0</v>
      </c>
      <c r="AI182" s="120"/>
      <c r="AJ182" s="120">
        <f t="shared" ca="1" si="509"/>
        <v>16.001100000000001</v>
      </c>
      <c r="AK182" s="120"/>
      <c r="AL182" s="147"/>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c r="BS182" s="13">
        <v>2</v>
      </c>
      <c r="BT182" s="128">
        <v>44491</v>
      </c>
      <c r="BU182" s="121" t="s">
        <v>8</v>
      </c>
      <c r="BV182" s="120" t="s">
        <v>482</v>
      </c>
      <c r="BW182" s="121" t="s">
        <v>502</v>
      </c>
      <c r="BX182" s="120">
        <v>18400</v>
      </c>
      <c r="BY182" s="120">
        <v>41.7</v>
      </c>
      <c r="BZ182" s="120">
        <v>47.945</v>
      </c>
      <c r="CA182" s="124">
        <v>-3216.6708800000001</v>
      </c>
      <c r="CB182" s="120">
        <v>1.1497601918465228</v>
      </c>
      <c r="CC182" s="120">
        <v>500</v>
      </c>
      <c r="CD182" s="120">
        <v>50</v>
      </c>
      <c r="CE182" s="124">
        <v>20850</v>
      </c>
    </row>
    <row r="183" spans="1:83" hidden="1">
      <c r="A183" s="13">
        <f t="shared" ca="1" si="506"/>
        <v>176</v>
      </c>
      <c r="B183" s="128">
        <v>44678</v>
      </c>
      <c r="C183" s="121" t="s">
        <v>6</v>
      </c>
      <c r="D183" s="121">
        <v>1</v>
      </c>
      <c r="E183" s="120" t="s">
        <v>632</v>
      </c>
      <c r="F183" s="121" t="s">
        <v>284</v>
      </c>
      <c r="G183" s="120"/>
      <c r="H183" s="122">
        <v>44707</v>
      </c>
      <c r="I183" s="120">
        <v>2850</v>
      </c>
      <c r="J183" s="120">
        <v>432.25</v>
      </c>
      <c r="K183" s="120">
        <v>433.7</v>
      </c>
      <c r="L183" s="124">
        <f t="shared" ca="1" si="555"/>
        <v>0</v>
      </c>
      <c r="M183" s="124">
        <f t="shared" ca="1" si="556"/>
        <v>4132.4999999999673</v>
      </c>
      <c r="N183" s="120">
        <f t="shared" ca="1" si="557"/>
        <v>1.0033545401966455</v>
      </c>
      <c r="O183" s="164">
        <f t="shared" ca="1" si="558"/>
        <v>324.1875</v>
      </c>
      <c r="P183" s="168">
        <f t="shared" ca="1" si="507"/>
        <v>1231912.5</v>
      </c>
      <c r="Q183" s="168" t="e">
        <f t="shared" ca="1" si="559"/>
        <v>#N/A</v>
      </c>
      <c r="R183" s="184">
        <f t="shared" ca="1" si="403"/>
        <v>0</v>
      </c>
      <c r="S183" s="124">
        <f t="shared" ca="1" si="560"/>
        <v>43.224999999999987</v>
      </c>
      <c r="T183" s="120">
        <f ca="1">VLOOKUP(TRIM($F183),Reference!B:C,2,0)</f>
        <v>428</v>
      </c>
      <c r="U183" s="181">
        <f t="shared" ca="1" si="561"/>
        <v>0</v>
      </c>
      <c r="V183" s="125" t="str">
        <f t="shared" ca="1" si="395"/>
        <v>TATAMOTORS22MAYFUT</v>
      </c>
      <c r="W183" s="166" t="e">
        <f ca="1">VLOOKUP($V183,Reference!BA:BD,4,0)</f>
        <v>#N/A</v>
      </c>
      <c r="X183" s="168">
        <f t="shared" ca="1" si="396"/>
        <v>0</v>
      </c>
      <c r="Y183" s="168">
        <f t="shared" ca="1" si="397"/>
        <v>0</v>
      </c>
      <c r="Z183" s="168">
        <f t="shared" ca="1" si="404"/>
        <v>0</v>
      </c>
      <c r="AA183" s="168">
        <f t="shared" ca="1" si="398"/>
        <v>0</v>
      </c>
      <c r="AB183" s="168">
        <f t="shared" ca="1" si="399"/>
        <v>0</v>
      </c>
      <c r="AC183" s="124">
        <f t="shared" ca="1" si="400"/>
        <v>0</v>
      </c>
      <c r="AD183" s="120">
        <f t="shared" ca="1" si="562"/>
        <v>-0.13698630136986301</v>
      </c>
      <c r="AE183" s="120">
        <f t="shared" ca="1" si="563"/>
        <v>20</v>
      </c>
      <c r="AF183" s="120"/>
      <c r="AG183" s="120"/>
      <c r="AH183" s="120">
        <f t="shared" ca="1" si="508"/>
        <v>0</v>
      </c>
      <c r="AI183" s="120"/>
      <c r="AJ183" s="120">
        <f t="shared" ca="1" si="509"/>
        <v>36.957374999999999</v>
      </c>
      <c r="AK183" s="120"/>
      <c r="AL183" s="147"/>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c r="BS183" s="13">
        <v>2</v>
      </c>
      <c r="BT183" s="128">
        <v>44491</v>
      </c>
      <c r="BU183" s="121" t="s">
        <v>8</v>
      </c>
      <c r="BV183" s="120" t="s">
        <v>482</v>
      </c>
      <c r="BW183" s="121" t="s">
        <v>502</v>
      </c>
      <c r="BX183" s="120">
        <v>18400</v>
      </c>
      <c r="BY183" s="120">
        <v>41.7</v>
      </c>
      <c r="BZ183" s="120">
        <v>47.945</v>
      </c>
      <c r="CA183" s="124">
        <v>-3216.6708800000001</v>
      </c>
      <c r="CB183" s="120">
        <v>1.1497601918465228</v>
      </c>
      <c r="CC183" s="120">
        <v>500</v>
      </c>
      <c r="CD183" s="120">
        <v>50</v>
      </c>
      <c r="CE183" s="124">
        <v>20850</v>
      </c>
    </row>
    <row r="184" spans="1:83" hidden="1">
      <c r="A184" s="13">
        <f t="shared" ca="1" si="506"/>
        <v>177</v>
      </c>
      <c r="B184" s="128">
        <v>44678</v>
      </c>
      <c r="C184" s="121" t="s">
        <v>6</v>
      </c>
      <c r="D184" s="121">
        <v>1</v>
      </c>
      <c r="E184" s="120" t="s">
        <v>632</v>
      </c>
      <c r="F184" s="121" t="s">
        <v>126</v>
      </c>
      <c r="G184" s="120"/>
      <c r="H184" s="122">
        <v>44707</v>
      </c>
      <c r="I184" s="120">
        <v>7500</v>
      </c>
      <c r="J184" s="120">
        <v>219.8</v>
      </c>
      <c r="K184" s="120">
        <v>178.15</v>
      </c>
      <c r="L184" s="124">
        <f t="shared" ca="1" si="555"/>
        <v>0</v>
      </c>
      <c r="M184" s="124">
        <f t="shared" ca="1" si="556"/>
        <v>-312375.00000000006</v>
      </c>
      <c r="N184" s="120">
        <f t="shared" ca="1" si="557"/>
        <v>0.81050955414012738</v>
      </c>
      <c r="O184" s="164">
        <f t="shared" ca="1" si="558"/>
        <v>164.85000000000002</v>
      </c>
      <c r="P184" s="168">
        <f t="shared" ca="1" si="507"/>
        <v>1648500</v>
      </c>
      <c r="Q184" s="168" t="e">
        <f t="shared" ca="1" si="559"/>
        <v>#N/A</v>
      </c>
      <c r="R184" s="184">
        <f t="shared" ca="1" si="403"/>
        <v>0</v>
      </c>
      <c r="S184" s="124">
        <f t="shared" ca="1" si="560"/>
        <v>21.979999999999997</v>
      </c>
      <c r="T184" s="120">
        <f ca="1">VLOOKUP(TRIM($F184),Reference!B:C,2,0)</f>
        <v>162.15</v>
      </c>
      <c r="U184" s="181">
        <f t="shared" ca="1" si="561"/>
        <v>0</v>
      </c>
      <c r="V184" s="125" t="str">
        <f t="shared" ca="1" si="395"/>
        <v>IEX22MAYFUT</v>
      </c>
      <c r="W184" s="166" t="e">
        <f ca="1">VLOOKUP($V184,Reference!BA:BD,4,0)</f>
        <v>#N/A</v>
      </c>
      <c r="X184" s="168">
        <f t="shared" ca="1" si="396"/>
        <v>0</v>
      </c>
      <c r="Y184" s="168">
        <f t="shared" ca="1" si="397"/>
        <v>0</v>
      </c>
      <c r="Z184" s="168">
        <f t="shared" ca="1" si="404"/>
        <v>0</v>
      </c>
      <c r="AA184" s="168">
        <f t="shared" ca="1" si="398"/>
        <v>0</v>
      </c>
      <c r="AB184" s="168">
        <f t="shared" ca="1" si="399"/>
        <v>0</v>
      </c>
      <c r="AC184" s="124">
        <f t="shared" ca="1" si="400"/>
        <v>0</v>
      </c>
      <c r="AD184" s="120">
        <f t="shared" ca="1" si="562"/>
        <v>-0.13698630136986301</v>
      </c>
      <c r="AE184" s="120">
        <f t="shared" ca="1" si="563"/>
        <v>20</v>
      </c>
      <c r="AF184" s="120"/>
      <c r="AG184" s="120"/>
      <c r="AH184" s="120">
        <f t="shared" ca="1" si="508"/>
        <v>0</v>
      </c>
      <c r="AI184" s="120"/>
      <c r="AJ184" s="120">
        <f t="shared" ca="1" si="509"/>
        <v>49.454999999999998</v>
      </c>
      <c r="AK184" s="120"/>
      <c r="AL184" s="147"/>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c r="BS184" s="13">
        <v>2</v>
      </c>
      <c r="BT184" s="128">
        <v>44491</v>
      </c>
      <c r="BU184" s="121" t="s">
        <v>8</v>
      </c>
      <c r="BV184" s="120" t="s">
        <v>482</v>
      </c>
      <c r="BW184" s="121" t="s">
        <v>502</v>
      </c>
      <c r="BX184" s="120">
        <v>18400</v>
      </c>
      <c r="BY184" s="120">
        <v>41.7</v>
      </c>
      <c r="BZ184" s="120">
        <v>47.945</v>
      </c>
      <c r="CA184" s="124">
        <v>-3216.6708800000001</v>
      </c>
      <c r="CB184" s="120">
        <v>1.1497601918465228</v>
      </c>
      <c r="CC184" s="120">
        <v>500</v>
      </c>
      <c r="CD184" s="120">
        <v>50</v>
      </c>
      <c r="CE184" s="124">
        <v>20850</v>
      </c>
    </row>
    <row r="185" spans="1:83" hidden="1">
      <c r="A185" s="13">
        <f t="shared" ca="1" si="506"/>
        <v>178</v>
      </c>
      <c r="B185" s="128">
        <v>44678</v>
      </c>
      <c r="C185" s="121" t="s">
        <v>6</v>
      </c>
      <c r="D185" s="121">
        <v>1</v>
      </c>
      <c r="E185" s="120" t="s">
        <v>632</v>
      </c>
      <c r="F185" s="121" t="s">
        <v>399</v>
      </c>
      <c r="G185" s="120"/>
      <c r="H185" s="122">
        <v>44707</v>
      </c>
      <c r="I185" s="120">
        <v>575</v>
      </c>
      <c r="J185" s="120">
        <v>1684.05</v>
      </c>
      <c r="K185" s="120">
        <v>1641.75</v>
      </c>
      <c r="L185" s="124">
        <f t="shared" ca="1" si="555"/>
        <v>0</v>
      </c>
      <c r="M185" s="124">
        <f t="shared" ca="1" si="556"/>
        <v>-24322.499999999975</v>
      </c>
      <c r="N185" s="120">
        <f t="shared" ca="1" si="557"/>
        <v>0.97488198093880829</v>
      </c>
      <c r="O185" s="164">
        <f t="shared" ca="1" si="558"/>
        <v>1263.0374999999999</v>
      </c>
      <c r="P185" s="168">
        <f t="shared" ca="1" si="507"/>
        <v>968328.75</v>
      </c>
      <c r="Q185" s="168" t="e">
        <f t="shared" ca="1" si="559"/>
        <v>#N/A</v>
      </c>
      <c r="R185" s="184">
        <f t="shared" ca="1" si="403"/>
        <v>0</v>
      </c>
      <c r="S185" s="124">
        <f t="shared" ca="1" si="560"/>
        <v>168.40499999999994</v>
      </c>
      <c r="T185" s="120">
        <f ca="1">VLOOKUP(TRIM($F185),Reference!B:C,2,0)</f>
        <v>1646</v>
      </c>
      <c r="U185" s="181">
        <f t="shared" ca="1" si="561"/>
        <v>0</v>
      </c>
      <c r="V185" s="125" t="str">
        <f t="shared" ca="1" si="395"/>
        <v>LT22MAYFUT</v>
      </c>
      <c r="W185" s="166" t="e">
        <f ca="1">VLOOKUP($V185,Reference!BA:BD,4,0)</f>
        <v>#N/A</v>
      </c>
      <c r="X185" s="168">
        <f t="shared" ca="1" si="396"/>
        <v>0</v>
      </c>
      <c r="Y185" s="168">
        <f t="shared" ca="1" si="397"/>
        <v>0</v>
      </c>
      <c r="Z185" s="168">
        <f t="shared" ca="1" si="404"/>
        <v>0</v>
      </c>
      <c r="AA185" s="168">
        <f t="shared" ca="1" si="398"/>
        <v>0</v>
      </c>
      <c r="AB185" s="168">
        <f t="shared" ca="1" si="399"/>
        <v>0</v>
      </c>
      <c r="AC185" s="124">
        <f t="shared" ca="1" si="400"/>
        <v>0</v>
      </c>
      <c r="AD185" s="120">
        <f t="shared" ca="1" si="562"/>
        <v>-0.13698630136986301</v>
      </c>
      <c r="AE185" s="120">
        <f t="shared" ca="1" si="563"/>
        <v>20</v>
      </c>
      <c r="AF185" s="120"/>
      <c r="AG185" s="120"/>
      <c r="AH185" s="120">
        <f t="shared" ca="1" si="508"/>
        <v>0</v>
      </c>
      <c r="AI185" s="120"/>
      <c r="AJ185" s="120">
        <f t="shared" ca="1" si="509"/>
        <v>29.0498625</v>
      </c>
      <c r="AK185" s="120"/>
      <c r="AL185" s="147"/>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c r="BS185" s="13">
        <v>2</v>
      </c>
      <c r="BT185" s="128">
        <v>44491</v>
      </c>
      <c r="BU185" s="121" t="s">
        <v>8</v>
      </c>
      <c r="BV185" s="120" t="s">
        <v>482</v>
      </c>
      <c r="BW185" s="121" t="s">
        <v>502</v>
      </c>
      <c r="BX185" s="120">
        <v>18400</v>
      </c>
      <c r="BY185" s="120">
        <v>41.7</v>
      </c>
      <c r="BZ185" s="120">
        <v>47.945</v>
      </c>
      <c r="CA185" s="124">
        <v>-3216.6708800000001</v>
      </c>
      <c r="CB185" s="120">
        <v>1.1497601918465228</v>
      </c>
      <c r="CC185" s="120">
        <v>500</v>
      </c>
      <c r="CD185" s="120">
        <v>50</v>
      </c>
      <c r="CE185" s="124">
        <v>20850</v>
      </c>
    </row>
    <row r="186" spans="1:83" hidden="1">
      <c r="A186" s="13">
        <f t="shared" ca="1" si="506"/>
        <v>179</v>
      </c>
      <c r="B186" s="128">
        <v>44678</v>
      </c>
      <c r="C186" s="121" t="s">
        <v>6</v>
      </c>
      <c r="D186" s="121">
        <v>1</v>
      </c>
      <c r="E186" s="120" t="s">
        <v>632</v>
      </c>
      <c r="F186" s="121" t="s">
        <v>381</v>
      </c>
      <c r="G186" s="120"/>
      <c r="H186" s="122">
        <v>44707</v>
      </c>
      <c r="I186" s="120">
        <v>200</v>
      </c>
      <c r="J186" s="120">
        <v>3565</v>
      </c>
      <c r="K186" s="120">
        <v>2922.6</v>
      </c>
      <c r="L186" s="124">
        <f t="shared" ref="L186:L187" ca="1" si="564">IF(AND(K186&lt;&gt;0,I186&lt;&gt;0),(IF(C186="B",1,-1))*(K186-J186)*I186-AK186*2,0)*$D186*IF(MONTH($B$2)=MONTH($H186),1,0)</f>
        <v>0</v>
      </c>
      <c r="M186" s="124">
        <f t="shared" ref="M186:M187" ca="1" si="565">IF(AND(K186&lt;&gt;0,I186&lt;&gt;0),(IF(C186="B",1,-1))*(K186-J186)*I186-AK186*2,0)*$D186</f>
        <v>-128480.00000000001</v>
      </c>
      <c r="N186" s="120">
        <f t="shared" ref="N186:N187" ca="1" si="566">K186/$J186</f>
        <v>0.81980364656381488</v>
      </c>
      <c r="O186" s="164">
        <f t="shared" ref="O186:O187" ca="1" si="567">J186*(1+$O$6*IF(C186="B",-1,1))</f>
        <v>2673.75</v>
      </c>
      <c r="P186" s="168">
        <f t="shared" ca="1" si="507"/>
        <v>713000</v>
      </c>
      <c r="Q186" s="168" t="e">
        <f t="shared" ref="Q186:Q187" ca="1" si="568">(W186-J186)*I186*IF(C186="B",1,-1)*IF(K186=0,1,0)</f>
        <v>#N/A</v>
      </c>
      <c r="R186" s="184">
        <f t="shared" ca="1" si="403"/>
        <v>0</v>
      </c>
      <c r="S186" s="124">
        <f t="shared" ref="S186:S187" ca="1" si="569">(1-$S$6)*J186</f>
        <v>356.49999999999994</v>
      </c>
      <c r="T186" s="120">
        <f ca="1">VLOOKUP(TRIM($F186),Reference!B:C,2,0)</f>
        <v>2788</v>
      </c>
      <c r="U186" s="181">
        <f t="shared" ref="U186:U187" ca="1" si="570">AC186</f>
        <v>0</v>
      </c>
      <c r="V186" s="125" t="str">
        <f t="shared" ca="1" si="395"/>
        <v>MINDTREE22MAYFUT</v>
      </c>
      <c r="W186" s="166" t="e">
        <f ca="1">VLOOKUP($V186,Reference!BA:BD,4,0)</f>
        <v>#N/A</v>
      </c>
      <c r="X186" s="168">
        <f t="shared" ca="1" si="396"/>
        <v>0</v>
      </c>
      <c r="Y186" s="168">
        <f t="shared" ca="1" si="397"/>
        <v>0</v>
      </c>
      <c r="Z186" s="168">
        <f t="shared" ca="1" si="404"/>
        <v>0</v>
      </c>
      <c r="AA186" s="168">
        <f t="shared" ca="1" si="398"/>
        <v>0</v>
      </c>
      <c r="AB186" s="168">
        <f t="shared" ca="1" si="399"/>
        <v>0</v>
      </c>
      <c r="AC186" s="124">
        <f t="shared" ca="1" si="400"/>
        <v>0</v>
      </c>
      <c r="AD186" s="120">
        <f t="shared" ref="AD186:AD187" ca="1" si="571">(H186-TODAY())/365</f>
        <v>-0.13698630136986301</v>
      </c>
      <c r="AE186" s="120">
        <f t="shared" ref="AE186:AE187" ca="1" si="572">IF(I186&lt;&gt;0,20,0)</f>
        <v>20</v>
      </c>
      <c r="AF186" s="120"/>
      <c r="AG186" s="120"/>
      <c r="AH186" s="120">
        <f t="shared" ca="1" si="508"/>
        <v>0</v>
      </c>
      <c r="AI186" s="120"/>
      <c r="AJ186" s="120">
        <f t="shared" ca="1" si="509"/>
        <v>21.39</v>
      </c>
      <c r="AK186" s="120"/>
      <c r="AL186" s="147"/>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c r="BS186" s="13">
        <v>2</v>
      </c>
      <c r="BT186" s="128">
        <v>44491</v>
      </c>
      <c r="BU186" s="121" t="s">
        <v>8</v>
      </c>
      <c r="BV186" s="120" t="s">
        <v>482</v>
      </c>
      <c r="BW186" s="121" t="s">
        <v>502</v>
      </c>
      <c r="BX186" s="120">
        <v>18400</v>
      </c>
      <c r="BY186" s="120">
        <v>41.7</v>
      </c>
      <c r="BZ186" s="120">
        <v>47.945</v>
      </c>
      <c r="CA186" s="124">
        <v>-3216.6708800000001</v>
      </c>
      <c r="CB186" s="120">
        <v>1.1497601918465228</v>
      </c>
      <c r="CC186" s="120">
        <v>500</v>
      </c>
      <c r="CD186" s="120">
        <v>50</v>
      </c>
      <c r="CE186" s="124">
        <v>20850</v>
      </c>
    </row>
    <row r="187" spans="1:83" hidden="1">
      <c r="A187" s="13">
        <f t="shared" ca="1" si="506"/>
        <v>180</v>
      </c>
      <c r="B187" s="128">
        <v>44679</v>
      </c>
      <c r="C187" s="121" t="s">
        <v>6</v>
      </c>
      <c r="D187" s="121">
        <v>1</v>
      </c>
      <c r="E187" s="120" t="s">
        <v>632</v>
      </c>
      <c r="F187" s="121" t="s">
        <v>284</v>
      </c>
      <c r="G187" s="120"/>
      <c r="H187" s="122">
        <v>44707</v>
      </c>
      <c r="I187" s="120">
        <v>1425</v>
      </c>
      <c r="J187" s="120">
        <v>432.25</v>
      </c>
      <c r="K187" s="120">
        <v>424.9</v>
      </c>
      <c r="L187" s="124">
        <f t="shared" ca="1" si="564"/>
        <v>0</v>
      </c>
      <c r="M187" s="124">
        <f t="shared" ca="1" si="565"/>
        <v>-10473.750000000033</v>
      </c>
      <c r="N187" s="120">
        <f t="shared" ca="1" si="566"/>
        <v>0.98299595141700402</v>
      </c>
      <c r="O187" s="164">
        <f t="shared" ca="1" si="567"/>
        <v>324.1875</v>
      </c>
      <c r="P187" s="168">
        <f t="shared" ca="1" si="507"/>
        <v>615956.25</v>
      </c>
      <c r="Q187" s="168" t="e">
        <f t="shared" ca="1" si="568"/>
        <v>#N/A</v>
      </c>
      <c r="R187" s="184">
        <f t="shared" ca="1" si="403"/>
        <v>0</v>
      </c>
      <c r="S187" s="124">
        <f t="shared" ca="1" si="569"/>
        <v>43.224999999999987</v>
      </c>
      <c r="T187" s="120">
        <f ca="1">VLOOKUP(TRIM($F187),Reference!B:C,2,0)</f>
        <v>428</v>
      </c>
      <c r="U187" s="181">
        <f t="shared" ca="1" si="570"/>
        <v>0</v>
      </c>
      <c r="V187" s="125" t="str">
        <f t="shared" ca="1" si="395"/>
        <v>TATAMOTORS22MAYFUT</v>
      </c>
      <c r="W187" s="166" t="e">
        <f ca="1">VLOOKUP($V187,Reference!BA:BD,4,0)</f>
        <v>#N/A</v>
      </c>
      <c r="X187" s="168">
        <f t="shared" ca="1" si="396"/>
        <v>0</v>
      </c>
      <c r="Y187" s="168">
        <f t="shared" ca="1" si="397"/>
        <v>0</v>
      </c>
      <c r="Z187" s="168">
        <f t="shared" ca="1" si="404"/>
        <v>0</v>
      </c>
      <c r="AA187" s="168">
        <f t="shared" ca="1" si="398"/>
        <v>0</v>
      </c>
      <c r="AB187" s="168">
        <f t="shared" ca="1" si="399"/>
        <v>0</v>
      </c>
      <c r="AC187" s="124">
        <f t="shared" ca="1" si="400"/>
        <v>0</v>
      </c>
      <c r="AD187" s="120">
        <f t="shared" ca="1" si="571"/>
        <v>-0.13698630136986301</v>
      </c>
      <c r="AE187" s="120">
        <f t="shared" ca="1" si="572"/>
        <v>20</v>
      </c>
      <c r="AF187" s="120"/>
      <c r="AG187" s="120"/>
      <c r="AH187" s="120">
        <f t="shared" ca="1" si="508"/>
        <v>0</v>
      </c>
      <c r="AI187" s="120"/>
      <c r="AJ187" s="120">
        <f t="shared" ca="1" si="509"/>
        <v>18.478687499999999</v>
      </c>
      <c r="AK187" s="120"/>
      <c r="AL187" s="147"/>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c r="BS187" s="13">
        <v>2</v>
      </c>
      <c r="BT187" s="128">
        <v>44491</v>
      </c>
      <c r="BU187" s="121" t="s">
        <v>8</v>
      </c>
      <c r="BV187" s="120" t="s">
        <v>482</v>
      </c>
      <c r="BW187" s="121" t="s">
        <v>502</v>
      </c>
      <c r="BX187" s="120">
        <v>18400</v>
      </c>
      <c r="BY187" s="120">
        <v>41.7</v>
      </c>
      <c r="BZ187" s="120">
        <v>47.945</v>
      </c>
      <c r="CA187" s="124">
        <v>-3216.6708800000001</v>
      </c>
      <c r="CB187" s="120">
        <v>1.1497601918465228</v>
      </c>
      <c r="CC187" s="120">
        <v>500</v>
      </c>
      <c r="CD187" s="120">
        <v>50</v>
      </c>
      <c r="CE187" s="124">
        <v>20850</v>
      </c>
    </row>
    <row r="188" spans="1:83" hidden="1">
      <c r="A188" s="13">
        <f t="shared" ca="1" si="506"/>
        <v>181</v>
      </c>
      <c r="B188" s="128">
        <v>44679</v>
      </c>
      <c r="C188" s="121" t="s">
        <v>8</v>
      </c>
      <c r="D188" s="121">
        <v>1</v>
      </c>
      <c r="E188" s="120" t="s">
        <v>482</v>
      </c>
      <c r="F188" s="121" t="s">
        <v>284</v>
      </c>
      <c r="G188" s="120">
        <v>410</v>
      </c>
      <c r="H188" s="122">
        <v>44707</v>
      </c>
      <c r="I188" s="120">
        <v>1425</v>
      </c>
      <c r="J188" s="120">
        <v>10.35</v>
      </c>
      <c r="K188" s="120">
        <v>13.6</v>
      </c>
      <c r="L188" s="124">
        <f t="shared" ref="L188" ca="1" si="573">IF(AND(K188&lt;&gt;0,I188&lt;&gt;0),(IF(C188="B",1,-1))*(K188-J188)*I188-AK188*2,0)*$D188*IF(MONTH($B$2)=MONTH($H188),1,0)</f>
        <v>0</v>
      </c>
      <c r="M188" s="124">
        <f t="shared" ref="M188" ca="1" si="574">IF(AND(K188&lt;&gt;0,I188&lt;&gt;0),(IF(C188="B",1,-1))*(K188-J188)*I188-AK188*2,0)*$D188</f>
        <v>-4631.25</v>
      </c>
      <c r="N188" s="120">
        <f t="shared" ref="N188" ca="1" si="575">K188/$J188</f>
        <v>1.3140096618357489</v>
      </c>
      <c r="O188" s="164">
        <f t="shared" ref="O188" ca="1" si="576">J188*(1+$O$6*IF(C188="B",-1,1))</f>
        <v>12.9375</v>
      </c>
      <c r="P188" s="168">
        <f t="shared" ca="1" si="507"/>
        <v>14748.75</v>
      </c>
      <c r="Q188" s="168" t="e">
        <f t="shared" ref="Q188" ca="1" si="577">(W188-J188)*I188*IF(C188="B",1,-1)*IF(K188=0,1,0)</f>
        <v>#N/A</v>
      </c>
      <c r="R188" s="184">
        <f t="shared" ca="1" si="403"/>
        <v>0</v>
      </c>
      <c r="S188" s="124">
        <f t="shared" ref="S188" ca="1" si="578">(1-$S$6)*J188</f>
        <v>1.0349999999999997</v>
      </c>
      <c r="T188" s="120">
        <f ca="1">VLOOKUP(TRIM($F188),Reference!B:C,2,0)</f>
        <v>428</v>
      </c>
      <c r="U188" s="181">
        <f t="shared" ref="U188" ca="1" si="579">AC188</f>
        <v>0</v>
      </c>
      <c r="V188" s="125" t="str">
        <f t="shared" ca="1" si="395"/>
        <v>TATAMOTORS22MAY410PE</v>
      </c>
      <c r="W188" s="166" t="e">
        <f ca="1">VLOOKUP($V188,Reference!BA:BD,4,0)</f>
        <v>#N/A</v>
      </c>
      <c r="X188" s="168">
        <f t="shared" ca="1" si="396"/>
        <v>0</v>
      </c>
      <c r="Y188" s="168">
        <f t="shared" ca="1" si="397"/>
        <v>0</v>
      </c>
      <c r="Z188" s="168">
        <f t="shared" ca="1" si="404"/>
        <v>0</v>
      </c>
      <c r="AA188" s="168">
        <f t="shared" ca="1" si="398"/>
        <v>0</v>
      </c>
      <c r="AB188" s="168">
        <f t="shared" ca="1" si="399"/>
        <v>0</v>
      </c>
      <c r="AC188" s="124">
        <f t="shared" ca="1" si="400"/>
        <v>0</v>
      </c>
      <c r="AD188" s="120">
        <f t="shared" ref="AD188" ca="1" si="580">(H188-TODAY())/365</f>
        <v>-0.13698630136986301</v>
      </c>
      <c r="AE188" s="120">
        <f t="shared" ref="AE188" ca="1" si="581">IF(I188&lt;&gt;0,20,0)</f>
        <v>20</v>
      </c>
      <c r="AF188" s="120"/>
      <c r="AG188" s="120"/>
      <c r="AH188" s="120">
        <f t="shared" ca="1" si="508"/>
        <v>7.3743750000000006</v>
      </c>
      <c r="AI188" s="120"/>
      <c r="AJ188" s="120">
        <f t="shared" ca="1" si="509"/>
        <v>0</v>
      </c>
      <c r="AK188" s="120"/>
      <c r="AL188" s="147"/>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c r="BS188" s="13">
        <v>2</v>
      </c>
      <c r="BT188" s="128">
        <v>44491</v>
      </c>
      <c r="BU188" s="121" t="s">
        <v>8</v>
      </c>
      <c r="BV188" s="120" t="s">
        <v>482</v>
      </c>
      <c r="BW188" s="121" t="s">
        <v>502</v>
      </c>
      <c r="BX188" s="120">
        <v>18400</v>
      </c>
      <c r="BY188" s="120">
        <v>41.7</v>
      </c>
      <c r="BZ188" s="120">
        <v>47.945</v>
      </c>
      <c r="CA188" s="124">
        <v>-3216.6708800000001</v>
      </c>
      <c r="CB188" s="120">
        <v>1.1497601918465228</v>
      </c>
      <c r="CC188" s="120">
        <v>500</v>
      </c>
      <c r="CD188" s="120">
        <v>50</v>
      </c>
      <c r="CE188" s="124">
        <v>20850</v>
      </c>
    </row>
    <row r="189" spans="1:83" hidden="1">
      <c r="A189" s="13">
        <f t="shared" ca="1" si="506"/>
        <v>182</v>
      </c>
      <c r="B189" s="128">
        <v>44679</v>
      </c>
      <c r="C189" s="121" t="s">
        <v>8</v>
      </c>
      <c r="D189" s="121">
        <v>1</v>
      </c>
      <c r="E189" s="120" t="s">
        <v>482</v>
      </c>
      <c r="F189" s="121" t="s">
        <v>126</v>
      </c>
      <c r="G189" s="120">
        <v>205</v>
      </c>
      <c r="H189" s="122">
        <v>44707</v>
      </c>
      <c r="I189" s="120">
        <v>3750</v>
      </c>
      <c r="J189" s="120">
        <v>7</v>
      </c>
      <c r="K189" s="120">
        <v>15.35</v>
      </c>
      <c r="L189" s="124">
        <f t="shared" ref="L189" ca="1" si="582">IF(AND(K189&lt;&gt;0,I189&lt;&gt;0),(IF(C189="B",1,-1))*(K189-J189)*I189-AK189*2,0)*$D189*IF(MONTH($B$2)=MONTH($H189),1,0)</f>
        <v>0</v>
      </c>
      <c r="M189" s="124">
        <f t="shared" ref="M189" ca="1" si="583">IF(AND(K189&lt;&gt;0,I189&lt;&gt;0),(IF(C189="B",1,-1))*(K189-J189)*I189-AK189*2,0)*$D189</f>
        <v>-31312.5</v>
      </c>
      <c r="N189" s="120">
        <f t="shared" ref="N189" ca="1" si="584">K189/$J189</f>
        <v>2.1928571428571426</v>
      </c>
      <c r="O189" s="164">
        <f t="shared" ref="O189" ca="1" si="585">J189*(1+$O$6*IF(C189="B",-1,1))</f>
        <v>8.75</v>
      </c>
      <c r="P189" s="168">
        <f t="shared" ca="1" si="507"/>
        <v>26250</v>
      </c>
      <c r="Q189" s="168" t="e">
        <f t="shared" ref="Q189" ca="1" si="586">(W189-J189)*I189*IF(C189="B",1,-1)*IF(K189=0,1,0)</f>
        <v>#N/A</v>
      </c>
      <c r="R189" s="184">
        <f t="shared" ca="1" si="403"/>
        <v>0</v>
      </c>
      <c r="S189" s="124">
        <f t="shared" ref="S189" ca="1" si="587">(1-$S$6)*J189</f>
        <v>0.69999999999999984</v>
      </c>
      <c r="T189" s="120">
        <f ca="1">VLOOKUP(TRIM($F189),Reference!B:C,2,0)</f>
        <v>162.15</v>
      </c>
      <c r="U189" s="181">
        <f t="shared" ref="U189" ca="1" si="588">AC189</f>
        <v>0</v>
      </c>
      <c r="V189" s="125" t="str">
        <f t="shared" ca="1" si="395"/>
        <v>IEX22MAY205PE</v>
      </c>
      <c r="W189" s="166" t="e">
        <f ca="1">VLOOKUP($V189,Reference!BA:BD,4,0)</f>
        <v>#N/A</v>
      </c>
      <c r="X189" s="168">
        <f t="shared" ca="1" si="396"/>
        <v>0</v>
      </c>
      <c r="Y189" s="168">
        <f t="shared" ca="1" si="397"/>
        <v>0</v>
      </c>
      <c r="Z189" s="168">
        <f t="shared" ca="1" si="404"/>
        <v>0</v>
      </c>
      <c r="AA189" s="168">
        <f t="shared" ca="1" si="398"/>
        <v>0</v>
      </c>
      <c r="AB189" s="168">
        <f t="shared" ca="1" si="399"/>
        <v>0</v>
      </c>
      <c r="AC189" s="124">
        <f t="shared" ca="1" si="400"/>
        <v>0</v>
      </c>
      <c r="AD189" s="120">
        <f t="shared" ref="AD189" ca="1" si="589">(H189-TODAY())/365</f>
        <v>-0.13698630136986301</v>
      </c>
      <c r="AE189" s="120">
        <f t="shared" ref="AE189" ca="1" si="590">IF(I189&lt;&gt;0,20,0)</f>
        <v>20</v>
      </c>
      <c r="AF189" s="120"/>
      <c r="AG189" s="120"/>
      <c r="AH189" s="120">
        <f t="shared" ca="1" si="508"/>
        <v>13.125</v>
      </c>
      <c r="AI189" s="120"/>
      <c r="AJ189" s="120">
        <f t="shared" ca="1" si="509"/>
        <v>0</v>
      </c>
      <c r="AK189" s="120"/>
      <c r="AL189" s="147"/>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c r="BS189" s="13">
        <v>2</v>
      </c>
      <c r="BT189" s="128">
        <v>44491</v>
      </c>
      <c r="BU189" s="121" t="s">
        <v>8</v>
      </c>
      <c r="BV189" s="120" t="s">
        <v>482</v>
      </c>
      <c r="BW189" s="121" t="s">
        <v>502</v>
      </c>
      <c r="BX189" s="120">
        <v>18400</v>
      </c>
      <c r="BY189" s="120">
        <v>41.7</v>
      </c>
      <c r="BZ189" s="120">
        <v>47.945</v>
      </c>
      <c r="CA189" s="124">
        <v>-3216.6708800000001</v>
      </c>
      <c r="CB189" s="120">
        <v>1.1497601918465228</v>
      </c>
      <c r="CC189" s="120">
        <v>500</v>
      </c>
      <c r="CD189" s="120">
        <v>50</v>
      </c>
      <c r="CE189" s="124">
        <v>20850</v>
      </c>
    </row>
    <row r="190" spans="1:83" hidden="1">
      <c r="A190" s="13">
        <f t="shared" ca="1" si="506"/>
        <v>183</v>
      </c>
      <c r="B190" s="128">
        <v>44679</v>
      </c>
      <c r="C190" s="121" t="s">
        <v>8</v>
      </c>
      <c r="D190" s="121">
        <v>1</v>
      </c>
      <c r="E190" s="120" t="s">
        <v>481</v>
      </c>
      <c r="F190" s="121" t="s">
        <v>502</v>
      </c>
      <c r="G190" s="120">
        <v>18000</v>
      </c>
      <c r="H190" s="122">
        <v>44707</v>
      </c>
      <c r="I190" s="120">
        <v>100</v>
      </c>
      <c r="J190" s="120">
        <v>67.599999999999994</v>
      </c>
      <c r="K190" s="120">
        <v>6.95</v>
      </c>
      <c r="L190" s="124">
        <f t="shared" ref="L190" ca="1" si="591">IF(AND(K190&lt;&gt;0,I190&lt;&gt;0),(IF(C190="B",1,-1))*(K190-J190)*I190-AK190*2,0)*$D190*IF(MONTH($B$2)=MONTH($H190),1,0)</f>
        <v>0</v>
      </c>
      <c r="M190" s="124">
        <f t="shared" ref="M190" ca="1" si="592">IF(AND(K190&lt;&gt;0,I190&lt;&gt;0),(IF(C190="B",1,-1))*(K190-J190)*I190-AK190*2,0)*$D190</f>
        <v>6064.9999999999991</v>
      </c>
      <c r="N190" s="120">
        <f t="shared" ref="N190" ca="1" si="593">K190/$J190</f>
        <v>0.10281065088757398</v>
      </c>
      <c r="O190" s="164">
        <f t="shared" ref="O190" ca="1" si="594">J190*(1+$O$6*IF(C190="B",-1,1))</f>
        <v>84.5</v>
      </c>
      <c r="P190" s="168">
        <f t="shared" ca="1" si="507"/>
        <v>6759.9999999999991</v>
      </c>
      <c r="Q190" s="168" t="e">
        <f t="shared" ref="Q190" ca="1" si="595">(W190-J190)*I190*IF(C190="B",1,-1)*IF(K190=0,1,0)</f>
        <v>#N/A</v>
      </c>
      <c r="R190" s="184">
        <f t="shared" ca="1" si="403"/>
        <v>0</v>
      </c>
      <c r="S190" s="124">
        <f t="shared" ref="S190" ca="1" si="596">(1-$S$6)*J190</f>
        <v>6.759999999999998</v>
      </c>
      <c r="T190" s="120">
        <f ca="1">VLOOKUP(TRIM($F190),Reference!B:C,2,0)</f>
        <v>15938.65</v>
      </c>
      <c r="U190" s="181">
        <f t="shared" ref="U190" ca="1" si="597">AC190</f>
        <v>0</v>
      </c>
      <c r="V190" s="125" t="str">
        <f t="shared" ca="1" si="395"/>
        <v>NIFTY22MAY18000CE</v>
      </c>
      <c r="W190" s="166" t="e">
        <f ca="1">VLOOKUP($V190,Reference!BA:BD,4,0)</f>
        <v>#N/A</v>
      </c>
      <c r="X190" s="168">
        <f t="shared" ca="1" si="396"/>
        <v>0</v>
      </c>
      <c r="Y190" s="168">
        <f t="shared" ca="1" si="397"/>
        <v>0</v>
      </c>
      <c r="Z190" s="168">
        <f t="shared" ca="1" si="404"/>
        <v>0</v>
      </c>
      <c r="AA190" s="168">
        <f t="shared" ca="1" si="398"/>
        <v>0</v>
      </c>
      <c r="AB190" s="168">
        <f t="shared" ca="1" si="399"/>
        <v>0</v>
      </c>
      <c r="AC190" s="124">
        <f t="shared" ca="1" si="400"/>
        <v>0</v>
      </c>
      <c r="AD190" s="120">
        <f t="shared" ref="AD190" ca="1" si="598">(H190-TODAY())/365</f>
        <v>-0.13698630136986301</v>
      </c>
      <c r="AE190" s="120">
        <f t="shared" ref="AE190" ca="1" si="599">IF(I190&lt;&gt;0,20,0)</f>
        <v>20</v>
      </c>
      <c r="AF190" s="120"/>
      <c r="AG190" s="120"/>
      <c r="AH190" s="120">
        <f t="shared" ca="1" si="508"/>
        <v>3.3799999999999994</v>
      </c>
      <c r="AI190" s="120"/>
      <c r="AJ190" s="120">
        <f t="shared" ca="1" si="509"/>
        <v>0</v>
      </c>
      <c r="AK190" s="120"/>
      <c r="AL190" s="147"/>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c r="BS190" s="13">
        <v>2</v>
      </c>
      <c r="BT190" s="128">
        <v>44491</v>
      </c>
      <c r="BU190" s="121" t="s">
        <v>8</v>
      </c>
      <c r="BV190" s="120" t="s">
        <v>482</v>
      </c>
      <c r="BW190" s="121" t="s">
        <v>502</v>
      </c>
      <c r="BX190" s="120">
        <v>18400</v>
      </c>
      <c r="BY190" s="120">
        <v>41.7</v>
      </c>
      <c r="BZ190" s="120">
        <v>47.945</v>
      </c>
      <c r="CA190" s="124">
        <v>-3216.6708800000001</v>
      </c>
      <c r="CB190" s="120">
        <v>1.1497601918465228</v>
      </c>
      <c r="CC190" s="120">
        <v>500</v>
      </c>
      <c r="CD190" s="120">
        <v>50</v>
      </c>
      <c r="CE190" s="124">
        <v>20850</v>
      </c>
    </row>
    <row r="191" spans="1:83" hidden="1">
      <c r="A191" s="13">
        <f t="shared" ca="1" si="506"/>
        <v>184</v>
      </c>
      <c r="B191" s="128">
        <v>44679</v>
      </c>
      <c r="C191" s="121" t="s">
        <v>8</v>
      </c>
      <c r="D191" s="121">
        <v>1</v>
      </c>
      <c r="E191" s="120" t="s">
        <v>481</v>
      </c>
      <c r="F191" s="121" t="s">
        <v>502</v>
      </c>
      <c r="G191" s="120">
        <v>18000</v>
      </c>
      <c r="H191" s="122">
        <v>44742</v>
      </c>
      <c r="I191" s="120">
        <v>100</v>
      </c>
      <c r="J191" s="120">
        <v>179</v>
      </c>
      <c r="K191" s="120">
        <v>30.5</v>
      </c>
      <c r="L191" s="124">
        <f t="shared" ref="L191" ca="1" si="600">IF(AND(K191&lt;&gt;0,I191&lt;&gt;0),(IF(C191="B",1,-1))*(K191-J191)*I191-AK191*2,0)*$D191*IF(MONTH($B$2)=MONTH($H191),1,0)</f>
        <v>0</v>
      </c>
      <c r="M191" s="124">
        <f t="shared" ref="M191" ca="1" si="601">IF(AND(K191&lt;&gt;0,I191&lt;&gt;0),(IF(C191="B",1,-1))*(K191-J191)*I191-AK191*2,0)*$D191</f>
        <v>14850</v>
      </c>
      <c r="N191" s="120">
        <f t="shared" ref="N191" ca="1" si="602">K191/$J191</f>
        <v>0.17039106145251395</v>
      </c>
      <c r="O191" s="164">
        <f t="shared" ref="O191" ca="1" si="603">J191*(1+$O$6*IF(C191="B",-1,1))</f>
        <v>223.75</v>
      </c>
      <c r="P191" s="168">
        <f t="shared" ca="1" si="507"/>
        <v>17900</v>
      </c>
      <c r="Q191" s="168" t="e">
        <f t="shared" ref="Q191" ca="1" si="604">(W191-J191)*I191*IF(C191="B",1,-1)*IF(K191=0,1,0)</f>
        <v>#N/A</v>
      </c>
      <c r="R191" s="184">
        <f t="shared" ca="1" si="403"/>
        <v>0</v>
      </c>
      <c r="S191" s="124">
        <f t="shared" ref="S191" ca="1" si="605">(1-$S$6)*J191</f>
        <v>17.899999999999995</v>
      </c>
      <c r="T191" s="120">
        <f ca="1">VLOOKUP(TRIM($F191),Reference!B:C,2,0)</f>
        <v>15938.65</v>
      </c>
      <c r="U191" s="181">
        <f t="shared" ref="U191" ca="1" si="606">AC191</f>
        <v>0</v>
      </c>
      <c r="V191" s="125" t="str">
        <f t="shared" ca="1" si="395"/>
        <v>NIFTY22JUN18000CE</v>
      </c>
      <c r="W191" s="166" t="e">
        <f ca="1">VLOOKUP($V191,Reference!BA:BD,4,0)</f>
        <v>#N/A</v>
      </c>
      <c r="X191" s="168">
        <f t="shared" ca="1" si="396"/>
        <v>0</v>
      </c>
      <c r="Y191" s="168">
        <f t="shared" ca="1" si="397"/>
        <v>0</v>
      </c>
      <c r="Z191" s="168">
        <f t="shared" ca="1" si="404"/>
        <v>0</v>
      </c>
      <c r="AA191" s="168">
        <f t="shared" ca="1" si="398"/>
        <v>0</v>
      </c>
      <c r="AB191" s="168">
        <f t="shared" ca="1" si="399"/>
        <v>0</v>
      </c>
      <c r="AC191" s="124">
        <f t="shared" ca="1" si="400"/>
        <v>0</v>
      </c>
      <c r="AD191" s="120">
        <f t="shared" ref="AD191" ca="1" si="607">(H191-TODAY())/365</f>
        <v>-4.1095890410958902E-2</v>
      </c>
      <c r="AE191" s="120">
        <f t="shared" ref="AE191" ca="1" si="608">IF(I191&lt;&gt;0,20,0)</f>
        <v>20</v>
      </c>
      <c r="AF191" s="120"/>
      <c r="AG191" s="120"/>
      <c r="AH191" s="120">
        <f t="shared" ca="1" si="508"/>
        <v>8.9500000000000011</v>
      </c>
      <c r="AI191" s="120"/>
      <c r="AJ191" s="120">
        <f t="shared" ca="1" si="509"/>
        <v>0</v>
      </c>
      <c r="AK191" s="120"/>
      <c r="AL191" s="147"/>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c r="BS191" s="13">
        <v>2</v>
      </c>
      <c r="BT191" s="128">
        <v>44491</v>
      </c>
      <c r="BU191" s="121" t="s">
        <v>8</v>
      </c>
      <c r="BV191" s="120" t="s">
        <v>482</v>
      </c>
      <c r="BW191" s="121" t="s">
        <v>502</v>
      </c>
      <c r="BX191" s="120">
        <v>18400</v>
      </c>
      <c r="BY191" s="120">
        <v>41.7</v>
      </c>
      <c r="BZ191" s="120">
        <v>47.945</v>
      </c>
      <c r="CA191" s="124">
        <v>-3216.6708800000001</v>
      </c>
      <c r="CB191" s="120">
        <v>1.1497601918465228</v>
      </c>
      <c r="CC191" s="120">
        <v>500</v>
      </c>
      <c r="CD191" s="120">
        <v>50</v>
      </c>
      <c r="CE191" s="124">
        <v>20850</v>
      </c>
    </row>
    <row r="192" spans="1:83" hidden="1">
      <c r="A192" s="13">
        <f t="shared" ca="1" si="506"/>
        <v>185</v>
      </c>
      <c r="B192" s="128">
        <v>44679</v>
      </c>
      <c r="C192" s="121" t="s">
        <v>8</v>
      </c>
      <c r="D192" s="121">
        <v>1</v>
      </c>
      <c r="E192" s="120" t="s">
        <v>482</v>
      </c>
      <c r="F192" s="121" t="s">
        <v>502</v>
      </c>
      <c r="G192" s="120">
        <v>16000</v>
      </c>
      <c r="H192" s="122">
        <v>44742</v>
      </c>
      <c r="I192" s="120">
        <v>50</v>
      </c>
      <c r="J192" s="120">
        <v>164.5</v>
      </c>
      <c r="K192" s="120">
        <v>440</v>
      </c>
      <c r="L192" s="124">
        <f t="shared" ref="L192:L193" ca="1" si="609">IF(AND(K192&lt;&gt;0,I192&lt;&gt;0),(IF(C192="B",1,-1))*(K192-J192)*I192-AK192*2,0)*$D192*IF(MONTH($B$2)=MONTH($H192),1,0)</f>
        <v>0</v>
      </c>
      <c r="M192" s="124">
        <f t="shared" ref="M192:M193" ca="1" si="610">IF(AND(K192&lt;&gt;0,I192&lt;&gt;0),(IF(C192="B",1,-1))*(K192-J192)*I192-AK192*2,0)*$D192</f>
        <v>-13775</v>
      </c>
      <c r="N192" s="120">
        <f t="shared" ref="N192:N193" ca="1" si="611">K192/$J192</f>
        <v>2.6747720364741641</v>
      </c>
      <c r="O192" s="164">
        <f t="shared" ref="O192:O193" ca="1" si="612">J192*(1+$O$6*IF(C192="B",-1,1))</f>
        <v>205.625</v>
      </c>
      <c r="P192" s="168">
        <f t="shared" ca="1" si="507"/>
        <v>8225</v>
      </c>
      <c r="Q192" s="168" t="e">
        <f t="shared" ref="Q192:Q193" ca="1" si="613">(W192-J192)*I192*IF(C192="B",1,-1)*IF(K192=0,1,0)</f>
        <v>#N/A</v>
      </c>
      <c r="R192" s="184">
        <f t="shared" ca="1" si="403"/>
        <v>0</v>
      </c>
      <c r="S192" s="124">
        <f t="shared" ref="S192:S193" ca="1" si="614">(1-$S$6)*J192</f>
        <v>16.449999999999996</v>
      </c>
      <c r="T192" s="120">
        <f ca="1">VLOOKUP(TRIM($F192),Reference!B:C,2,0)</f>
        <v>15938.65</v>
      </c>
      <c r="U192" s="181">
        <f t="shared" ref="U192:U193" ca="1" si="615">AC192</f>
        <v>0</v>
      </c>
      <c r="V192" s="125" t="str">
        <f t="shared" ca="1" si="395"/>
        <v>NIFTY22JUN16000PE</v>
      </c>
      <c r="W192" s="166" t="e">
        <f ca="1">VLOOKUP($V192,Reference!BA:BD,4,0)</f>
        <v>#N/A</v>
      </c>
      <c r="X192" s="168">
        <f t="shared" ca="1" si="396"/>
        <v>0</v>
      </c>
      <c r="Y192" s="168">
        <f t="shared" ca="1" si="397"/>
        <v>0</v>
      </c>
      <c r="Z192" s="168">
        <f t="shared" ca="1" si="404"/>
        <v>0</v>
      </c>
      <c r="AA192" s="168">
        <f t="shared" ca="1" si="398"/>
        <v>0</v>
      </c>
      <c r="AB192" s="168">
        <f t="shared" ca="1" si="399"/>
        <v>0</v>
      </c>
      <c r="AC192" s="124">
        <f t="shared" ca="1" si="400"/>
        <v>0</v>
      </c>
      <c r="AD192" s="120">
        <f t="shared" ref="AD192:AD193" ca="1" si="616">(H192-TODAY())/365</f>
        <v>-4.1095890410958902E-2</v>
      </c>
      <c r="AE192" s="120">
        <f t="shared" ref="AE192:AE193" ca="1" si="617">IF(I192&lt;&gt;0,20,0)</f>
        <v>20</v>
      </c>
      <c r="AF192" s="120"/>
      <c r="AG192" s="120"/>
      <c r="AH192" s="120">
        <f t="shared" ca="1" si="508"/>
        <v>4.1124999999999998</v>
      </c>
      <c r="AI192" s="120"/>
      <c r="AJ192" s="120">
        <f t="shared" ca="1" si="509"/>
        <v>0</v>
      </c>
      <c r="AK192" s="120"/>
      <c r="AL192" s="147"/>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c r="BS192" s="13">
        <v>2</v>
      </c>
      <c r="BT192" s="128">
        <v>44491</v>
      </c>
      <c r="BU192" s="121" t="s">
        <v>8</v>
      </c>
      <c r="BV192" s="120" t="s">
        <v>482</v>
      </c>
      <c r="BW192" s="121" t="s">
        <v>502</v>
      </c>
      <c r="BX192" s="120">
        <v>18400</v>
      </c>
      <c r="BY192" s="120">
        <v>41.7</v>
      </c>
      <c r="BZ192" s="120">
        <v>47.945</v>
      </c>
      <c r="CA192" s="124">
        <v>-3216.6708800000001</v>
      </c>
      <c r="CB192" s="120">
        <v>1.1497601918465228</v>
      </c>
      <c r="CC192" s="120">
        <v>500</v>
      </c>
      <c r="CD192" s="120">
        <v>50</v>
      </c>
      <c r="CE192" s="124">
        <v>20850</v>
      </c>
    </row>
    <row r="193" spans="1:83" hidden="1">
      <c r="A193" s="13">
        <f t="shared" ca="1" si="506"/>
        <v>186</v>
      </c>
      <c r="B193" s="128">
        <v>44679</v>
      </c>
      <c r="C193" s="121" t="s">
        <v>6</v>
      </c>
      <c r="D193" s="121">
        <v>1</v>
      </c>
      <c r="E193" s="120" t="s">
        <v>632</v>
      </c>
      <c r="F193" s="121" t="s">
        <v>506</v>
      </c>
      <c r="G193" s="120"/>
      <c r="H193" s="122">
        <v>44707</v>
      </c>
      <c r="I193" s="120">
        <v>25</v>
      </c>
      <c r="J193" s="120">
        <v>36129.85</v>
      </c>
      <c r="K193" s="120">
        <v>34629.15</v>
      </c>
      <c r="L193" s="124">
        <f t="shared" ca="1" si="609"/>
        <v>0</v>
      </c>
      <c r="M193" s="124">
        <f t="shared" ca="1" si="610"/>
        <v>-37517.499999999927</v>
      </c>
      <c r="N193" s="120">
        <f t="shared" ca="1" si="611"/>
        <v>0.95846370798660951</v>
      </c>
      <c r="O193" s="164">
        <f t="shared" ca="1" si="612"/>
        <v>27097.387499999997</v>
      </c>
      <c r="P193" s="168">
        <f t="shared" ca="1" si="507"/>
        <v>903246.25</v>
      </c>
      <c r="Q193" s="168" t="e">
        <f t="shared" ca="1" si="613"/>
        <v>#N/A</v>
      </c>
      <c r="R193" s="184">
        <f t="shared" ca="1" si="403"/>
        <v>0</v>
      </c>
      <c r="S193" s="124">
        <f t="shared" ca="1" si="614"/>
        <v>3612.9849999999992</v>
      </c>
      <c r="T193" s="120">
        <f ca="1">VLOOKUP(TRIM($F193),Reference!B:C,2,0)</f>
        <v>34651.199999999997</v>
      </c>
      <c r="U193" s="181">
        <f t="shared" ca="1" si="615"/>
        <v>0</v>
      </c>
      <c r="V193" s="125" t="str">
        <f t="shared" ca="1" si="395"/>
        <v>BANKNIFTY22MAYFUT</v>
      </c>
      <c r="W193" s="166" t="e">
        <f ca="1">VLOOKUP($V193,Reference!BA:BD,4,0)</f>
        <v>#N/A</v>
      </c>
      <c r="X193" s="168">
        <f t="shared" ca="1" si="396"/>
        <v>0</v>
      </c>
      <c r="Y193" s="168">
        <f t="shared" ca="1" si="397"/>
        <v>0</v>
      </c>
      <c r="Z193" s="168">
        <f t="shared" ca="1" si="404"/>
        <v>0</v>
      </c>
      <c r="AA193" s="168">
        <f t="shared" ca="1" si="398"/>
        <v>0</v>
      </c>
      <c r="AB193" s="168">
        <f t="shared" ca="1" si="399"/>
        <v>0</v>
      </c>
      <c r="AC193" s="124">
        <f t="shared" ca="1" si="400"/>
        <v>0</v>
      </c>
      <c r="AD193" s="120">
        <f t="shared" ca="1" si="616"/>
        <v>-0.13698630136986301</v>
      </c>
      <c r="AE193" s="120">
        <f t="shared" ca="1" si="617"/>
        <v>20</v>
      </c>
      <c r="AF193" s="120"/>
      <c r="AG193" s="120"/>
      <c r="AH193" s="120">
        <f t="shared" ca="1" si="508"/>
        <v>0</v>
      </c>
      <c r="AI193" s="120"/>
      <c r="AJ193" s="120">
        <f t="shared" ca="1" si="509"/>
        <v>27.0973875</v>
      </c>
      <c r="AK193" s="120"/>
      <c r="AL193" s="147"/>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c r="BS193" s="13">
        <v>2</v>
      </c>
      <c r="BT193" s="128">
        <v>44491</v>
      </c>
      <c r="BU193" s="121" t="s">
        <v>8</v>
      </c>
      <c r="BV193" s="120" t="s">
        <v>482</v>
      </c>
      <c r="BW193" s="121" t="s">
        <v>502</v>
      </c>
      <c r="BX193" s="120">
        <v>18400</v>
      </c>
      <c r="BY193" s="120">
        <v>41.7</v>
      </c>
      <c r="BZ193" s="120">
        <v>47.945</v>
      </c>
      <c r="CA193" s="124">
        <v>-3216.6708800000001</v>
      </c>
      <c r="CB193" s="120">
        <v>1.1497601918465228</v>
      </c>
      <c r="CC193" s="120">
        <v>500</v>
      </c>
      <c r="CD193" s="120">
        <v>50</v>
      </c>
      <c r="CE193" s="124">
        <v>20850</v>
      </c>
    </row>
    <row r="194" spans="1:83" hidden="1">
      <c r="A194" s="13">
        <f t="shared" ca="1" si="506"/>
        <v>187</v>
      </c>
      <c r="B194" s="128">
        <v>44679</v>
      </c>
      <c r="C194" s="121" t="s">
        <v>6</v>
      </c>
      <c r="D194" s="121">
        <v>1</v>
      </c>
      <c r="E194" s="120" t="s">
        <v>632</v>
      </c>
      <c r="F194" s="121" t="s">
        <v>502</v>
      </c>
      <c r="G194" s="120"/>
      <c r="H194" s="122">
        <v>44707</v>
      </c>
      <c r="I194" s="120">
        <v>50</v>
      </c>
      <c r="J194" s="120">
        <v>17163.25</v>
      </c>
      <c r="K194" s="120">
        <v>16076.6</v>
      </c>
      <c r="L194" s="124">
        <f t="shared" ref="L194" ca="1" si="618">IF(AND(K194&lt;&gt;0,I194&lt;&gt;0),(IF(C194="B",1,-1))*(K194-J194)*I194-AK194*2,0)*$D194*IF(MONTH($B$2)=MONTH($H194),1,0)</f>
        <v>0</v>
      </c>
      <c r="M194" s="124">
        <f t="shared" ref="M194" ca="1" si="619">IF(AND(K194&lt;&gt;0,I194&lt;&gt;0),(IF(C194="B",1,-1))*(K194-J194)*I194-AK194*2,0)*$D194</f>
        <v>-54332.499999999985</v>
      </c>
      <c r="N194" s="120">
        <f t="shared" ref="N194" ca="1" si="620">K194/$J194</f>
        <v>0.93668739894833442</v>
      </c>
      <c r="O194" s="164">
        <f t="shared" ref="O194" ca="1" si="621">J194*(1+$O$6*IF(C194="B",-1,1))</f>
        <v>12872.4375</v>
      </c>
      <c r="P194" s="168">
        <f t="shared" ca="1" si="507"/>
        <v>858162.5</v>
      </c>
      <c r="Q194" s="168" t="e">
        <f t="shared" ref="Q194" ca="1" si="622">(W194-J194)*I194*IF(C194="B",1,-1)*IF(K194=0,1,0)</f>
        <v>#N/A</v>
      </c>
      <c r="R194" s="184">
        <f t="shared" ca="1" si="403"/>
        <v>0</v>
      </c>
      <c r="S194" s="124">
        <f t="shared" ref="S194" ca="1" si="623">(1-$S$6)*J194</f>
        <v>1716.3249999999996</v>
      </c>
      <c r="T194" s="120">
        <f ca="1">VLOOKUP(TRIM($F194),Reference!B:C,2,0)</f>
        <v>15938.65</v>
      </c>
      <c r="U194" s="181">
        <f t="shared" ref="U194" ca="1" si="624">AC194</f>
        <v>0</v>
      </c>
      <c r="V194" s="125" t="str">
        <f t="shared" ca="1" si="395"/>
        <v>NIFTY22MAYFUT</v>
      </c>
      <c r="W194" s="166" t="e">
        <f ca="1">VLOOKUP($V194,Reference!BA:BD,4,0)</f>
        <v>#N/A</v>
      </c>
      <c r="X194" s="168">
        <f t="shared" ca="1" si="396"/>
        <v>0</v>
      </c>
      <c r="Y194" s="168">
        <f t="shared" ca="1" si="397"/>
        <v>0</v>
      </c>
      <c r="Z194" s="168">
        <f t="shared" ca="1" si="404"/>
        <v>0</v>
      </c>
      <c r="AA194" s="168">
        <f t="shared" ca="1" si="398"/>
        <v>0</v>
      </c>
      <c r="AB194" s="168">
        <f t="shared" ca="1" si="399"/>
        <v>0</v>
      </c>
      <c r="AC194" s="124">
        <f t="shared" ca="1" si="400"/>
        <v>0</v>
      </c>
      <c r="AD194" s="120">
        <f t="shared" ref="AD194" ca="1" si="625">(H194-TODAY())/365</f>
        <v>-0.13698630136986301</v>
      </c>
      <c r="AE194" s="120">
        <f t="shared" ref="AE194" ca="1" si="626">IF(I194&lt;&gt;0,20,0)</f>
        <v>20</v>
      </c>
      <c r="AF194" s="120"/>
      <c r="AG194" s="120"/>
      <c r="AH194" s="120">
        <f t="shared" ca="1" si="508"/>
        <v>0</v>
      </c>
      <c r="AI194" s="120"/>
      <c r="AJ194" s="120">
        <f t="shared" ca="1" si="509"/>
        <v>25.744875</v>
      </c>
      <c r="AK194" s="120"/>
      <c r="AL194" s="147"/>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c r="BS194" s="13">
        <v>2</v>
      </c>
      <c r="BT194" s="128">
        <v>44491</v>
      </c>
      <c r="BU194" s="121" t="s">
        <v>8</v>
      </c>
      <c r="BV194" s="120" t="s">
        <v>482</v>
      </c>
      <c r="BW194" s="121" t="s">
        <v>502</v>
      </c>
      <c r="BX194" s="120">
        <v>18400</v>
      </c>
      <c r="BY194" s="120">
        <v>41.7</v>
      </c>
      <c r="BZ194" s="120">
        <v>47.945</v>
      </c>
      <c r="CA194" s="124">
        <v>-3216.6708800000001</v>
      </c>
      <c r="CB194" s="120">
        <v>1.1497601918465228</v>
      </c>
      <c r="CC194" s="120">
        <v>500</v>
      </c>
      <c r="CD194" s="120">
        <v>50</v>
      </c>
      <c r="CE194" s="124">
        <v>20850</v>
      </c>
    </row>
    <row r="195" spans="1:83" hidden="1">
      <c r="A195" s="13">
        <f t="shared" ca="1" si="506"/>
        <v>188</v>
      </c>
      <c r="B195" s="128">
        <v>44679</v>
      </c>
      <c r="C195" s="121" t="s">
        <v>6</v>
      </c>
      <c r="D195" s="121">
        <v>1</v>
      </c>
      <c r="E195" s="120" t="s">
        <v>632</v>
      </c>
      <c r="F195" s="121" t="s">
        <v>502</v>
      </c>
      <c r="G195" s="120"/>
      <c r="H195" s="122">
        <v>44742</v>
      </c>
      <c r="I195" s="120">
        <v>50</v>
      </c>
      <c r="J195" s="120">
        <v>17191.3</v>
      </c>
      <c r="K195" s="120">
        <v>16578.95</v>
      </c>
      <c r="L195" s="124">
        <f t="shared" ref="L195:L196" ca="1" si="627">IF(AND(K195&lt;&gt;0,I195&lt;&gt;0),(IF(C195="B",1,-1))*(K195-J195)*I195-AK195*2,0)*$D195*IF(MONTH($B$2)=MONTH($H195),1,0)</f>
        <v>0</v>
      </c>
      <c r="M195" s="124">
        <f t="shared" ref="M195:M196" ca="1" si="628">IF(AND(K195&lt;&gt;0,I195&lt;&gt;0),(IF(C195="B",1,-1))*(K195-J195)*I195-AK195*2,0)*$D195</f>
        <v>-30617.499999999927</v>
      </c>
      <c r="N195" s="120">
        <f t="shared" ref="N195:N196" ca="1" si="629">K195/$J195</f>
        <v>0.96438023884173985</v>
      </c>
      <c r="O195" s="164">
        <f t="shared" ref="O195:O196" ca="1" si="630">J195*(1+$O$6*IF(C195="B",-1,1))</f>
        <v>12893.474999999999</v>
      </c>
      <c r="P195" s="168">
        <f t="shared" ca="1" si="507"/>
        <v>859565</v>
      </c>
      <c r="Q195" s="168" t="e">
        <f t="shared" ref="Q195" ca="1" si="631">(W195-J195)*I195*IF(C195="B",1,-1)*IF(K195=0,1,0)</f>
        <v>#N/A</v>
      </c>
      <c r="R195" s="184">
        <f t="shared" ca="1" si="403"/>
        <v>0</v>
      </c>
      <c r="S195" s="124">
        <f t="shared" ref="S195:S196" ca="1" si="632">(1-$S$6)*J195</f>
        <v>1719.1299999999997</v>
      </c>
      <c r="T195" s="120">
        <f ca="1">VLOOKUP(TRIM($F195),Reference!B:C,2,0)</f>
        <v>15938.65</v>
      </c>
      <c r="U195" s="181">
        <f t="shared" ref="U195:U196" ca="1" si="633">AC195</f>
        <v>0</v>
      </c>
      <c r="V195" s="125" t="str">
        <f t="shared" ca="1" si="395"/>
        <v>NIFTY22JUNFUT</v>
      </c>
      <c r="W195" s="166" t="e">
        <f ca="1">VLOOKUP($V195,Reference!BA:BD,4,0)</f>
        <v>#N/A</v>
      </c>
      <c r="X195" s="168">
        <f t="shared" ca="1" si="396"/>
        <v>0</v>
      </c>
      <c r="Y195" s="168">
        <f t="shared" ca="1" si="397"/>
        <v>0</v>
      </c>
      <c r="Z195" s="168">
        <f t="shared" ca="1" si="404"/>
        <v>0</v>
      </c>
      <c r="AA195" s="168">
        <f t="shared" ca="1" si="398"/>
        <v>0</v>
      </c>
      <c r="AB195" s="168">
        <f t="shared" ca="1" si="399"/>
        <v>0</v>
      </c>
      <c r="AC195" s="124">
        <f t="shared" ca="1" si="400"/>
        <v>0</v>
      </c>
      <c r="AD195" s="120">
        <f t="shared" ref="AD195:AD196" ca="1" si="634">(H195-TODAY())/365</f>
        <v>-4.1095890410958902E-2</v>
      </c>
      <c r="AE195" s="120">
        <f t="shared" ref="AE195:AE196" ca="1" si="635">IF(I195&lt;&gt;0,20,0)</f>
        <v>20</v>
      </c>
      <c r="AF195" s="120"/>
      <c r="AG195" s="120"/>
      <c r="AH195" s="120">
        <f t="shared" ca="1" si="508"/>
        <v>0</v>
      </c>
      <c r="AI195" s="120"/>
      <c r="AJ195" s="120">
        <f t="shared" ca="1" si="509"/>
        <v>25.786950000000001</v>
      </c>
      <c r="AK195" s="120"/>
      <c r="AL195" s="147"/>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c r="BS195" s="13">
        <v>2</v>
      </c>
      <c r="BT195" s="128">
        <v>44491</v>
      </c>
      <c r="BU195" s="121" t="s">
        <v>8</v>
      </c>
      <c r="BV195" s="120" t="s">
        <v>482</v>
      </c>
      <c r="BW195" s="121" t="s">
        <v>502</v>
      </c>
      <c r="BX195" s="120">
        <v>18400</v>
      </c>
      <c r="BY195" s="120">
        <v>41.7</v>
      </c>
      <c r="BZ195" s="120">
        <v>47.945</v>
      </c>
      <c r="CA195" s="124">
        <v>-3216.6708800000001</v>
      </c>
      <c r="CB195" s="120">
        <v>1.1497601918465228</v>
      </c>
      <c r="CC195" s="120">
        <v>500</v>
      </c>
      <c r="CD195" s="120">
        <v>50</v>
      </c>
      <c r="CE195" s="124">
        <v>20850</v>
      </c>
    </row>
    <row r="196" spans="1:83" hidden="1">
      <c r="A196" s="13">
        <f t="shared" ca="1" si="506"/>
        <v>189</v>
      </c>
      <c r="B196" s="128">
        <v>44679</v>
      </c>
      <c r="C196" s="121" t="s">
        <v>8</v>
      </c>
      <c r="D196" s="121">
        <v>1</v>
      </c>
      <c r="E196" s="120" t="s">
        <v>481</v>
      </c>
      <c r="F196" s="121" t="s">
        <v>126</v>
      </c>
      <c r="G196" s="120">
        <v>240</v>
      </c>
      <c r="H196" s="122">
        <v>44707</v>
      </c>
      <c r="I196" s="120">
        <v>3750</v>
      </c>
      <c r="J196" s="120">
        <v>3.9</v>
      </c>
      <c r="K196" s="120">
        <v>0.85</v>
      </c>
      <c r="L196" s="124">
        <f t="shared" ca="1" si="627"/>
        <v>0</v>
      </c>
      <c r="M196" s="124">
        <f t="shared" ca="1" si="628"/>
        <v>11437.5</v>
      </c>
      <c r="N196" s="120">
        <f t="shared" ca="1" si="629"/>
        <v>0.21794871794871795</v>
      </c>
      <c r="O196" s="164">
        <f t="shared" ca="1" si="630"/>
        <v>4.875</v>
      </c>
      <c r="P196" s="168">
        <f t="shared" ca="1" si="507"/>
        <v>14625</v>
      </c>
      <c r="Q196" s="168" t="e">
        <f ca="1">(W196-J196)*I196*IF(C196="B",1,-1)*IF(K196=0,1,0)</f>
        <v>#N/A</v>
      </c>
      <c r="R196" s="184">
        <f t="shared" ca="1" si="403"/>
        <v>0</v>
      </c>
      <c r="S196" s="124">
        <f t="shared" ca="1" si="632"/>
        <v>0.3899999999999999</v>
      </c>
      <c r="T196" s="120">
        <f ca="1">VLOOKUP(TRIM($F196),Reference!B:C,2,0)</f>
        <v>162.15</v>
      </c>
      <c r="U196" s="181">
        <f t="shared" ca="1" si="633"/>
        <v>0</v>
      </c>
      <c r="V196" s="125" t="str">
        <f t="shared" ca="1" si="395"/>
        <v>IEX22MAY240CE</v>
      </c>
      <c r="W196" s="166" t="e">
        <f ca="1">VLOOKUP($V196,Reference!BA:BD,4,0)</f>
        <v>#N/A</v>
      </c>
      <c r="X196" s="168">
        <f t="shared" ca="1" si="396"/>
        <v>0</v>
      </c>
      <c r="Y196" s="168">
        <f t="shared" ca="1" si="397"/>
        <v>0</v>
      </c>
      <c r="Z196" s="168">
        <f t="shared" ca="1" si="404"/>
        <v>0</v>
      </c>
      <c r="AA196" s="168">
        <f t="shared" ca="1" si="398"/>
        <v>0</v>
      </c>
      <c r="AB196" s="168">
        <f t="shared" ca="1" si="399"/>
        <v>0</v>
      </c>
      <c r="AC196" s="124">
        <f t="shared" ca="1" si="400"/>
        <v>0</v>
      </c>
      <c r="AD196" s="120">
        <f t="shared" ca="1" si="634"/>
        <v>-0.13698630136986301</v>
      </c>
      <c r="AE196" s="120">
        <f t="shared" ca="1" si="635"/>
        <v>20</v>
      </c>
      <c r="AF196" s="120"/>
      <c r="AG196" s="120"/>
      <c r="AH196" s="120">
        <f t="shared" ca="1" si="508"/>
        <v>7.3125</v>
      </c>
      <c r="AI196" s="120"/>
      <c r="AJ196" s="120">
        <f t="shared" ca="1" si="509"/>
        <v>0</v>
      </c>
      <c r="AK196" s="120"/>
      <c r="AL196" s="147"/>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c r="BS196" s="13">
        <v>2</v>
      </c>
      <c r="BT196" s="128">
        <v>44491</v>
      </c>
      <c r="BU196" s="121" t="s">
        <v>8</v>
      </c>
      <c r="BV196" s="120" t="s">
        <v>482</v>
      </c>
      <c r="BW196" s="121" t="s">
        <v>502</v>
      </c>
      <c r="BX196" s="120">
        <v>18400</v>
      </c>
      <c r="BY196" s="120">
        <v>41.7</v>
      </c>
      <c r="BZ196" s="120">
        <v>47.945</v>
      </c>
      <c r="CA196" s="124">
        <v>-3216.6708800000001</v>
      </c>
      <c r="CB196" s="120">
        <v>1.1497601918465228</v>
      </c>
      <c r="CC196" s="120">
        <v>500</v>
      </c>
      <c r="CD196" s="120">
        <v>50</v>
      </c>
      <c r="CE196" s="124">
        <v>20850</v>
      </c>
    </row>
    <row r="197" spans="1:83" hidden="1">
      <c r="A197" s="13">
        <f t="shared" ca="1" si="506"/>
        <v>190</v>
      </c>
      <c r="B197" s="128">
        <v>44679</v>
      </c>
      <c r="C197" s="121" t="s">
        <v>8</v>
      </c>
      <c r="D197" s="121">
        <v>1</v>
      </c>
      <c r="E197" s="120" t="s">
        <v>482</v>
      </c>
      <c r="F197" s="121" t="s">
        <v>381</v>
      </c>
      <c r="G197" s="120">
        <v>3200</v>
      </c>
      <c r="H197" s="122">
        <v>44742</v>
      </c>
      <c r="I197" s="120">
        <v>200</v>
      </c>
      <c r="J197" s="120">
        <v>60.05</v>
      </c>
      <c r="K197" s="120">
        <v>251</v>
      </c>
      <c r="L197" s="124">
        <f t="shared" ref="L197" ca="1" si="636">IF(AND(K197&lt;&gt;0,I197&lt;&gt;0),(IF(C197="B",1,-1))*(K197-J197)*I197-AK197*2,0)*$D197*IF(MONTH($B$2)=MONTH($H197),1,0)</f>
        <v>0</v>
      </c>
      <c r="M197" s="124">
        <f t="shared" ref="M197" ca="1" si="637">IF(AND(K197&lt;&gt;0,I197&lt;&gt;0),(IF(C197="B",1,-1))*(K197-J197)*I197-AK197*2,0)*$D197</f>
        <v>-38190</v>
      </c>
      <c r="N197" s="120">
        <f t="shared" ref="N197" ca="1" si="638">K197/$J197</f>
        <v>4.1798501248959203</v>
      </c>
      <c r="O197" s="164">
        <f t="shared" ref="O197" ca="1" si="639">J197*(1+$O$6*IF(C197="B",-1,1))</f>
        <v>75.0625</v>
      </c>
      <c r="P197" s="168">
        <f t="shared" ca="1" si="507"/>
        <v>12010</v>
      </c>
      <c r="Q197" s="168" t="e">
        <f t="shared" ref="Q197" ca="1" si="640">(W197-J197)*I197*IF(C197="B",1,-1)*IF(K197=0,1,0)</f>
        <v>#N/A</v>
      </c>
      <c r="R197" s="184">
        <f t="shared" ca="1" si="403"/>
        <v>0</v>
      </c>
      <c r="S197" s="124">
        <f t="shared" ref="S197" ca="1" si="641">(1-$S$6)*J197</f>
        <v>6.0049999999999981</v>
      </c>
      <c r="T197" s="120">
        <f ca="1">VLOOKUP(TRIM($F197),Reference!B:C,2,0)</f>
        <v>2788</v>
      </c>
      <c r="U197" s="181">
        <f t="shared" ref="U197" ca="1" si="642">AC197</f>
        <v>0</v>
      </c>
      <c r="V197" s="125" t="str">
        <f t="shared" ca="1" si="395"/>
        <v>MINDTREE22JUN3200PE</v>
      </c>
      <c r="W197" s="166" t="e">
        <f ca="1">VLOOKUP($V197,Reference!BA:BD,4,0)</f>
        <v>#N/A</v>
      </c>
      <c r="X197" s="168">
        <f t="shared" ca="1" si="396"/>
        <v>0</v>
      </c>
      <c r="Y197" s="168">
        <f t="shared" ca="1" si="397"/>
        <v>0</v>
      </c>
      <c r="Z197" s="168">
        <f t="shared" ca="1" si="404"/>
        <v>0</v>
      </c>
      <c r="AA197" s="168">
        <f t="shared" ca="1" si="398"/>
        <v>0</v>
      </c>
      <c r="AB197" s="168">
        <f t="shared" ca="1" si="399"/>
        <v>0</v>
      </c>
      <c r="AC197" s="124">
        <f t="shared" ca="1" si="400"/>
        <v>0</v>
      </c>
      <c r="AD197" s="120">
        <f t="shared" ref="AD197" ca="1" si="643">(H197-TODAY())/365</f>
        <v>-4.1095890410958902E-2</v>
      </c>
      <c r="AE197" s="120">
        <f t="shared" ref="AE197" ca="1" si="644">IF(I197&lt;&gt;0,20,0)</f>
        <v>20</v>
      </c>
      <c r="AF197" s="120"/>
      <c r="AG197" s="120"/>
      <c r="AH197" s="120">
        <f t="shared" ca="1" si="508"/>
        <v>6.0049999999999999</v>
      </c>
      <c r="AI197" s="120"/>
      <c r="AJ197" s="120">
        <f t="shared" ca="1" si="509"/>
        <v>0</v>
      </c>
      <c r="AK197" s="120"/>
      <c r="AL197" s="147"/>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c r="BS197" s="13">
        <v>2</v>
      </c>
      <c r="BT197" s="128">
        <v>44491</v>
      </c>
      <c r="BU197" s="121" t="s">
        <v>8</v>
      </c>
      <c r="BV197" s="120" t="s">
        <v>482</v>
      </c>
      <c r="BW197" s="121" t="s">
        <v>502</v>
      </c>
      <c r="BX197" s="120">
        <v>18400</v>
      </c>
      <c r="BY197" s="120">
        <v>41.7</v>
      </c>
      <c r="BZ197" s="120">
        <v>47.945</v>
      </c>
      <c r="CA197" s="124">
        <v>-3216.6708800000001</v>
      </c>
      <c r="CB197" s="120">
        <v>1.1497601918465228</v>
      </c>
      <c r="CC197" s="120">
        <v>500</v>
      </c>
      <c r="CD197" s="120">
        <v>50</v>
      </c>
      <c r="CE197" s="124">
        <v>20850</v>
      </c>
    </row>
    <row r="198" spans="1:83" hidden="1">
      <c r="A198" s="13">
        <f t="shared" ca="1" si="506"/>
        <v>191</v>
      </c>
      <c r="B198" s="128">
        <v>44679</v>
      </c>
      <c r="C198" s="121" t="s">
        <v>8</v>
      </c>
      <c r="D198" s="121">
        <v>1</v>
      </c>
      <c r="E198" s="120" t="s">
        <v>481</v>
      </c>
      <c r="F198" s="121" t="s">
        <v>381</v>
      </c>
      <c r="G198" s="120">
        <v>3900</v>
      </c>
      <c r="H198" s="122">
        <v>44707</v>
      </c>
      <c r="I198" s="120">
        <v>200</v>
      </c>
      <c r="J198" s="120">
        <v>77</v>
      </c>
      <c r="K198" s="120">
        <v>5.95</v>
      </c>
      <c r="L198" s="124">
        <f t="shared" ref="L198" ca="1" si="645">IF(AND(K198&lt;&gt;0,I198&lt;&gt;0),(IF(C198="B",1,-1))*(K198-J198)*I198-AK198*2,0)*$D198*IF(MONTH($B$2)=MONTH($H198),1,0)</f>
        <v>0</v>
      </c>
      <c r="M198" s="124">
        <f t="shared" ref="M198" ca="1" si="646">IF(AND(K198&lt;&gt;0,I198&lt;&gt;0),(IF(C198="B",1,-1))*(K198-J198)*I198-AK198*2,0)*$D198</f>
        <v>14210</v>
      </c>
      <c r="N198" s="120">
        <f t="shared" ref="N198" ca="1" si="647">K198/$J198</f>
        <v>7.7272727272727271E-2</v>
      </c>
      <c r="O198" s="164">
        <f t="shared" ref="O198" ca="1" si="648">J198*(1+$O$6*IF(C198="B",-1,1))</f>
        <v>96.25</v>
      </c>
      <c r="P198" s="168">
        <f t="shared" ca="1" si="507"/>
        <v>15400</v>
      </c>
      <c r="Q198" s="168" t="e">
        <f t="shared" ref="Q198" ca="1" si="649">(W198-J198)*I198*IF(C198="B",1,-1)*IF(K198=0,1,0)</f>
        <v>#N/A</v>
      </c>
      <c r="R198" s="184">
        <f t="shared" ca="1" si="403"/>
        <v>0</v>
      </c>
      <c r="S198" s="124">
        <f t="shared" ref="S198" ca="1" si="650">(1-$S$6)*J198</f>
        <v>7.6999999999999984</v>
      </c>
      <c r="T198" s="120">
        <f ca="1">VLOOKUP(TRIM($F198),Reference!B:C,2,0)</f>
        <v>2788</v>
      </c>
      <c r="U198" s="181">
        <f t="shared" ref="U198" ca="1" si="651">AC198</f>
        <v>0</v>
      </c>
      <c r="V198" s="125" t="str">
        <f t="shared" ca="1" si="395"/>
        <v>MINDTREE22MAY3900CE</v>
      </c>
      <c r="W198" s="166" t="e">
        <f ca="1">VLOOKUP($V198,Reference!BA:BD,4,0)</f>
        <v>#N/A</v>
      </c>
      <c r="X198" s="168">
        <f t="shared" ca="1" si="396"/>
        <v>0</v>
      </c>
      <c r="Y198" s="168">
        <f t="shared" ca="1" si="397"/>
        <v>0</v>
      </c>
      <c r="Z198" s="168">
        <f t="shared" ca="1" si="404"/>
        <v>0</v>
      </c>
      <c r="AA198" s="168">
        <f t="shared" ca="1" si="398"/>
        <v>0</v>
      </c>
      <c r="AB198" s="168">
        <f t="shared" ca="1" si="399"/>
        <v>0</v>
      </c>
      <c r="AC198" s="124">
        <f t="shared" ca="1" si="400"/>
        <v>0</v>
      </c>
      <c r="AD198" s="120">
        <f t="shared" ref="AD198" ca="1" si="652">(H198-TODAY())/365</f>
        <v>-0.13698630136986301</v>
      </c>
      <c r="AE198" s="120">
        <f t="shared" ref="AE198" ca="1" si="653">IF(I198&lt;&gt;0,20,0)</f>
        <v>20</v>
      </c>
      <c r="AF198" s="120"/>
      <c r="AG198" s="120"/>
      <c r="AH198" s="120">
        <f t="shared" ca="1" si="508"/>
        <v>7.7</v>
      </c>
      <c r="AI198" s="120"/>
      <c r="AJ198" s="120">
        <f t="shared" ca="1" si="509"/>
        <v>0</v>
      </c>
      <c r="AK198" s="120"/>
      <c r="AL198" s="147"/>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c r="BS198" s="13">
        <v>2</v>
      </c>
      <c r="BT198" s="128">
        <v>44491</v>
      </c>
      <c r="BU198" s="121" t="s">
        <v>8</v>
      </c>
      <c r="BV198" s="120" t="s">
        <v>482</v>
      </c>
      <c r="BW198" s="121" t="s">
        <v>502</v>
      </c>
      <c r="BX198" s="120">
        <v>18400</v>
      </c>
      <c r="BY198" s="120">
        <v>41.7</v>
      </c>
      <c r="BZ198" s="120">
        <v>47.945</v>
      </c>
      <c r="CA198" s="124">
        <v>-3216.6708800000001</v>
      </c>
      <c r="CB198" s="120">
        <v>1.1497601918465228</v>
      </c>
      <c r="CC198" s="120">
        <v>500</v>
      </c>
      <c r="CD198" s="120">
        <v>50</v>
      </c>
      <c r="CE198" s="124">
        <v>20850</v>
      </c>
    </row>
    <row r="199" spans="1:83" hidden="1">
      <c r="A199" s="13">
        <f t="shared" ca="1" si="506"/>
        <v>192</v>
      </c>
      <c r="B199" s="128">
        <v>44679</v>
      </c>
      <c r="C199" s="121" t="s">
        <v>8</v>
      </c>
      <c r="D199" s="121">
        <v>1</v>
      </c>
      <c r="E199" s="120" t="s">
        <v>482</v>
      </c>
      <c r="F199" s="121" t="s">
        <v>506</v>
      </c>
      <c r="G199" s="120">
        <v>34800</v>
      </c>
      <c r="H199" s="122">
        <v>44707</v>
      </c>
      <c r="I199" s="120">
        <v>25</v>
      </c>
      <c r="J199" s="120">
        <v>366</v>
      </c>
      <c r="K199" s="120">
        <v>1499.85</v>
      </c>
      <c r="L199" s="124">
        <f t="shared" ref="L199" ca="1" si="654">IF(AND(K199&lt;&gt;0,I199&lt;&gt;0),(IF(C199="B",1,-1))*(K199-J199)*I199-AK199*2,0)*$D199*IF(MONTH($B$2)=MONTH($H199),1,0)</f>
        <v>0</v>
      </c>
      <c r="M199" s="124">
        <f t="shared" ref="M199" ca="1" si="655">IF(AND(K199&lt;&gt;0,I199&lt;&gt;0),(IF(C199="B",1,-1))*(K199-J199)*I199-AK199*2,0)*$D199</f>
        <v>-28346.249999999996</v>
      </c>
      <c r="N199" s="120">
        <f t="shared" ref="N199" ca="1" si="656">K199/$J199</f>
        <v>4.097950819672131</v>
      </c>
      <c r="O199" s="164">
        <f t="shared" ref="O199" ca="1" si="657">J199*(1+$O$6*IF(C199="B",-1,1))</f>
        <v>457.5</v>
      </c>
      <c r="P199" s="168">
        <f t="shared" ca="1" si="507"/>
        <v>9150</v>
      </c>
      <c r="Q199" s="168" t="e">
        <f t="shared" ref="Q199" ca="1" si="658">(W199-J199)*I199*IF(C199="B",1,-1)*IF(K199=0,1,0)</f>
        <v>#N/A</v>
      </c>
      <c r="R199" s="184">
        <f t="shared" ca="1" si="403"/>
        <v>0</v>
      </c>
      <c r="S199" s="124">
        <f t="shared" ref="S199" ca="1" si="659">(1-$S$6)*J199</f>
        <v>36.599999999999994</v>
      </c>
      <c r="T199" s="120">
        <f ca="1">VLOOKUP(TRIM($F199),Reference!B:C,2,0)</f>
        <v>34651.199999999997</v>
      </c>
      <c r="U199" s="181">
        <f t="shared" ref="U199" ca="1" si="660">AC199</f>
        <v>0</v>
      </c>
      <c r="V199" s="125" t="str">
        <f t="shared" ca="1" si="395"/>
        <v>BANKNIFTY22MAY34800PE</v>
      </c>
      <c r="W199" s="166" t="e">
        <f ca="1">VLOOKUP($V199,Reference!BA:BD,4,0)</f>
        <v>#N/A</v>
      </c>
      <c r="X199" s="168">
        <f t="shared" ca="1" si="396"/>
        <v>0</v>
      </c>
      <c r="Y199" s="168">
        <f t="shared" ca="1" si="397"/>
        <v>0</v>
      </c>
      <c r="Z199" s="168">
        <f t="shared" ca="1" si="404"/>
        <v>0</v>
      </c>
      <c r="AA199" s="168">
        <f t="shared" ca="1" si="398"/>
        <v>0</v>
      </c>
      <c r="AB199" s="168">
        <f t="shared" ca="1" si="399"/>
        <v>0</v>
      </c>
      <c r="AC199" s="124">
        <f t="shared" ca="1" si="400"/>
        <v>0</v>
      </c>
      <c r="AD199" s="120">
        <f t="shared" ref="AD199" ca="1" si="661">(H199-TODAY())/365</f>
        <v>-0.13698630136986301</v>
      </c>
      <c r="AE199" s="120">
        <f t="shared" ref="AE199" ca="1" si="662">IF(I199&lt;&gt;0,20,0)</f>
        <v>20</v>
      </c>
      <c r="AF199" s="120"/>
      <c r="AG199" s="120"/>
      <c r="AH199" s="120">
        <f t="shared" ca="1" si="508"/>
        <v>4.5750000000000002</v>
      </c>
      <c r="AI199" s="120"/>
      <c r="AJ199" s="120">
        <f t="shared" ca="1" si="509"/>
        <v>0</v>
      </c>
      <c r="AK199" s="120"/>
      <c r="AL199" s="147"/>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c r="BS199" s="13">
        <v>2</v>
      </c>
      <c r="BT199" s="128">
        <v>44491</v>
      </c>
      <c r="BU199" s="121" t="s">
        <v>8</v>
      </c>
      <c r="BV199" s="120" t="s">
        <v>482</v>
      </c>
      <c r="BW199" s="121" t="s">
        <v>502</v>
      </c>
      <c r="BX199" s="120">
        <v>18400</v>
      </c>
      <c r="BY199" s="120">
        <v>41.7</v>
      </c>
      <c r="BZ199" s="120">
        <v>47.945</v>
      </c>
      <c r="CA199" s="124">
        <v>-3216.6708800000001</v>
      </c>
      <c r="CB199" s="120">
        <v>1.1497601918465228</v>
      </c>
      <c r="CC199" s="120">
        <v>500</v>
      </c>
      <c r="CD199" s="120">
        <v>50</v>
      </c>
      <c r="CE199" s="124">
        <v>20850</v>
      </c>
    </row>
    <row r="200" spans="1:83" hidden="1">
      <c r="A200" s="13">
        <f t="shared" ca="1" si="506"/>
        <v>193</v>
      </c>
      <c r="B200" s="128">
        <v>44679</v>
      </c>
      <c r="C200" s="121" t="s">
        <v>8</v>
      </c>
      <c r="D200" s="121">
        <v>1</v>
      </c>
      <c r="E200" s="120" t="s">
        <v>481</v>
      </c>
      <c r="F200" s="121" t="s">
        <v>506</v>
      </c>
      <c r="G200" s="120">
        <v>37500</v>
      </c>
      <c r="H200" s="122">
        <v>44707</v>
      </c>
      <c r="I200" s="120">
        <v>25</v>
      </c>
      <c r="J200" s="120">
        <v>400.75</v>
      </c>
      <c r="K200" s="120">
        <v>4.4000000000000004</v>
      </c>
      <c r="L200" s="124">
        <f t="shared" ref="L200" ca="1" si="663">IF(AND(K200&lt;&gt;0,I200&lt;&gt;0),(IF(C200="B",1,-1))*(K200-J200)*I200-AK200*2,0)*$D200*IF(MONTH($B$2)=MONTH($H200),1,0)</f>
        <v>0</v>
      </c>
      <c r="M200" s="124">
        <f t="shared" ref="M200" ca="1" si="664">IF(AND(K200&lt;&gt;0,I200&lt;&gt;0),(IF(C200="B",1,-1))*(K200-J200)*I200-AK200*2,0)*$D200</f>
        <v>9908.75</v>
      </c>
      <c r="N200" s="120">
        <f t="shared" ref="N200" ca="1" si="665">K200/$J200</f>
        <v>1.0979413599500937E-2</v>
      </c>
      <c r="O200" s="164">
        <f t="shared" ref="O200" ca="1" si="666">J200*(1+$O$6*IF(C200="B",-1,1))</f>
        <v>500.9375</v>
      </c>
      <c r="P200" s="168">
        <f t="shared" ca="1" si="507"/>
        <v>10018.75</v>
      </c>
      <c r="Q200" s="168" t="e">
        <f t="shared" ref="Q200" ca="1" si="667">(W200-J200)*I200*IF(C200="B",1,-1)*IF(K200=0,1,0)</f>
        <v>#N/A</v>
      </c>
      <c r="R200" s="184">
        <f t="shared" ca="1" si="403"/>
        <v>0</v>
      </c>
      <c r="S200" s="124">
        <f t="shared" ref="S200" ca="1" si="668">(1-$S$6)*J200</f>
        <v>40.074999999999989</v>
      </c>
      <c r="T200" s="120">
        <f ca="1">VLOOKUP(TRIM($F200),Reference!B:C,2,0)</f>
        <v>34651.199999999997</v>
      </c>
      <c r="U200" s="181">
        <f t="shared" ref="U200" ca="1" si="669">AC200</f>
        <v>0</v>
      </c>
      <c r="V200" s="125" t="str">
        <f t="shared" ref="V200:V263" ca="1" si="670">TRIM(F200)&amp;TEXT(H200,"YY")&amp;UPPER(TEXT(H200,"MMM"))&amp;TRIM(G200)&amp;TRIM(E200)</f>
        <v>BANKNIFTY22MAY37500CE</v>
      </c>
      <c r="W200" s="166" t="e">
        <f ca="1">VLOOKUP($V200,Reference!BA:BD,4,0)</f>
        <v>#N/A</v>
      </c>
      <c r="X200" s="168">
        <f t="shared" ref="X200:X263" ca="1" si="671">IF(OR($AD200&lt;0,$K200&lt;&gt;0),0,IF($E200="FUT",W200,OptionPrice(LEFT($E200),$T200,$G200,$AD200,RISKFREE_RATE,$U200,NIFTY_DIVYLD))*IF(C200="B",1,-1)*IF(I200=0,0,1)*IF(K200=0,1,0)*I200)</f>
        <v>0</v>
      </c>
      <c r="Y200" s="168">
        <f t="shared" ref="Y200:Y263" ca="1" si="672">IF(OR($AD200&lt;0,$K200&lt;&gt;0),0,IF($E200="FUT",1,OptionDelta(LEFT(E200),T200,G200,AD200,RISKFREE_RATE,U200,NIFTY_DIVYLD)))</f>
        <v>0</v>
      </c>
      <c r="Z200" s="168">
        <f t="shared" ca="1" si="404"/>
        <v>0</v>
      </c>
      <c r="AA200" s="168">
        <f t="shared" ref="AA200:AA263" ca="1" si="673">IF(OR($AD200&lt;0,$K200&lt;&gt;0),0,IF($E200="FUT",0,OptionTheta(LEFT(E200),T200,G200,AD200,RISKFREE_RATE,U200,NIFTY_DIVYLD))*IF(C200="B",1,-1)*IF(I200=0,0,1)*IF(K200=0,1,0)*I200)</f>
        <v>0</v>
      </c>
      <c r="AB200" s="168">
        <f t="shared" ref="AB200:AB263" ca="1" si="674">IF(OR($AD200&lt;0,$K200&lt;&gt;0),0,IF($E200="FUT",0,OptionGamma(T200,G200,AD200,RISKFREE_RATE,U200,NIFTY_DIVYLD))*IF(C200="B",1,-1)*IF(I200=0,0,1)*IF(K200=0,1,0))</f>
        <v>0</v>
      </c>
      <c r="AC200" s="124">
        <f t="shared" ref="AC200:AC263" ca="1" si="675">IF(OR($AD200&lt;0,$K200&lt;&gt;0),0,IF($E200="FUT",0,ImpliedVolatility(LEFT(E200),T200,G200,RISKFREE_RATE,AD200,NIFTY_DIVYLD,W200,$AC$6)))</f>
        <v>0</v>
      </c>
      <c r="AD200" s="120">
        <f t="shared" ref="AD200" ca="1" si="676">(H200-TODAY())/365</f>
        <v>-0.13698630136986301</v>
      </c>
      <c r="AE200" s="120">
        <f t="shared" ref="AE200" ca="1" si="677">IF(I200&lt;&gt;0,20,0)</f>
        <v>20</v>
      </c>
      <c r="AF200" s="120"/>
      <c r="AG200" s="120"/>
      <c r="AH200" s="120">
        <f t="shared" ca="1" si="508"/>
        <v>5.0093750000000004</v>
      </c>
      <c r="AI200" s="120"/>
      <c r="AJ200" s="120">
        <f t="shared" ca="1" si="509"/>
        <v>0</v>
      </c>
      <c r="AK200" s="120"/>
      <c r="AL200" s="147"/>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c r="BS200" s="13">
        <v>2</v>
      </c>
      <c r="BT200" s="128">
        <v>44491</v>
      </c>
      <c r="BU200" s="121" t="s">
        <v>8</v>
      </c>
      <c r="BV200" s="120" t="s">
        <v>482</v>
      </c>
      <c r="BW200" s="121" t="s">
        <v>502</v>
      </c>
      <c r="BX200" s="120">
        <v>18400</v>
      </c>
      <c r="BY200" s="120">
        <v>41.7</v>
      </c>
      <c r="BZ200" s="120">
        <v>47.945</v>
      </c>
      <c r="CA200" s="124">
        <v>-3216.6708800000001</v>
      </c>
      <c r="CB200" s="120">
        <v>1.1497601918465228</v>
      </c>
      <c r="CC200" s="120">
        <v>500</v>
      </c>
      <c r="CD200" s="120">
        <v>50</v>
      </c>
      <c r="CE200" s="124">
        <v>20850</v>
      </c>
    </row>
    <row r="201" spans="1:83" hidden="1">
      <c r="A201" s="13">
        <f t="shared" ca="1" si="506"/>
        <v>194</v>
      </c>
      <c r="B201" s="128">
        <v>44679</v>
      </c>
      <c r="C201" s="121" t="s">
        <v>8</v>
      </c>
      <c r="D201" s="121">
        <v>1</v>
      </c>
      <c r="E201" s="120" t="s">
        <v>481</v>
      </c>
      <c r="F201" s="121" t="s">
        <v>506</v>
      </c>
      <c r="G201" s="120">
        <v>37500</v>
      </c>
      <c r="H201" s="122">
        <v>44707</v>
      </c>
      <c r="I201" s="120">
        <v>25</v>
      </c>
      <c r="J201" s="120">
        <v>401.35</v>
      </c>
      <c r="K201" s="120">
        <v>4.4000000000000004</v>
      </c>
      <c r="L201" s="124">
        <f t="shared" ref="L201" ca="1" si="678">IF(AND(K201&lt;&gt;0,I201&lt;&gt;0),(IF(C201="B",1,-1))*(K201-J201)*I201-AK201*2,0)*$D201*IF(MONTH($B$2)=MONTH($H201),1,0)</f>
        <v>0</v>
      </c>
      <c r="M201" s="124">
        <f t="shared" ref="M201" ca="1" si="679">IF(AND(K201&lt;&gt;0,I201&lt;&gt;0),(IF(C201="B",1,-1))*(K201-J201)*I201-AK201*2,0)*$D201</f>
        <v>9923.7500000000018</v>
      </c>
      <c r="N201" s="120">
        <f t="shared" ref="N201" ca="1" si="680">K201/$J201</f>
        <v>1.0962999875420456E-2</v>
      </c>
      <c r="O201" s="164">
        <f t="shared" ref="O201" ca="1" si="681">J201*(1+$O$6*IF(C201="B",-1,1))</f>
        <v>501.6875</v>
      </c>
      <c r="P201" s="168">
        <f t="shared" ca="1" si="507"/>
        <v>10033.75</v>
      </c>
      <c r="Q201" s="168" t="e">
        <f t="shared" ref="Q201" ca="1" si="682">(W201-J201)*I201*IF(C201="B",1,-1)*IF(K201=0,1,0)</f>
        <v>#N/A</v>
      </c>
      <c r="R201" s="184">
        <f t="shared" ref="R201:R264" ca="1" si="683">Z201*T201</f>
        <v>0</v>
      </c>
      <c r="S201" s="124">
        <f t="shared" ref="S201" ca="1" si="684">(1-$S$6)*J201</f>
        <v>40.134999999999991</v>
      </c>
      <c r="T201" s="120">
        <f ca="1">VLOOKUP(TRIM($F201),Reference!B:C,2,0)</f>
        <v>34651.199999999997</v>
      </c>
      <c r="U201" s="181">
        <f t="shared" ref="U201" ca="1" si="685">AC201</f>
        <v>0</v>
      </c>
      <c r="V201" s="125" t="str">
        <f t="shared" ca="1" si="670"/>
        <v>BANKNIFTY22MAY37500CE</v>
      </c>
      <c r="W201" s="166" t="e">
        <f ca="1">VLOOKUP($V201,Reference!BA:BD,4,0)</f>
        <v>#N/A</v>
      </c>
      <c r="X201" s="168">
        <f t="shared" ca="1" si="671"/>
        <v>0</v>
      </c>
      <c r="Y201" s="168">
        <f t="shared" ca="1" si="672"/>
        <v>0</v>
      </c>
      <c r="Z201" s="168">
        <f t="shared" ref="Z201:Z264" ca="1" si="686">Y201*IF(C201="B",1,-1)*IF(I201=0,0,1)*IF(K201=0,1,0)*I201</f>
        <v>0</v>
      </c>
      <c r="AA201" s="168">
        <f t="shared" ca="1" si="673"/>
        <v>0</v>
      </c>
      <c r="AB201" s="168">
        <f t="shared" ca="1" si="674"/>
        <v>0</v>
      </c>
      <c r="AC201" s="124">
        <f t="shared" ca="1" si="675"/>
        <v>0</v>
      </c>
      <c r="AD201" s="120">
        <f t="shared" ref="AD201" ca="1" si="687">(H201-TODAY())/365</f>
        <v>-0.13698630136986301</v>
      </c>
      <c r="AE201" s="120">
        <f t="shared" ref="AE201" ca="1" si="688">IF(I201&lt;&gt;0,20,0)</f>
        <v>20</v>
      </c>
      <c r="AF201" s="120"/>
      <c r="AG201" s="120"/>
      <c r="AH201" s="120">
        <f t="shared" ca="1" si="508"/>
        <v>5.0168749999999998</v>
      </c>
      <c r="AI201" s="120"/>
      <c r="AJ201" s="120">
        <f t="shared" ca="1" si="509"/>
        <v>0</v>
      </c>
      <c r="AK201" s="120"/>
      <c r="AL201" s="147"/>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c r="BS201" s="13">
        <v>2</v>
      </c>
      <c r="BT201" s="128">
        <v>44491</v>
      </c>
      <c r="BU201" s="121" t="s">
        <v>8</v>
      </c>
      <c r="BV201" s="120" t="s">
        <v>482</v>
      </c>
      <c r="BW201" s="121" t="s">
        <v>502</v>
      </c>
      <c r="BX201" s="120">
        <v>18400</v>
      </c>
      <c r="BY201" s="120">
        <v>41.7</v>
      </c>
      <c r="BZ201" s="120">
        <v>47.945</v>
      </c>
      <c r="CA201" s="124">
        <v>-3216.6708800000001</v>
      </c>
      <c r="CB201" s="120">
        <v>1.1497601918465228</v>
      </c>
      <c r="CC201" s="120">
        <v>500</v>
      </c>
      <c r="CD201" s="120">
        <v>50</v>
      </c>
      <c r="CE201" s="124">
        <v>20850</v>
      </c>
    </row>
    <row r="202" spans="1:83" hidden="1">
      <c r="A202" s="13">
        <f t="shared" ca="1" si="506"/>
        <v>195</v>
      </c>
      <c r="B202" s="128">
        <v>44679</v>
      </c>
      <c r="C202" s="121" t="s">
        <v>8</v>
      </c>
      <c r="D202" s="121">
        <v>1</v>
      </c>
      <c r="E202" s="120" t="s">
        <v>481</v>
      </c>
      <c r="F202" s="121" t="s">
        <v>130</v>
      </c>
      <c r="G202" s="120">
        <v>270</v>
      </c>
      <c r="H202" s="122">
        <v>44707</v>
      </c>
      <c r="I202" s="120">
        <v>6750</v>
      </c>
      <c r="J202" s="120">
        <v>5.4</v>
      </c>
      <c r="K202" s="120">
        <v>0.85</v>
      </c>
      <c r="L202" s="124">
        <f t="shared" ref="L202" ca="1" si="689">IF(AND(K202&lt;&gt;0,I202&lt;&gt;0),(IF(C202="B",1,-1))*(K202-J202)*I202-AK202*2,0)*$D202*IF(MONTH($B$2)=MONTH($H202),1,0)</f>
        <v>0</v>
      </c>
      <c r="M202" s="124">
        <f t="shared" ref="M202" ca="1" si="690">IF(AND(K202&lt;&gt;0,I202&lt;&gt;0),(IF(C202="B",1,-1))*(K202-J202)*I202-AK202*2,0)*$D202</f>
        <v>30712.500000000004</v>
      </c>
      <c r="N202" s="120">
        <f t="shared" ref="N202" ca="1" si="691">K202/$J202</f>
        <v>0.15740740740740738</v>
      </c>
      <c r="O202" s="164">
        <f t="shared" ref="O202" ca="1" si="692">J202*(1+$O$6*IF(C202="B",-1,1))</f>
        <v>6.75</v>
      </c>
      <c r="P202" s="168">
        <f t="shared" ca="1" si="507"/>
        <v>36450</v>
      </c>
      <c r="Q202" s="168" t="e">
        <f t="shared" ref="Q202" ca="1" si="693">(W202-J202)*I202*IF(C202="B",1,-1)*IF(K202=0,1,0)</f>
        <v>#N/A</v>
      </c>
      <c r="R202" s="184">
        <f t="shared" ca="1" si="683"/>
        <v>0</v>
      </c>
      <c r="S202" s="124">
        <f t="shared" ref="S202" ca="1" si="694">(1-$S$6)*J202</f>
        <v>0.53999999999999992</v>
      </c>
      <c r="T202" s="120">
        <f ca="1">VLOOKUP(TRIM($F202),Reference!B:C,2,0)</f>
        <v>221.6</v>
      </c>
      <c r="U202" s="181">
        <f t="shared" ref="U202" ca="1" si="695">AC202</f>
        <v>0</v>
      </c>
      <c r="V202" s="125" t="str">
        <f t="shared" ca="1" si="670"/>
        <v>TATAPOWER22MAY270CE</v>
      </c>
      <c r="W202" s="166" t="e">
        <f ca="1">VLOOKUP($V202,Reference!BA:BD,4,0)</f>
        <v>#N/A</v>
      </c>
      <c r="X202" s="168">
        <f t="shared" ca="1" si="671"/>
        <v>0</v>
      </c>
      <c r="Y202" s="168">
        <f t="shared" ca="1" si="672"/>
        <v>0</v>
      </c>
      <c r="Z202" s="168">
        <f t="shared" ca="1" si="686"/>
        <v>0</v>
      </c>
      <c r="AA202" s="168">
        <f t="shared" ca="1" si="673"/>
        <v>0</v>
      </c>
      <c r="AB202" s="168">
        <f t="shared" ca="1" si="674"/>
        <v>0</v>
      </c>
      <c r="AC202" s="124">
        <f t="shared" ca="1" si="675"/>
        <v>0</v>
      </c>
      <c r="AD202" s="120">
        <f t="shared" ref="AD202" ca="1" si="696">(H202-TODAY())/365</f>
        <v>-0.13698630136986301</v>
      </c>
      <c r="AE202" s="120">
        <f t="shared" ref="AE202" ca="1" si="697">IF(I202&lt;&gt;0,20,0)</f>
        <v>20</v>
      </c>
      <c r="AF202" s="120"/>
      <c r="AG202" s="120"/>
      <c r="AH202" s="120">
        <f t="shared" ca="1" si="508"/>
        <v>18.225000000000001</v>
      </c>
      <c r="AI202" s="120"/>
      <c r="AJ202" s="120">
        <f t="shared" ca="1" si="509"/>
        <v>0</v>
      </c>
      <c r="AK202" s="120"/>
      <c r="AL202" s="147"/>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c r="BS202" s="13">
        <v>2</v>
      </c>
      <c r="BT202" s="128">
        <v>44491</v>
      </c>
      <c r="BU202" s="121" t="s">
        <v>8</v>
      </c>
      <c r="BV202" s="120" t="s">
        <v>482</v>
      </c>
      <c r="BW202" s="121" t="s">
        <v>502</v>
      </c>
      <c r="BX202" s="120">
        <v>18400</v>
      </c>
      <c r="BY202" s="120">
        <v>41.7</v>
      </c>
      <c r="BZ202" s="120">
        <v>47.945</v>
      </c>
      <c r="CA202" s="124">
        <v>-3216.6708800000001</v>
      </c>
      <c r="CB202" s="120">
        <v>1.1497601918465228</v>
      </c>
      <c r="CC202" s="120">
        <v>500</v>
      </c>
      <c r="CD202" s="120">
        <v>50</v>
      </c>
      <c r="CE202" s="124">
        <v>20850</v>
      </c>
    </row>
    <row r="203" spans="1:83" hidden="1">
      <c r="A203" s="13">
        <f t="shared" ca="1" si="506"/>
        <v>196</v>
      </c>
      <c r="B203" s="128">
        <v>44680</v>
      </c>
      <c r="C203" s="121" t="s">
        <v>8</v>
      </c>
      <c r="D203" s="121">
        <v>1</v>
      </c>
      <c r="E203" s="120" t="s">
        <v>481</v>
      </c>
      <c r="F203" s="121" t="s">
        <v>502</v>
      </c>
      <c r="G203" s="120">
        <v>18200</v>
      </c>
      <c r="H203" s="122">
        <v>44742</v>
      </c>
      <c r="I203" s="120">
        <v>50</v>
      </c>
      <c r="J203" s="120">
        <v>153.15</v>
      </c>
      <c r="K203" s="120">
        <v>0.05</v>
      </c>
      <c r="L203" s="124">
        <f t="shared" ref="L203:L208" ca="1" si="698">IF(AND(K203&lt;&gt;0,I203&lt;&gt;0),(IF(C203="B",1,-1))*(K203-J203)*I203-AK203*2,0)*$D203*IF(MONTH($B$2)=MONTH($H203),1,0)</f>
        <v>0</v>
      </c>
      <c r="M203" s="124">
        <f t="shared" ref="M203:M208" ca="1" si="699">IF(AND(K203&lt;&gt;0,I203&lt;&gt;0),(IF(C203="B",1,-1))*(K203-J203)*I203-AK203*2,0)*$D203</f>
        <v>7655</v>
      </c>
      <c r="N203" s="120">
        <f t="shared" ref="N203:N208" ca="1" si="700">K203/$J203</f>
        <v>3.2647730982696702E-4</v>
      </c>
      <c r="O203" s="164">
        <f t="shared" ref="O203:O208" ca="1" si="701">J203*(1+$O$6*IF(C203="B",-1,1))</f>
        <v>191.4375</v>
      </c>
      <c r="P203" s="168">
        <f t="shared" ca="1" si="507"/>
        <v>7657.5</v>
      </c>
      <c r="Q203" s="168" t="e">
        <f t="shared" ref="Q203:Q208" ca="1" si="702">(W203-J203)*I203*IF(C203="B",1,-1)*IF(K203=0,1,0)</f>
        <v>#N/A</v>
      </c>
      <c r="R203" s="184">
        <f t="shared" ca="1" si="683"/>
        <v>0</v>
      </c>
      <c r="S203" s="124">
        <f t="shared" ref="S203:S208" ca="1" si="703">(1-$S$6)*J203</f>
        <v>15.314999999999998</v>
      </c>
      <c r="T203" s="120">
        <f ca="1">VLOOKUP(TRIM($F203),Reference!B:C,2,0)</f>
        <v>15938.65</v>
      </c>
      <c r="U203" s="181">
        <f t="shared" ref="U203:U208" ca="1" si="704">AC203</f>
        <v>0</v>
      </c>
      <c r="V203" s="125" t="str">
        <f t="shared" ca="1" si="670"/>
        <v>NIFTY22JUN18200CE</v>
      </c>
      <c r="W203" s="166" t="e">
        <f ca="1">VLOOKUP($V203,Reference!BA:BD,4,0)</f>
        <v>#N/A</v>
      </c>
      <c r="X203" s="168">
        <f t="shared" ca="1" si="671"/>
        <v>0</v>
      </c>
      <c r="Y203" s="168">
        <f t="shared" ca="1" si="672"/>
        <v>0</v>
      </c>
      <c r="Z203" s="168">
        <f t="shared" ca="1" si="686"/>
        <v>0</v>
      </c>
      <c r="AA203" s="168">
        <f t="shared" ca="1" si="673"/>
        <v>0</v>
      </c>
      <c r="AB203" s="168">
        <f t="shared" ca="1" si="674"/>
        <v>0</v>
      </c>
      <c r="AC203" s="124">
        <f t="shared" ca="1" si="675"/>
        <v>0</v>
      </c>
      <c r="AD203" s="120">
        <f t="shared" ref="AD203:AD208" ca="1" si="705">(H203-TODAY())/365</f>
        <v>-4.1095890410958902E-2</v>
      </c>
      <c r="AE203" s="120">
        <f t="shared" ref="AE203:AE208" ca="1" si="706">IF(I203&lt;&gt;0,20,0)</f>
        <v>20</v>
      </c>
      <c r="AF203" s="120"/>
      <c r="AG203" s="120"/>
      <c r="AH203" s="120">
        <f t="shared" ca="1" si="508"/>
        <v>3.8287499999999999</v>
      </c>
      <c r="AI203" s="120"/>
      <c r="AJ203" s="120">
        <f t="shared" ca="1" si="509"/>
        <v>0</v>
      </c>
      <c r="AK203" s="120"/>
      <c r="AL203" s="147"/>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c r="BS203" s="13">
        <v>2</v>
      </c>
      <c r="BT203" s="128">
        <v>44491</v>
      </c>
      <c r="BU203" s="121" t="s">
        <v>8</v>
      </c>
      <c r="BV203" s="120" t="s">
        <v>482</v>
      </c>
      <c r="BW203" s="121" t="s">
        <v>502</v>
      </c>
      <c r="BX203" s="120">
        <v>18400</v>
      </c>
      <c r="BY203" s="120">
        <v>41.7</v>
      </c>
      <c r="BZ203" s="120">
        <v>47.945</v>
      </c>
      <c r="CA203" s="124">
        <v>-3216.6708800000001</v>
      </c>
      <c r="CB203" s="120">
        <v>1.1497601918465228</v>
      </c>
      <c r="CC203" s="120">
        <v>500</v>
      </c>
      <c r="CD203" s="120">
        <v>50</v>
      </c>
      <c r="CE203" s="124">
        <v>20850</v>
      </c>
    </row>
    <row r="204" spans="1:83" hidden="1">
      <c r="A204" s="13">
        <f t="shared" ca="1" si="506"/>
        <v>197</v>
      </c>
      <c r="B204" s="128">
        <v>44679</v>
      </c>
      <c r="C204" s="121" t="s">
        <v>6</v>
      </c>
      <c r="D204" s="121">
        <v>1</v>
      </c>
      <c r="E204" s="120" t="s">
        <v>632</v>
      </c>
      <c r="F204" s="121" t="s">
        <v>506</v>
      </c>
      <c r="G204" s="120"/>
      <c r="H204" s="122">
        <v>44742</v>
      </c>
      <c r="I204" s="120">
        <v>25</v>
      </c>
      <c r="J204" s="120">
        <v>36045</v>
      </c>
      <c r="K204" s="120">
        <v>36097</v>
      </c>
      <c r="L204" s="124">
        <f t="shared" ca="1" si="698"/>
        <v>0</v>
      </c>
      <c r="M204" s="124">
        <f t="shared" ca="1" si="699"/>
        <v>1300</v>
      </c>
      <c r="N204" s="120">
        <f t="shared" ca="1" si="700"/>
        <v>1.0014426411430157</v>
      </c>
      <c r="O204" s="164">
        <f t="shared" ca="1" si="701"/>
        <v>27033.75</v>
      </c>
      <c r="P204" s="168">
        <f t="shared" ca="1" si="507"/>
        <v>901125</v>
      </c>
      <c r="Q204" s="168" t="e">
        <f t="shared" ca="1" si="702"/>
        <v>#N/A</v>
      </c>
      <c r="R204" s="184">
        <f t="shared" ca="1" si="683"/>
        <v>0</v>
      </c>
      <c r="S204" s="124">
        <f t="shared" ca="1" si="703"/>
        <v>3604.4999999999991</v>
      </c>
      <c r="T204" s="120">
        <f ca="1">VLOOKUP(TRIM($F204),Reference!B:C,2,0)</f>
        <v>34651.199999999997</v>
      </c>
      <c r="U204" s="181">
        <f t="shared" ca="1" si="704"/>
        <v>0</v>
      </c>
      <c r="V204" s="125" t="str">
        <f t="shared" ca="1" si="670"/>
        <v>BANKNIFTY22JUNFUT</v>
      </c>
      <c r="W204" s="166" t="e">
        <f ca="1">VLOOKUP($V204,Reference!BA:BD,4,0)</f>
        <v>#N/A</v>
      </c>
      <c r="X204" s="168">
        <f t="shared" ca="1" si="671"/>
        <v>0</v>
      </c>
      <c r="Y204" s="168">
        <f t="shared" ca="1" si="672"/>
        <v>0</v>
      </c>
      <c r="Z204" s="168">
        <f t="shared" ca="1" si="686"/>
        <v>0</v>
      </c>
      <c r="AA204" s="168">
        <f t="shared" ca="1" si="673"/>
        <v>0</v>
      </c>
      <c r="AB204" s="168">
        <f t="shared" ca="1" si="674"/>
        <v>0</v>
      </c>
      <c r="AC204" s="124">
        <f t="shared" ca="1" si="675"/>
        <v>0</v>
      </c>
      <c r="AD204" s="120">
        <f t="shared" ca="1" si="705"/>
        <v>-4.1095890410958902E-2</v>
      </c>
      <c r="AE204" s="120">
        <f t="shared" ca="1" si="706"/>
        <v>20</v>
      </c>
      <c r="AF204" s="120"/>
      <c r="AG204" s="120"/>
      <c r="AH204" s="120">
        <f t="shared" ca="1" si="508"/>
        <v>0</v>
      </c>
      <c r="AI204" s="120"/>
      <c r="AJ204" s="120">
        <f t="shared" ca="1" si="509"/>
        <v>27.033750000000001</v>
      </c>
      <c r="AK204" s="120"/>
      <c r="AL204" s="147"/>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c r="BS204" s="13">
        <v>2</v>
      </c>
      <c r="BT204" s="128">
        <v>44491</v>
      </c>
      <c r="BU204" s="121" t="s">
        <v>8</v>
      </c>
      <c r="BV204" s="120" t="s">
        <v>482</v>
      </c>
      <c r="BW204" s="121" t="s">
        <v>502</v>
      </c>
      <c r="BX204" s="120">
        <v>18400</v>
      </c>
      <c r="BY204" s="120">
        <v>41.7</v>
      </c>
      <c r="BZ204" s="120">
        <v>47.945</v>
      </c>
      <c r="CA204" s="124">
        <v>-3216.6708800000001</v>
      </c>
      <c r="CB204" s="120">
        <v>1.1497601918465228</v>
      </c>
      <c r="CC204" s="120">
        <v>500</v>
      </c>
      <c r="CD204" s="120">
        <v>50</v>
      </c>
      <c r="CE204" s="124">
        <v>20850</v>
      </c>
    </row>
    <row r="205" spans="1:83" hidden="1">
      <c r="A205" s="13">
        <f t="shared" ca="1" si="506"/>
        <v>198</v>
      </c>
      <c r="B205" s="128">
        <v>44678</v>
      </c>
      <c r="C205" s="121" t="s">
        <v>6</v>
      </c>
      <c r="D205" s="121">
        <v>1</v>
      </c>
      <c r="E205" s="120" t="s">
        <v>632</v>
      </c>
      <c r="F205" s="121" t="s">
        <v>130</v>
      </c>
      <c r="G205" s="120"/>
      <c r="H205" s="122">
        <v>44707</v>
      </c>
      <c r="I205" s="120">
        <v>3375</v>
      </c>
      <c r="J205" s="120">
        <v>248.85</v>
      </c>
      <c r="K205" s="120">
        <v>254.5</v>
      </c>
      <c r="L205" s="124">
        <f t="shared" ca="1" si="698"/>
        <v>0</v>
      </c>
      <c r="M205" s="124">
        <f t="shared" ca="1" si="699"/>
        <v>19068.750000000018</v>
      </c>
      <c r="N205" s="120">
        <f t="shared" ca="1" si="700"/>
        <v>1.0227044404259595</v>
      </c>
      <c r="O205" s="164">
        <f t="shared" ca="1" si="701"/>
        <v>186.63749999999999</v>
      </c>
      <c r="P205" s="168">
        <f t="shared" ca="1" si="507"/>
        <v>839868.75</v>
      </c>
      <c r="Q205" s="168" t="e">
        <f t="shared" ca="1" si="702"/>
        <v>#N/A</v>
      </c>
      <c r="R205" s="184">
        <f t="shared" ca="1" si="683"/>
        <v>0</v>
      </c>
      <c r="S205" s="124">
        <f t="shared" ca="1" si="703"/>
        <v>24.884999999999994</v>
      </c>
      <c r="T205" s="120">
        <f ca="1">VLOOKUP(TRIM($F205),Reference!B:C,2,0)</f>
        <v>221.6</v>
      </c>
      <c r="U205" s="181">
        <f t="shared" ca="1" si="704"/>
        <v>0</v>
      </c>
      <c r="V205" s="125" t="str">
        <f t="shared" ca="1" si="670"/>
        <v>TATAPOWER22MAYFUT</v>
      </c>
      <c r="W205" s="166" t="e">
        <f ca="1">VLOOKUP($V205,Reference!BA:BD,4,0)</f>
        <v>#N/A</v>
      </c>
      <c r="X205" s="168">
        <f t="shared" ca="1" si="671"/>
        <v>0</v>
      </c>
      <c r="Y205" s="168">
        <f t="shared" ca="1" si="672"/>
        <v>0</v>
      </c>
      <c r="Z205" s="168">
        <f t="shared" ca="1" si="686"/>
        <v>0</v>
      </c>
      <c r="AA205" s="168">
        <f t="shared" ca="1" si="673"/>
        <v>0</v>
      </c>
      <c r="AB205" s="168">
        <f t="shared" ca="1" si="674"/>
        <v>0</v>
      </c>
      <c r="AC205" s="124">
        <f t="shared" ca="1" si="675"/>
        <v>0</v>
      </c>
      <c r="AD205" s="120">
        <f t="shared" ca="1" si="705"/>
        <v>-0.13698630136986301</v>
      </c>
      <c r="AE205" s="120">
        <f t="shared" ca="1" si="706"/>
        <v>20</v>
      </c>
      <c r="AF205" s="120"/>
      <c r="AG205" s="120"/>
      <c r="AH205" s="120">
        <f t="shared" ca="1" si="508"/>
        <v>0</v>
      </c>
      <c r="AI205" s="120"/>
      <c r="AJ205" s="120">
        <f t="shared" ca="1" si="509"/>
        <v>25.1960625</v>
      </c>
      <c r="AK205" s="120"/>
      <c r="AL205" s="147"/>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c r="BS205" s="13">
        <v>2</v>
      </c>
      <c r="BT205" s="128">
        <v>44491</v>
      </c>
      <c r="BU205" s="121" t="s">
        <v>8</v>
      </c>
      <c r="BV205" s="120" t="s">
        <v>482</v>
      </c>
      <c r="BW205" s="121" t="s">
        <v>502</v>
      </c>
      <c r="BX205" s="120">
        <v>18400</v>
      </c>
      <c r="BY205" s="120">
        <v>41.7</v>
      </c>
      <c r="BZ205" s="120">
        <v>47.945</v>
      </c>
      <c r="CA205" s="124">
        <v>-3216.6708800000001</v>
      </c>
      <c r="CB205" s="120">
        <v>1.1497601918465228</v>
      </c>
      <c r="CC205" s="120">
        <v>500</v>
      </c>
      <c r="CD205" s="120">
        <v>50</v>
      </c>
      <c r="CE205" s="124">
        <v>20850</v>
      </c>
    </row>
    <row r="206" spans="1:83" hidden="1">
      <c r="A206" s="13">
        <f t="shared" ca="1" si="506"/>
        <v>199</v>
      </c>
      <c r="B206" s="128">
        <v>44685</v>
      </c>
      <c r="C206" s="121" t="s">
        <v>8</v>
      </c>
      <c r="D206" s="121">
        <v>1</v>
      </c>
      <c r="E206" s="120" t="s">
        <v>482</v>
      </c>
      <c r="F206" s="121" t="s">
        <v>130</v>
      </c>
      <c r="G206" s="120">
        <v>230</v>
      </c>
      <c r="H206" s="122">
        <v>44707</v>
      </c>
      <c r="I206" s="120">
        <v>6750</v>
      </c>
      <c r="J206" s="120">
        <v>3.4</v>
      </c>
      <c r="K206" s="120">
        <v>0</v>
      </c>
      <c r="L206" s="124">
        <f t="shared" ca="1" si="698"/>
        <v>0</v>
      </c>
      <c r="M206" s="124">
        <f t="shared" ca="1" si="699"/>
        <v>0</v>
      </c>
      <c r="N206" s="120">
        <f t="shared" ca="1" si="700"/>
        <v>0</v>
      </c>
      <c r="O206" s="164">
        <f t="shared" ca="1" si="701"/>
        <v>4.25</v>
      </c>
      <c r="P206" s="168">
        <f t="shared" ca="1" si="507"/>
        <v>22950</v>
      </c>
      <c r="Q206" s="168" t="e">
        <f t="shared" ca="1" si="702"/>
        <v>#N/A</v>
      </c>
      <c r="R206" s="184">
        <f t="shared" ca="1" si="683"/>
        <v>0</v>
      </c>
      <c r="S206" s="124">
        <f t="shared" ca="1" si="703"/>
        <v>0.33999999999999991</v>
      </c>
      <c r="T206" s="120">
        <f ca="1">VLOOKUP(TRIM($F206),Reference!B:C,2,0)</f>
        <v>221.6</v>
      </c>
      <c r="U206" s="181">
        <f t="shared" ca="1" si="704"/>
        <v>0</v>
      </c>
      <c r="V206" s="125" t="str">
        <f t="shared" ca="1" si="670"/>
        <v>TATAPOWER22MAY230PE</v>
      </c>
      <c r="W206" s="166" t="e">
        <f ca="1">VLOOKUP($V206,Reference!BA:BD,4,0)</f>
        <v>#N/A</v>
      </c>
      <c r="X206" s="168">
        <f t="shared" ca="1" si="671"/>
        <v>0</v>
      </c>
      <c r="Y206" s="168">
        <f t="shared" ca="1" si="672"/>
        <v>0</v>
      </c>
      <c r="Z206" s="168">
        <f t="shared" ca="1" si="686"/>
        <v>0</v>
      </c>
      <c r="AA206" s="168">
        <f t="shared" ca="1" si="673"/>
        <v>0</v>
      </c>
      <c r="AB206" s="168">
        <f t="shared" ca="1" si="674"/>
        <v>0</v>
      </c>
      <c r="AC206" s="124">
        <f t="shared" ca="1" si="675"/>
        <v>0</v>
      </c>
      <c r="AD206" s="120">
        <f t="shared" ca="1" si="705"/>
        <v>-0.13698630136986301</v>
      </c>
      <c r="AE206" s="120">
        <f t="shared" ca="1" si="706"/>
        <v>20</v>
      </c>
      <c r="AF206" s="120"/>
      <c r="AG206" s="120"/>
      <c r="AH206" s="120">
        <f t="shared" ca="1" si="508"/>
        <v>11.475</v>
      </c>
      <c r="AI206" s="120"/>
      <c r="AJ206" s="120">
        <f t="shared" ca="1" si="509"/>
        <v>0</v>
      </c>
      <c r="AK206" s="120"/>
      <c r="AL206" s="147"/>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c r="BS206" s="13">
        <v>2</v>
      </c>
      <c r="BT206" s="128">
        <v>44491</v>
      </c>
      <c r="BU206" s="121" t="s">
        <v>8</v>
      </c>
      <c r="BV206" s="120" t="s">
        <v>482</v>
      </c>
      <c r="BW206" s="121" t="s">
        <v>502</v>
      </c>
      <c r="BX206" s="120">
        <v>18400</v>
      </c>
      <c r="BY206" s="120">
        <v>41.7</v>
      </c>
      <c r="BZ206" s="120">
        <v>47.945</v>
      </c>
      <c r="CA206" s="124">
        <v>-3216.6708800000001</v>
      </c>
      <c r="CB206" s="120">
        <v>1.1497601918465228</v>
      </c>
      <c r="CC206" s="120">
        <v>500</v>
      </c>
      <c r="CD206" s="120">
        <v>50</v>
      </c>
      <c r="CE206" s="124">
        <v>20850</v>
      </c>
    </row>
    <row r="207" spans="1:83" hidden="1">
      <c r="A207" s="13">
        <f t="shared" ca="1" si="506"/>
        <v>200</v>
      </c>
      <c r="B207" s="128">
        <v>44685</v>
      </c>
      <c r="C207" s="121" t="s">
        <v>6</v>
      </c>
      <c r="D207" s="121">
        <v>1</v>
      </c>
      <c r="E207" s="120" t="s">
        <v>632</v>
      </c>
      <c r="F207" s="121" t="s">
        <v>502</v>
      </c>
      <c r="G207" s="120"/>
      <c r="H207" s="122">
        <v>44742</v>
      </c>
      <c r="I207" s="120">
        <v>50</v>
      </c>
      <c r="J207" s="120">
        <v>16739.150000000001</v>
      </c>
      <c r="K207" s="120">
        <v>16800</v>
      </c>
      <c r="L207" s="124">
        <f t="shared" ca="1" si="698"/>
        <v>0</v>
      </c>
      <c r="M207" s="124">
        <f t="shared" ca="1" si="699"/>
        <v>3042.4999999999272</v>
      </c>
      <c r="N207" s="120">
        <f t="shared" ca="1" si="700"/>
        <v>1.0036351905562706</v>
      </c>
      <c r="O207" s="164">
        <f t="shared" ca="1" si="701"/>
        <v>12554.362500000001</v>
      </c>
      <c r="P207" s="168">
        <f t="shared" ca="1" si="507"/>
        <v>836957.50000000012</v>
      </c>
      <c r="Q207" s="168" t="e">
        <f t="shared" ca="1" si="702"/>
        <v>#N/A</v>
      </c>
      <c r="R207" s="184">
        <f t="shared" ca="1" si="683"/>
        <v>0</v>
      </c>
      <c r="S207" s="124">
        <f t="shared" ca="1" si="703"/>
        <v>1673.9149999999997</v>
      </c>
      <c r="T207" s="120">
        <f ca="1">VLOOKUP(TRIM($F207),Reference!B:C,2,0)</f>
        <v>15938.65</v>
      </c>
      <c r="U207" s="181">
        <f t="shared" ca="1" si="704"/>
        <v>0</v>
      </c>
      <c r="V207" s="125" t="str">
        <f t="shared" ca="1" si="670"/>
        <v>NIFTY22JUNFUT</v>
      </c>
      <c r="W207" s="166" t="e">
        <f ca="1">VLOOKUP($V207,Reference!BA:BD,4,0)</f>
        <v>#N/A</v>
      </c>
      <c r="X207" s="168">
        <f t="shared" ca="1" si="671"/>
        <v>0</v>
      </c>
      <c r="Y207" s="168">
        <f t="shared" ca="1" si="672"/>
        <v>0</v>
      </c>
      <c r="Z207" s="168">
        <f t="shared" ca="1" si="686"/>
        <v>0</v>
      </c>
      <c r="AA207" s="168">
        <f t="shared" ca="1" si="673"/>
        <v>0</v>
      </c>
      <c r="AB207" s="168">
        <f t="shared" ca="1" si="674"/>
        <v>0</v>
      </c>
      <c r="AC207" s="124">
        <f t="shared" ca="1" si="675"/>
        <v>0</v>
      </c>
      <c r="AD207" s="120">
        <f t="shared" ca="1" si="705"/>
        <v>-4.1095890410958902E-2</v>
      </c>
      <c r="AE207" s="120">
        <f t="shared" ca="1" si="706"/>
        <v>20</v>
      </c>
      <c r="AF207" s="120"/>
      <c r="AG207" s="120"/>
      <c r="AH207" s="120">
        <f t="shared" ca="1" si="508"/>
        <v>0</v>
      </c>
      <c r="AI207" s="120"/>
      <c r="AJ207" s="120">
        <f t="shared" ca="1" si="509"/>
        <v>25.108725000000003</v>
      </c>
      <c r="AK207" s="120"/>
      <c r="AL207" s="147"/>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c r="BS207" s="13">
        <v>2</v>
      </c>
      <c r="BT207" s="128">
        <v>44491</v>
      </c>
      <c r="BU207" s="121" t="s">
        <v>8</v>
      </c>
      <c r="BV207" s="120" t="s">
        <v>482</v>
      </c>
      <c r="BW207" s="121" t="s">
        <v>502</v>
      </c>
      <c r="BX207" s="120">
        <v>18400</v>
      </c>
      <c r="BY207" s="120">
        <v>41.7</v>
      </c>
      <c r="BZ207" s="120">
        <v>47.945</v>
      </c>
      <c r="CA207" s="124">
        <v>-3216.6708800000001</v>
      </c>
      <c r="CB207" s="120">
        <v>1.1497601918465228</v>
      </c>
      <c r="CC207" s="120">
        <v>500</v>
      </c>
      <c r="CD207" s="120">
        <v>50</v>
      </c>
      <c r="CE207" s="124">
        <v>20850</v>
      </c>
    </row>
    <row r="208" spans="1:83" hidden="1">
      <c r="A208" s="13">
        <f t="shared" ca="1" si="506"/>
        <v>201</v>
      </c>
      <c r="B208" s="128">
        <v>44686</v>
      </c>
      <c r="C208" s="121" t="s">
        <v>8</v>
      </c>
      <c r="D208" s="121">
        <v>1</v>
      </c>
      <c r="E208" s="120" t="s">
        <v>481</v>
      </c>
      <c r="F208" s="121" t="s">
        <v>126</v>
      </c>
      <c r="G208" s="120">
        <v>220</v>
      </c>
      <c r="H208" s="122">
        <v>44707</v>
      </c>
      <c r="I208" s="120">
        <v>3750</v>
      </c>
      <c r="J208" s="120">
        <v>3.9</v>
      </c>
      <c r="K208" s="120">
        <v>0.25</v>
      </c>
      <c r="L208" s="124">
        <f t="shared" ca="1" si="698"/>
        <v>0</v>
      </c>
      <c r="M208" s="124">
        <f t="shared" ca="1" si="699"/>
        <v>13687.5</v>
      </c>
      <c r="N208" s="120">
        <f t="shared" ca="1" si="700"/>
        <v>6.4102564102564111E-2</v>
      </c>
      <c r="O208" s="164">
        <f t="shared" ca="1" si="701"/>
        <v>4.875</v>
      </c>
      <c r="P208" s="168">
        <f t="shared" ca="1" si="507"/>
        <v>14625</v>
      </c>
      <c r="Q208" s="168" t="e">
        <f t="shared" ca="1" si="702"/>
        <v>#N/A</v>
      </c>
      <c r="R208" s="184">
        <f t="shared" ca="1" si="683"/>
        <v>0</v>
      </c>
      <c r="S208" s="124">
        <f t="shared" ca="1" si="703"/>
        <v>0.3899999999999999</v>
      </c>
      <c r="T208" s="120">
        <f ca="1">VLOOKUP(TRIM($F208),Reference!B:C,2,0)</f>
        <v>162.15</v>
      </c>
      <c r="U208" s="181">
        <f t="shared" ca="1" si="704"/>
        <v>0</v>
      </c>
      <c r="V208" s="125" t="str">
        <f t="shared" ca="1" si="670"/>
        <v>IEX22MAY220CE</v>
      </c>
      <c r="W208" s="166" t="e">
        <f ca="1">VLOOKUP($V208,Reference!BA:BD,4,0)</f>
        <v>#N/A</v>
      </c>
      <c r="X208" s="168">
        <f t="shared" ca="1" si="671"/>
        <v>0</v>
      </c>
      <c r="Y208" s="168">
        <f t="shared" ca="1" si="672"/>
        <v>0</v>
      </c>
      <c r="Z208" s="168">
        <f t="shared" ca="1" si="686"/>
        <v>0</v>
      </c>
      <c r="AA208" s="168">
        <f t="shared" ca="1" si="673"/>
        <v>0</v>
      </c>
      <c r="AB208" s="168">
        <f t="shared" ca="1" si="674"/>
        <v>0</v>
      </c>
      <c r="AC208" s="124">
        <f t="shared" ca="1" si="675"/>
        <v>0</v>
      </c>
      <c r="AD208" s="120">
        <f t="shared" ca="1" si="705"/>
        <v>-0.13698630136986301</v>
      </c>
      <c r="AE208" s="120">
        <f t="shared" ca="1" si="706"/>
        <v>20</v>
      </c>
      <c r="AF208" s="120"/>
      <c r="AG208" s="120"/>
      <c r="AH208" s="120">
        <f t="shared" ca="1" si="508"/>
        <v>7.3125</v>
      </c>
      <c r="AI208" s="120"/>
      <c r="AJ208" s="120">
        <f t="shared" ca="1" si="509"/>
        <v>0</v>
      </c>
      <c r="AK208" s="120"/>
      <c r="AL208" s="147"/>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c r="BS208" s="13">
        <v>2</v>
      </c>
      <c r="BT208" s="128">
        <v>44491</v>
      </c>
      <c r="BU208" s="121" t="s">
        <v>8</v>
      </c>
      <c r="BV208" s="120" t="s">
        <v>482</v>
      </c>
      <c r="BW208" s="121" t="s">
        <v>502</v>
      </c>
      <c r="BX208" s="120">
        <v>18400</v>
      </c>
      <c r="BY208" s="120">
        <v>41.7</v>
      </c>
      <c r="BZ208" s="120">
        <v>47.945</v>
      </c>
      <c r="CA208" s="124">
        <v>-3216.6708800000001</v>
      </c>
      <c r="CB208" s="120">
        <v>1.1497601918465228</v>
      </c>
      <c r="CC208" s="120">
        <v>500</v>
      </c>
      <c r="CD208" s="120">
        <v>50</v>
      </c>
      <c r="CE208" s="124">
        <v>20850</v>
      </c>
    </row>
    <row r="209" spans="1:83" hidden="1">
      <c r="A209" s="13">
        <f t="shared" ca="1" si="506"/>
        <v>202</v>
      </c>
      <c r="B209" s="128">
        <v>44686</v>
      </c>
      <c r="C209" s="121" t="s">
        <v>8</v>
      </c>
      <c r="D209" s="121">
        <v>1</v>
      </c>
      <c r="E209" s="120" t="s">
        <v>482</v>
      </c>
      <c r="F209" s="121" t="s">
        <v>130</v>
      </c>
      <c r="G209" s="120">
        <v>230</v>
      </c>
      <c r="H209" s="122">
        <v>44707</v>
      </c>
      <c r="I209" s="120">
        <v>6750</v>
      </c>
      <c r="J209" s="120">
        <v>4.1500000000000004</v>
      </c>
      <c r="K209" s="120">
        <v>0</v>
      </c>
      <c r="L209" s="124">
        <f t="shared" ref="L209:L214" ca="1" si="707">IF(AND(K209&lt;&gt;0,I209&lt;&gt;0),(IF(C209="B",1,-1))*(K209-J209)*I209-AK209*2,0)*$D209*IF(MONTH($B$2)=MONTH($H209),1,0)</f>
        <v>0</v>
      </c>
      <c r="M209" s="124">
        <f t="shared" ref="M209:M214" ca="1" si="708">IF(AND(K209&lt;&gt;0,I209&lt;&gt;0),(IF(C209="B",1,-1))*(K209-J209)*I209-AK209*2,0)*$D209</f>
        <v>0</v>
      </c>
      <c r="N209" s="120">
        <f t="shared" ref="N209:N214" ca="1" si="709">K209/$J209</f>
        <v>0</v>
      </c>
      <c r="O209" s="164">
        <f t="shared" ref="O209:O214" ca="1" si="710">J209*(1+$O$6*IF(C209="B",-1,1))</f>
        <v>5.1875</v>
      </c>
      <c r="P209" s="168">
        <f t="shared" ca="1" si="507"/>
        <v>28012.500000000004</v>
      </c>
      <c r="Q209" s="168" t="e">
        <f t="shared" ref="Q209:Q214" ca="1" si="711">(W209-J209)*I209*IF(C209="B",1,-1)*IF(K209=0,1,0)</f>
        <v>#N/A</v>
      </c>
      <c r="R209" s="184">
        <f t="shared" ca="1" si="683"/>
        <v>0</v>
      </c>
      <c r="S209" s="124">
        <f t="shared" ref="S209:S214" ca="1" si="712">(1-$S$6)*J209</f>
        <v>0.41499999999999992</v>
      </c>
      <c r="T209" s="120">
        <f ca="1">VLOOKUP(TRIM($F209),Reference!B:C,2,0)</f>
        <v>221.6</v>
      </c>
      <c r="U209" s="181">
        <f t="shared" ref="U209:U214" ca="1" si="713">AC209</f>
        <v>0</v>
      </c>
      <c r="V209" s="125" t="str">
        <f t="shared" ca="1" si="670"/>
        <v>TATAPOWER22MAY230PE</v>
      </c>
      <c r="W209" s="166" t="e">
        <f ca="1">VLOOKUP($V209,Reference!BA:BD,4,0)</f>
        <v>#N/A</v>
      </c>
      <c r="X209" s="168">
        <f t="shared" ca="1" si="671"/>
        <v>0</v>
      </c>
      <c r="Y209" s="168">
        <f t="shared" ca="1" si="672"/>
        <v>0</v>
      </c>
      <c r="Z209" s="168">
        <f t="shared" ca="1" si="686"/>
        <v>0</v>
      </c>
      <c r="AA209" s="168">
        <f t="shared" ca="1" si="673"/>
        <v>0</v>
      </c>
      <c r="AB209" s="168">
        <f t="shared" ca="1" si="674"/>
        <v>0</v>
      </c>
      <c r="AC209" s="124">
        <f t="shared" ca="1" si="675"/>
        <v>0</v>
      </c>
      <c r="AD209" s="120">
        <f t="shared" ref="AD209:AD214" ca="1" si="714">(H209-TODAY())/365</f>
        <v>-0.13698630136986301</v>
      </c>
      <c r="AE209" s="120">
        <f t="shared" ref="AE209:AE214" ca="1" si="715">IF(I209&lt;&gt;0,20,0)</f>
        <v>20</v>
      </c>
      <c r="AF209" s="120"/>
      <c r="AG209" s="120"/>
      <c r="AH209" s="120">
        <f t="shared" ca="1" si="508"/>
        <v>14.006250000000001</v>
      </c>
      <c r="AI209" s="120"/>
      <c r="AJ209" s="120">
        <f t="shared" ca="1" si="509"/>
        <v>0</v>
      </c>
      <c r="AK209" s="120"/>
      <c r="AL209" s="147"/>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c r="BS209" s="13">
        <v>2</v>
      </c>
      <c r="BT209" s="128">
        <v>44491</v>
      </c>
      <c r="BU209" s="121" t="s">
        <v>8</v>
      </c>
      <c r="BV209" s="120" t="s">
        <v>482</v>
      </c>
      <c r="BW209" s="121" t="s">
        <v>502</v>
      </c>
      <c r="BX209" s="120">
        <v>18400</v>
      </c>
      <c r="BY209" s="120">
        <v>41.7</v>
      </c>
      <c r="BZ209" s="120">
        <v>47.945</v>
      </c>
      <c r="CA209" s="124">
        <v>-3216.6708800000001</v>
      </c>
      <c r="CB209" s="120">
        <v>1.1497601918465228</v>
      </c>
      <c r="CC209" s="120">
        <v>500</v>
      </c>
      <c r="CD209" s="120">
        <v>50</v>
      </c>
      <c r="CE209" s="124">
        <v>20850</v>
      </c>
    </row>
    <row r="210" spans="1:83" hidden="1">
      <c r="A210" s="13">
        <f t="shared" ca="1" si="506"/>
        <v>203</v>
      </c>
      <c r="B210" s="128">
        <v>44687</v>
      </c>
      <c r="C210" s="121" t="s">
        <v>6</v>
      </c>
      <c r="D210" s="121">
        <v>1</v>
      </c>
      <c r="E210" s="120" t="s">
        <v>632</v>
      </c>
      <c r="F210" s="121" t="s">
        <v>126</v>
      </c>
      <c r="G210" s="120"/>
      <c r="H210" s="122">
        <v>44707</v>
      </c>
      <c r="I210" s="120">
        <v>3750</v>
      </c>
      <c r="J210" s="120">
        <v>198.5</v>
      </c>
      <c r="K210" s="120">
        <v>199.05</v>
      </c>
      <c r="L210" s="124">
        <f t="shared" ca="1" si="707"/>
        <v>0</v>
      </c>
      <c r="M210" s="124">
        <f t="shared" ca="1" si="708"/>
        <v>2062.5000000000427</v>
      </c>
      <c r="N210" s="120">
        <f t="shared" ca="1" si="709"/>
        <v>1.0027707808564232</v>
      </c>
      <c r="O210" s="164">
        <f t="shared" ca="1" si="710"/>
        <v>148.875</v>
      </c>
      <c r="P210" s="168">
        <f t="shared" ca="1" si="507"/>
        <v>744375</v>
      </c>
      <c r="Q210" s="168" t="e">
        <f t="shared" ca="1" si="711"/>
        <v>#N/A</v>
      </c>
      <c r="R210" s="184">
        <f t="shared" ca="1" si="683"/>
        <v>0</v>
      </c>
      <c r="S210" s="124">
        <f t="shared" ca="1" si="712"/>
        <v>19.849999999999994</v>
      </c>
      <c r="T210" s="120">
        <f ca="1">VLOOKUP(TRIM($F210),Reference!B:C,2,0)</f>
        <v>162.15</v>
      </c>
      <c r="U210" s="181">
        <f t="shared" ca="1" si="713"/>
        <v>0</v>
      </c>
      <c r="V210" s="125" t="str">
        <f t="shared" ca="1" si="670"/>
        <v>IEX22MAYFUT</v>
      </c>
      <c r="W210" s="166" t="e">
        <f ca="1">VLOOKUP($V210,Reference!BA:BD,4,0)</f>
        <v>#N/A</v>
      </c>
      <c r="X210" s="168">
        <f t="shared" ca="1" si="671"/>
        <v>0</v>
      </c>
      <c r="Y210" s="168">
        <f t="shared" ca="1" si="672"/>
        <v>0</v>
      </c>
      <c r="Z210" s="168">
        <f t="shared" ca="1" si="686"/>
        <v>0</v>
      </c>
      <c r="AA210" s="168">
        <f t="shared" ca="1" si="673"/>
        <v>0</v>
      </c>
      <c r="AB210" s="168">
        <f t="shared" ca="1" si="674"/>
        <v>0</v>
      </c>
      <c r="AC210" s="124">
        <f t="shared" ca="1" si="675"/>
        <v>0</v>
      </c>
      <c r="AD210" s="120">
        <f t="shared" ca="1" si="714"/>
        <v>-0.13698630136986301</v>
      </c>
      <c r="AE210" s="120">
        <f t="shared" ca="1" si="715"/>
        <v>20</v>
      </c>
      <c r="AF210" s="120"/>
      <c r="AG210" s="120"/>
      <c r="AH210" s="120">
        <f t="shared" ca="1" si="508"/>
        <v>0</v>
      </c>
      <c r="AI210" s="120"/>
      <c r="AJ210" s="120">
        <f t="shared" ca="1" si="509"/>
        <v>22.331250000000001</v>
      </c>
      <c r="AK210" s="120"/>
      <c r="AL210" s="147"/>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c r="BS210" s="13">
        <v>2</v>
      </c>
      <c r="BT210" s="128">
        <v>44491</v>
      </c>
      <c r="BU210" s="121" t="s">
        <v>8</v>
      </c>
      <c r="BV210" s="120" t="s">
        <v>482</v>
      </c>
      <c r="BW210" s="121" t="s">
        <v>502</v>
      </c>
      <c r="BX210" s="120">
        <v>18400</v>
      </c>
      <c r="BY210" s="120">
        <v>41.7</v>
      </c>
      <c r="BZ210" s="120">
        <v>47.945</v>
      </c>
      <c r="CA210" s="124">
        <v>-3216.6708800000001</v>
      </c>
      <c r="CB210" s="120">
        <v>1.1497601918465228</v>
      </c>
      <c r="CC210" s="120">
        <v>500</v>
      </c>
      <c r="CD210" s="120">
        <v>50</v>
      </c>
      <c r="CE210" s="124">
        <v>20850</v>
      </c>
    </row>
    <row r="211" spans="1:83" hidden="1">
      <c r="A211" s="13">
        <f t="shared" ca="1" si="506"/>
        <v>204</v>
      </c>
      <c r="B211" s="128">
        <v>44687</v>
      </c>
      <c r="C211" s="121" t="s">
        <v>8</v>
      </c>
      <c r="D211" s="121">
        <v>1</v>
      </c>
      <c r="E211" s="120" t="s">
        <v>481</v>
      </c>
      <c r="F211" s="121" t="s">
        <v>126</v>
      </c>
      <c r="G211" s="120">
        <v>220</v>
      </c>
      <c r="H211" s="122">
        <v>44707</v>
      </c>
      <c r="I211" s="120">
        <v>3750</v>
      </c>
      <c r="J211" s="120">
        <v>2.2000000000000002</v>
      </c>
      <c r="K211" s="120">
        <v>0.25</v>
      </c>
      <c r="L211" s="124">
        <f t="shared" ca="1" si="707"/>
        <v>0</v>
      </c>
      <c r="M211" s="124">
        <f t="shared" ca="1" si="708"/>
        <v>7312.5000000000009</v>
      </c>
      <c r="N211" s="120">
        <f t="shared" ca="1" si="709"/>
        <v>0.11363636363636363</v>
      </c>
      <c r="O211" s="164">
        <f t="shared" ca="1" si="710"/>
        <v>2.75</v>
      </c>
      <c r="P211" s="168">
        <f t="shared" ca="1" si="507"/>
        <v>8250</v>
      </c>
      <c r="Q211" s="168" t="e">
        <f t="shared" ca="1" si="711"/>
        <v>#N/A</v>
      </c>
      <c r="R211" s="184">
        <f t="shared" ca="1" si="683"/>
        <v>0</v>
      </c>
      <c r="S211" s="124">
        <f t="shared" ca="1" si="712"/>
        <v>0.21999999999999997</v>
      </c>
      <c r="T211" s="120">
        <f ca="1">VLOOKUP(TRIM($F211),Reference!B:C,2,0)</f>
        <v>162.15</v>
      </c>
      <c r="U211" s="181">
        <f t="shared" ca="1" si="713"/>
        <v>0</v>
      </c>
      <c r="V211" s="125" t="str">
        <f t="shared" ca="1" si="670"/>
        <v>IEX22MAY220CE</v>
      </c>
      <c r="W211" s="166" t="e">
        <f ca="1">VLOOKUP($V211,Reference!BA:BD,4,0)</f>
        <v>#N/A</v>
      </c>
      <c r="X211" s="168">
        <f t="shared" ca="1" si="671"/>
        <v>0</v>
      </c>
      <c r="Y211" s="168">
        <f t="shared" ca="1" si="672"/>
        <v>0</v>
      </c>
      <c r="Z211" s="168">
        <f t="shared" ca="1" si="686"/>
        <v>0</v>
      </c>
      <c r="AA211" s="168">
        <f t="shared" ca="1" si="673"/>
        <v>0</v>
      </c>
      <c r="AB211" s="168">
        <f t="shared" ca="1" si="674"/>
        <v>0</v>
      </c>
      <c r="AC211" s="124">
        <f t="shared" ca="1" si="675"/>
        <v>0</v>
      </c>
      <c r="AD211" s="120">
        <f t="shared" ca="1" si="714"/>
        <v>-0.13698630136986301</v>
      </c>
      <c r="AE211" s="120">
        <f t="shared" ca="1" si="715"/>
        <v>20</v>
      </c>
      <c r="AF211" s="120"/>
      <c r="AG211" s="120"/>
      <c r="AH211" s="120">
        <f t="shared" ca="1" si="508"/>
        <v>4.125</v>
      </c>
      <c r="AI211" s="120"/>
      <c r="AJ211" s="120">
        <f t="shared" ca="1" si="509"/>
        <v>0</v>
      </c>
      <c r="AK211" s="120"/>
      <c r="AL211" s="147"/>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c r="BS211" s="13">
        <v>2</v>
      </c>
      <c r="BT211" s="128">
        <v>44491</v>
      </c>
      <c r="BU211" s="121" t="s">
        <v>8</v>
      </c>
      <c r="BV211" s="120" t="s">
        <v>482</v>
      </c>
      <c r="BW211" s="121" t="s">
        <v>502</v>
      </c>
      <c r="BX211" s="120">
        <v>18400</v>
      </c>
      <c r="BY211" s="120">
        <v>41.7</v>
      </c>
      <c r="BZ211" s="120">
        <v>47.945</v>
      </c>
      <c r="CA211" s="124">
        <v>-3216.6708800000001</v>
      </c>
      <c r="CB211" s="120">
        <v>1.1497601918465228</v>
      </c>
      <c r="CC211" s="120">
        <v>500</v>
      </c>
      <c r="CD211" s="120">
        <v>50</v>
      </c>
      <c r="CE211" s="124">
        <v>20850</v>
      </c>
    </row>
    <row r="212" spans="1:83" hidden="1">
      <c r="A212" s="13">
        <f t="shared" ca="1" si="506"/>
        <v>205</v>
      </c>
      <c r="B212" s="128">
        <v>44687</v>
      </c>
      <c r="C212" s="121" t="s">
        <v>6</v>
      </c>
      <c r="D212" s="121">
        <v>1</v>
      </c>
      <c r="E212" s="120" t="s">
        <v>632</v>
      </c>
      <c r="F212" s="121" t="s">
        <v>502</v>
      </c>
      <c r="G212" s="120"/>
      <c r="H212" s="122">
        <v>44707</v>
      </c>
      <c r="I212" s="120">
        <v>50</v>
      </c>
      <c r="J212" s="120">
        <v>16398</v>
      </c>
      <c r="K212" s="120">
        <v>16076.6</v>
      </c>
      <c r="L212" s="124">
        <f t="shared" ca="1" si="707"/>
        <v>0</v>
      </c>
      <c r="M212" s="124">
        <f t="shared" ca="1" si="708"/>
        <v>-16069.999999999982</v>
      </c>
      <c r="N212" s="120">
        <f t="shared" ca="1" si="709"/>
        <v>0.98040004878643738</v>
      </c>
      <c r="O212" s="164">
        <f t="shared" ca="1" si="710"/>
        <v>12298.5</v>
      </c>
      <c r="P212" s="168">
        <f t="shared" ca="1" si="507"/>
        <v>819900</v>
      </c>
      <c r="Q212" s="168" t="e">
        <f t="shared" ca="1" si="711"/>
        <v>#N/A</v>
      </c>
      <c r="R212" s="184">
        <f t="shared" ca="1" si="683"/>
        <v>0</v>
      </c>
      <c r="S212" s="124">
        <f t="shared" ca="1" si="712"/>
        <v>1639.7999999999997</v>
      </c>
      <c r="T212" s="120">
        <f ca="1">VLOOKUP(TRIM($F212),Reference!B:C,2,0)</f>
        <v>15938.65</v>
      </c>
      <c r="U212" s="181">
        <f t="shared" ca="1" si="713"/>
        <v>0</v>
      </c>
      <c r="V212" s="125" t="str">
        <f t="shared" ca="1" si="670"/>
        <v>NIFTY22MAYFUT</v>
      </c>
      <c r="W212" s="166" t="e">
        <f ca="1">VLOOKUP($V212,Reference!BA:BD,4,0)</f>
        <v>#N/A</v>
      </c>
      <c r="X212" s="168">
        <f t="shared" ca="1" si="671"/>
        <v>0</v>
      </c>
      <c r="Y212" s="168">
        <f t="shared" ca="1" si="672"/>
        <v>0</v>
      </c>
      <c r="Z212" s="168">
        <f t="shared" ca="1" si="686"/>
        <v>0</v>
      </c>
      <c r="AA212" s="168">
        <f t="shared" ca="1" si="673"/>
        <v>0</v>
      </c>
      <c r="AB212" s="168">
        <f t="shared" ca="1" si="674"/>
        <v>0</v>
      </c>
      <c r="AC212" s="124">
        <f t="shared" ca="1" si="675"/>
        <v>0</v>
      </c>
      <c r="AD212" s="120">
        <f t="shared" ca="1" si="714"/>
        <v>-0.13698630136986301</v>
      </c>
      <c r="AE212" s="120">
        <f t="shared" ca="1" si="715"/>
        <v>20</v>
      </c>
      <c r="AF212" s="120"/>
      <c r="AG212" s="120"/>
      <c r="AH212" s="120">
        <f t="shared" ca="1" si="508"/>
        <v>0</v>
      </c>
      <c r="AI212" s="120"/>
      <c r="AJ212" s="120">
        <f t="shared" ca="1" si="509"/>
        <v>24.597000000000001</v>
      </c>
      <c r="AK212" s="120"/>
      <c r="AL212" s="147"/>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c r="BS212" s="13">
        <v>2</v>
      </c>
      <c r="BT212" s="128">
        <v>44491</v>
      </c>
      <c r="BU212" s="121" t="s">
        <v>8</v>
      </c>
      <c r="BV212" s="120" t="s">
        <v>482</v>
      </c>
      <c r="BW212" s="121" t="s">
        <v>502</v>
      </c>
      <c r="BX212" s="120">
        <v>18400</v>
      </c>
      <c r="BY212" s="120">
        <v>41.7</v>
      </c>
      <c r="BZ212" s="120">
        <v>47.945</v>
      </c>
      <c r="CA212" s="124">
        <v>-3216.6708800000001</v>
      </c>
      <c r="CB212" s="120">
        <v>1.1497601918465228</v>
      </c>
      <c r="CC212" s="120">
        <v>500</v>
      </c>
      <c r="CD212" s="120">
        <v>50</v>
      </c>
      <c r="CE212" s="124">
        <v>20850</v>
      </c>
    </row>
    <row r="213" spans="1:83" hidden="1">
      <c r="A213" s="13">
        <f t="shared" ca="1" si="506"/>
        <v>206</v>
      </c>
      <c r="B213" s="128">
        <v>44690</v>
      </c>
      <c r="C213" s="121" t="s">
        <v>8</v>
      </c>
      <c r="D213" s="121">
        <v>1</v>
      </c>
      <c r="E213" s="120" t="s">
        <v>481</v>
      </c>
      <c r="F213" s="121" t="s">
        <v>130</v>
      </c>
      <c r="G213" s="120">
        <v>255</v>
      </c>
      <c r="H213" s="122">
        <v>44707</v>
      </c>
      <c r="I213" s="120">
        <v>3375</v>
      </c>
      <c r="J213" s="120">
        <v>2.2999999999999998</v>
      </c>
      <c r="K213" s="120">
        <v>0.05</v>
      </c>
      <c r="L213" s="124">
        <f t="shared" ca="1" si="707"/>
        <v>0</v>
      </c>
      <c r="M213" s="124">
        <f t="shared" ca="1" si="708"/>
        <v>7593.75</v>
      </c>
      <c r="N213" s="120">
        <f t="shared" ca="1" si="709"/>
        <v>2.1739130434782612E-2</v>
      </c>
      <c r="O213" s="164">
        <f t="shared" ca="1" si="710"/>
        <v>2.875</v>
      </c>
      <c r="P213" s="168">
        <f t="shared" ca="1" si="507"/>
        <v>7762.4999999999991</v>
      </c>
      <c r="Q213" s="168" t="e">
        <f t="shared" ca="1" si="711"/>
        <v>#N/A</v>
      </c>
      <c r="R213" s="184">
        <f t="shared" ca="1" si="683"/>
        <v>0</v>
      </c>
      <c r="S213" s="124">
        <f t="shared" ca="1" si="712"/>
        <v>0.22999999999999993</v>
      </c>
      <c r="T213" s="120">
        <f ca="1">VLOOKUP(TRIM($F213),Reference!B:C,2,0)</f>
        <v>221.6</v>
      </c>
      <c r="U213" s="181">
        <f t="shared" ca="1" si="713"/>
        <v>0</v>
      </c>
      <c r="V213" s="125" t="str">
        <f t="shared" ca="1" si="670"/>
        <v>TATAPOWER22MAY255CE</v>
      </c>
      <c r="W213" s="166" t="e">
        <f ca="1">VLOOKUP($V213,Reference!BA:BD,4,0)</f>
        <v>#N/A</v>
      </c>
      <c r="X213" s="168">
        <f t="shared" ca="1" si="671"/>
        <v>0</v>
      </c>
      <c r="Y213" s="168">
        <f t="shared" ca="1" si="672"/>
        <v>0</v>
      </c>
      <c r="Z213" s="168">
        <f t="shared" ca="1" si="686"/>
        <v>0</v>
      </c>
      <c r="AA213" s="168">
        <f t="shared" ca="1" si="673"/>
        <v>0</v>
      </c>
      <c r="AB213" s="168">
        <f t="shared" ca="1" si="674"/>
        <v>0</v>
      </c>
      <c r="AC213" s="124">
        <f t="shared" ca="1" si="675"/>
        <v>0</v>
      </c>
      <c r="AD213" s="120">
        <f t="shared" ca="1" si="714"/>
        <v>-0.13698630136986301</v>
      </c>
      <c r="AE213" s="120">
        <f t="shared" ca="1" si="715"/>
        <v>20</v>
      </c>
      <c r="AF213" s="120"/>
      <c r="AG213" s="120"/>
      <c r="AH213" s="120">
        <f t="shared" ca="1" si="508"/>
        <v>3.8812499999999996</v>
      </c>
      <c r="AI213" s="120"/>
      <c r="AJ213" s="120">
        <f t="shared" ca="1" si="509"/>
        <v>0</v>
      </c>
      <c r="AK213" s="120"/>
      <c r="AL213" s="147"/>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c r="BS213" s="13">
        <v>2</v>
      </c>
      <c r="BT213" s="128">
        <v>44491</v>
      </c>
      <c r="BU213" s="121" t="s">
        <v>8</v>
      </c>
      <c r="BV213" s="120" t="s">
        <v>482</v>
      </c>
      <c r="BW213" s="121" t="s">
        <v>502</v>
      </c>
      <c r="BX213" s="120">
        <v>18400</v>
      </c>
      <c r="BY213" s="120">
        <v>41.7</v>
      </c>
      <c r="BZ213" s="120">
        <v>47.945</v>
      </c>
      <c r="CA213" s="124">
        <v>-3216.6708800000001</v>
      </c>
      <c r="CB213" s="120">
        <v>1.1497601918465228</v>
      </c>
      <c r="CC213" s="120">
        <v>500</v>
      </c>
      <c r="CD213" s="120">
        <v>50</v>
      </c>
      <c r="CE213" s="124">
        <v>20850</v>
      </c>
    </row>
    <row r="214" spans="1:83" hidden="1">
      <c r="A214" s="13">
        <f t="shared" ca="1" si="506"/>
        <v>207</v>
      </c>
      <c r="B214" s="128">
        <v>44690</v>
      </c>
      <c r="C214" s="121" t="s">
        <v>8</v>
      </c>
      <c r="D214" s="121">
        <v>1</v>
      </c>
      <c r="E214" s="120" t="s">
        <v>481</v>
      </c>
      <c r="F214" s="121" t="s">
        <v>284</v>
      </c>
      <c r="G214" s="120">
        <v>430</v>
      </c>
      <c r="H214" s="122">
        <v>44707</v>
      </c>
      <c r="I214" s="120">
        <v>1425</v>
      </c>
      <c r="J214" s="120">
        <v>6</v>
      </c>
      <c r="K214" s="120">
        <v>0.05</v>
      </c>
      <c r="L214" s="124">
        <f t="shared" ca="1" si="707"/>
        <v>0</v>
      </c>
      <c r="M214" s="124">
        <f t="shared" ca="1" si="708"/>
        <v>8478.75</v>
      </c>
      <c r="N214" s="120">
        <f t="shared" ca="1" si="709"/>
        <v>8.3333333333333332E-3</v>
      </c>
      <c r="O214" s="164">
        <f t="shared" ca="1" si="710"/>
        <v>7.5</v>
      </c>
      <c r="P214" s="168">
        <f t="shared" ca="1" si="507"/>
        <v>8550</v>
      </c>
      <c r="Q214" s="168" t="e">
        <f t="shared" ca="1" si="711"/>
        <v>#N/A</v>
      </c>
      <c r="R214" s="184">
        <f t="shared" ca="1" si="683"/>
        <v>0</v>
      </c>
      <c r="S214" s="124">
        <f t="shared" ca="1" si="712"/>
        <v>0.59999999999999987</v>
      </c>
      <c r="T214" s="120">
        <f ca="1">VLOOKUP(TRIM($F214),Reference!B:C,2,0)</f>
        <v>428</v>
      </c>
      <c r="U214" s="181">
        <f t="shared" ca="1" si="713"/>
        <v>0</v>
      </c>
      <c r="V214" s="125" t="str">
        <f t="shared" ca="1" si="670"/>
        <v>TATAMOTORS22MAY430CE</v>
      </c>
      <c r="W214" s="166" t="e">
        <f ca="1">VLOOKUP($V214,Reference!BA:BD,4,0)</f>
        <v>#N/A</v>
      </c>
      <c r="X214" s="168">
        <f t="shared" ca="1" si="671"/>
        <v>0</v>
      </c>
      <c r="Y214" s="168">
        <f t="shared" ca="1" si="672"/>
        <v>0</v>
      </c>
      <c r="Z214" s="168">
        <f t="shared" ca="1" si="686"/>
        <v>0</v>
      </c>
      <c r="AA214" s="168">
        <f t="shared" ca="1" si="673"/>
        <v>0</v>
      </c>
      <c r="AB214" s="168">
        <f t="shared" ca="1" si="674"/>
        <v>0</v>
      </c>
      <c r="AC214" s="124">
        <f t="shared" ca="1" si="675"/>
        <v>0</v>
      </c>
      <c r="AD214" s="120">
        <f t="shared" ca="1" si="714"/>
        <v>-0.13698630136986301</v>
      </c>
      <c r="AE214" s="120">
        <f t="shared" ca="1" si="715"/>
        <v>20</v>
      </c>
      <c r="AF214" s="120"/>
      <c r="AG214" s="120"/>
      <c r="AH214" s="120">
        <f t="shared" ca="1" si="508"/>
        <v>4.2750000000000004</v>
      </c>
      <c r="AI214" s="120"/>
      <c r="AJ214" s="120">
        <f t="shared" ca="1" si="509"/>
        <v>0</v>
      </c>
      <c r="AK214" s="120"/>
      <c r="AL214" s="147"/>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c r="BS214" s="13">
        <v>2</v>
      </c>
      <c r="BT214" s="128">
        <v>44491</v>
      </c>
      <c r="BU214" s="121" t="s">
        <v>8</v>
      </c>
      <c r="BV214" s="120" t="s">
        <v>482</v>
      </c>
      <c r="BW214" s="121" t="s">
        <v>502</v>
      </c>
      <c r="BX214" s="120">
        <v>18400</v>
      </c>
      <c r="BY214" s="120">
        <v>41.7</v>
      </c>
      <c r="BZ214" s="120">
        <v>47.945</v>
      </c>
      <c r="CA214" s="124">
        <v>-3216.6708800000001</v>
      </c>
      <c r="CB214" s="120">
        <v>1.1497601918465228</v>
      </c>
      <c r="CC214" s="120">
        <v>500</v>
      </c>
      <c r="CD214" s="120">
        <v>50</v>
      </c>
      <c r="CE214" s="124">
        <v>20850</v>
      </c>
    </row>
    <row r="215" spans="1:83" hidden="1">
      <c r="A215" s="13">
        <f t="shared" ca="1" si="506"/>
        <v>208</v>
      </c>
      <c r="B215" s="128">
        <v>44690</v>
      </c>
      <c r="C215" s="121" t="s">
        <v>8</v>
      </c>
      <c r="D215" s="121">
        <v>1</v>
      </c>
      <c r="E215" s="120" t="s">
        <v>481</v>
      </c>
      <c r="F215" s="121" t="s">
        <v>284</v>
      </c>
      <c r="G215" s="120">
        <v>440</v>
      </c>
      <c r="H215" s="122">
        <v>44707</v>
      </c>
      <c r="I215" s="120">
        <v>1425</v>
      </c>
      <c r="J215" s="120">
        <v>4.4000000000000004</v>
      </c>
      <c r="K215" s="120">
        <v>0.05</v>
      </c>
      <c r="L215" s="124">
        <f t="shared" ref="L215:L216" ca="1" si="716">IF(AND(K215&lt;&gt;0,I215&lt;&gt;0),(IF(C215="B",1,-1))*(K215-J215)*I215-AK215*2,0)*$D215*IF(MONTH($B$2)=MONTH($H215),1,0)</f>
        <v>0</v>
      </c>
      <c r="M215" s="124">
        <f t="shared" ref="M215:M216" ca="1" si="717">IF(AND(K215&lt;&gt;0,I215&lt;&gt;0),(IF(C215="B",1,-1))*(K215-J215)*I215-AK215*2,0)*$D215</f>
        <v>6198.7500000000009</v>
      </c>
      <c r="N215" s="120">
        <f t="shared" ref="N215:N216" ca="1" si="718">K215/$J215</f>
        <v>1.1363636363636364E-2</v>
      </c>
      <c r="O215" s="164">
        <f t="shared" ref="O215:O216" ca="1" si="719">J215*(1+$O$6*IF(C215="B",-1,1))</f>
        <v>5.5</v>
      </c>
      <c r="P215" s="168">
        <f t="shared" ca="1" si="507"/>
        <v>6270.0000000000009</v>
      </c>
      <c r="Q215" s="168" t="e">
        <f t="shared" ref="Q215:Q216" ca="1" si="720">(W215-J215)*I215*IF(C215="B",1,-1)*IF(K215=0,1,0)</f>
        <v>#N/A</v>
      </c>
      <c r="R215" s="184">
        <f t="shared" ca="1" si="683"/>
        <v>0</v>
      </c>
      <c r="S215" s="124">
        <f t="shared" ref="S215:S216" ca="1" si="721">(1-$S$6)*J215</f>
        <v>0.43999999999999995</v>
      </c>
      <c r="T215" s="120">
        <f ca="1">VLOOKUP(TRIM($F215),Reference!B:C,2,0)</f>
        <v>428</v>
      </c>
      <c r="U215" s="181">
        <f t="shared" ref="U215:U216" ca="1" si="722">AC215</f>
        <v>0</v>
      </c>
      <c r="V215" s="125" t="str">
        <f t="shared" ca="1" si="670"/>
        <v>TATAMOTORS22MAY440CE</v>
      </c>
      <c r="W215" s="166" t="e">
        <f ca="1">VLOOKUP($V215,Reference!BA:BD,4,0)</f>
        <v>#N/A</v>
      </c>
      <c r="X215" s="168">
        <f t="shared" ca="1" si="671"/>
        <v>0</v>
      </c>
      <c r="Y215" s="168">
        <f t="shared" ca="1" si="672"/>
        <v>0</v>
      </c>
      <c r="Z215" s="168">
        <f t="shared" ca="1" si="686"/>
        <v>0</v>
      </c>
      <c r="AA215" s="168">
        <f t="shared" ca="1" si="673"/>
        <v>0</v>
      </c>
      <c r="AB215" s="168">
        <f t="shared" ca="1" si="674"/>
        <v>0</v>
      </c>
      <c r="AC215" s="124">
        <f t="shared" ca="1" si="675"/>
        <v>0</v>
      </c>
      <c r="AD215" s="120">
        <f t="shared" ref="AD215:AD216" ca="1" si="723">(H215-TODAY())/365</f>
        <v>-0.13698630136986301</v>
      </c>
      <c r="AE215" s="120">
        <f t="shared" ref="AE215:AE216" ca="1" si="724">IF(I215&lt;&gt;0,20,0)</f>
        <v>20</v>
      </c>
      <c r="AF215" s="120"/>
      <c r="AG215" s="120"/>
      <c r="AH215" s="120">
        <f t="shared" ca="1" si="508"/>
        <v>3.1350000000000007</v>
      </c>
      <c r="AI215" s="120"/>
      <c r="AJ215" s="120">
        <f t="shared" ca="1" si="509"/>
        <v>0</v>
      </c>
      <c r="AK215" s="120"/>
      <c r="AL215" s="147"/>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c r="BS215" s="13">
        <v>2</v>
      </c>
      <c r="BT215" s="128">
        <v>44491</v>
      </c>
      <c r="BU215" s="121" t="s">
        <v>8</v>
      </c>
      <c r="BV215" s="120" t="s">
        <v>482</v>
      </c>
      <c r="BW215" s="121" t="s">
        <v>502</v>
      </c>
      <c r="BX215" s="120">
        <v>18400</v>
      </c>
      <c r="BY215" s="120">
        <v>41.7</v>
      </c>
      <c r="BZ215" s="120">
        <v>47.945</v>
      </c>
      <c r="CA215" s="124">
        <v>-3216.6708800000001</v>
      </c>
      <c r="CB215" s="120">
        <v>1.1497601918465228</v>
      </c>
      <c r="CC215" s="120">
        <v>500</v>
      </c>
      <c r="CD215" s="120">
        <v>50</v>
      </c>
      <c r="CE215" s="124">
        <v>20850</v>
      </c>
    </row>
    <row r="216" spans="1:83" hidden="1">
      <c r="A216" s="13">
        <f t="shared" ca="1" si="506"/>
        <v>209</v>
      </c>
      <c r="B216" s="128">
        <v>44680</v>
      </c>
      <c r="C216" s="121" t="s">
        <v>8</v>
      </c>
      <c r="D216" s="121">
        <v>1</v>
      </c>
      <c r="E216" s="120" t="s">
        <v>481</v>
      </c>
      <c r="F216" s="121" t="s">
        <v>502</v>
      </c>
      <c r="G216" s="120">
        <v>17400</v>
      </c>
      <c r="H216" s="122">
        <v>44707</v>
      </c>
      <c r="I216" s="120">
        <v>50</v>
      </c>
      <c r="J216" s="120">
        <v>26.5</v>
      </c>
      <c r="K216" s="120">
        <v>1.55</v>
      </c>
      <c r="L216" s="124">
        <f t="shared" ca="1" si="716"/>
        <v>0</v>
      </c>
      <c r="M216" s="124">
        <f t="shared" ca="1" si="717"/>
        <v>1247.5</v>
      </c>
      <c r="N216" s="120">
        <f t="shared" ca="1" si="718"/>
        <v>5.849056603773585E-2</v>
      </c>
      <c r="O216" s="164">
        <f t="shared" ca="1" si="719"/>
        <v>33.125</v>
      </c>
      <c r="P216" s="168">
        <f t="shared" ca="1" si="507"/>
        <v>1325</v>
      </c>
      <c r="Q216" s="168" t="e">
        <f t="shared" ca="1" si="720"/>
        <v>#N/A</v>
      </c>
      <c r="R216" s="184">
        <f t="shared" ca="1" si="683"/>
        <v>0</v>
      </c>
      <c r="S216" s="124">
        <f t="shared" ca="1" si="721"/>
        <v>2.6499999999999995</v>
      </c>
      <c r="T216" s="120">
        <f ca="1">VLOOKUP(TRIM($F216),Reference!B:C,2,0)</f>
        <v>15938.65</v>
      </c>
      <c r="U216" s="181">
        <f t="shared" ca="1" si="722"/>
        <v>0</v>
      </c>
      <c r="V216" s="125" t="str">
        <f t="shared" ca="1" si="670"/>
        <v>NIFTY22MAY17400CE</v>
      </c>
      <c r="W216" s="166" t="e">
        <f ca="1">VLOOKUP($V216,Reference!BA:BD,4,0)</f>
        <v>#N/A</v>
      </c>
      <c r="X216" s="168">
        <f t="shared" ca="1" si="671"/>
        <v>0</v>
      </c>
      <c r="Y216" s="168">
        <f t="shared" ca="1" si="672"/>
        <v>0</v>
      </c>
      <c r="Z216" s="168">
        <f t="shared" ca="1" si="686"/>
        <v>0</v>
      </c>
      <c r="AA216" s="168">
        <f t="shared" ca="1" si="673"/>
        <v>0</v>
      </c>
      <c r="AB216" s="168">
        <f t="shared" ca="1" si="674"/>
        <v>0</v>
      </c>
      <c r="AC216" s="124">
        <f t="shared" ca="1" si="675"/>
        <v>0</v>
      </c>
      <c r="AD216" s="120">
        <f t="shared" ca="1" si="723"/>
        <v>-0.13698630136986301</v>
      </c>
      <c r="AE216" s="120">
        <f t="shared" ca="1" si="724"/>
        <v>20</v>
      </c>
      <c r="AF216" s="120"/>
      <c r="AG216" s="120"/>
      <c r="AH216" s="120">
        <f t="shared" ca="1" si="508"/>
        <v>0.66249999999999998</v>
      </c>
      <c r="AI216" s="120"/>
      <c r="AJ216" s="120">
        <f t="shared" ca="1" si="509"/>
        <v>0</v>
      </c>
      <c r="AK216" s="120"/>
      <c r="AL216" s="147"/>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c r="BS216" s="13">
        <v>2</v>
      </c>
      <c r="BT216" s="128">
        <v>44491</v>
      </c>
      <c r="BU216" s="121" t="s">
        <v>8</v>
      </c>
      <c r="BV216" s="120" t="s">
        <v>482</v>
      </c>
      <c r="BW216" s="121" t="s">
        <v>502</v>
      </c>
      <c r="BX216" s="120">
        <v>18400</v>
      </c>
      <c r="BY216" s="120">
        <v>41.7</v>
      </c>
      <c r="BZ216" s="120">
        <v>47.945</v>
      </c>
      <c r="CA216" s="124">
        <v>-3216.6708800000001</v>
      </c>
      <c r="CB216" s="120">
        <v>1.1497601918465228</v>
      </c>
      <c r="CC216" s="120">
        <v>500</v>
      </c>
      <c r="CD216" s="120">
        <v>50</v>
      </c>
      <c r="CE216" s="124">
        <v>20850</v>
      </c>
    </row>
    <row r="217" spans="1:83" hidden="1">
      <c r="A217" s="13">
        <f t="shared" ca="1" si="506"/>
        <v>210</v>
      </c>
      <c r="B217" s="128">
        <v>44690</v>
      </c>
      <c r="C217" s="121" t="s">
        <v>8</v>
      </c>
      <c r="D217" s="121">
        <v>1</v>
      </c>
      <c r="E217" s="120" t="s">
        <v>481</v>
      </c>
      <c r="F217" s="121" t="s">
        <v>284</v>
      </c>
      <c r="G217" s="120">
        <v>440</v>
      </c>
      <c r="H217" s="122">
        <v>44707</v>
      </c>
      <c r="I217" s="120">
        <v>1425</v>
      </c>
      <c r="J217" s="120">
        <v>4.6500000000000004</v>
      </c>
      <c r="K217" s="120">
        <v>0.05</v>
      </c>
      <c r="L217" s="124">
        <f t="shared" ref="L217" ca="1" si="725">IF(AND(K217&lt;&gt;0,I217&lt;&gt;0),(IF(C217="B",1,-1))*(K217-J217)*I217-AK217*2,0)*$D217*IF(MONTH($B$2)=MONTH($H217),1,0)</f>
        <v>0</v>
      </c>
      <c r="M217" s="124">
        <f t="shared" ref="M217" ca="1" si="726">IF(AND(K217&lt;&gt;0,I217&lt;&gt;0),(IF(C217="B",1,-1))*(K217-J217)*I217-AK217*2,0)*$D217</f>
        <v>6555.0000000000009</v>
      </c>
      <c r="N217" s="120">
        <f t="shared" ref="N217" ca="1" si="727">K217/$J217</f>
        <v>1.075268817204301E-2</v>
      </c>
      <c r="O217" s="164">
        <f t="shared" ref="O217" ca="1" si="728">J217*(1+$O$6*IF(C217="B",-1,1))</f>
        <v>5.8125</v>
      </c>
      <c r="P217" s="168">
        <f t="shared" ca="1" si="507"/>
        <v>6626.2500000000009</v>
      </c>
      <c r="Q217" s="168" t="e">
        <f t="shared" ref="Q217" ca="1" si="729">(W217-J217)*I217*IF(C217="B",1,-1)*IF(K217=0,1,0)</f>
        <v>#N/A</v>
      </c>
      <c r="R217" s="184">
        <f t="shared" ca="1" si="683"/>
        <v>0</v>
      </c>
      <c r="S217" s="124">
        <f t="shared" ref="S217" ca="1" si="730">(1-$S$6)*J217</f>
        <v>0.46499999999999991</v>
      </c>
      <c r="T217" s="120">
        <f ca="1">VLOOKUP(TRIM($F217),Reference!B:C,2,0)</f>
        <v>428</v>
      </c>
      <c r="U217" s="181">
        <f t="shared" ref="U217" ca="1" si="731">AC217</f>
        <v>0</v>
      </c>
      <c r="V217" s="125" t="str">
        <f t="shared" ca="1" si="670"/>
        <v>TATAMOTORS22MAY440CE</v>
      </c>
      <c r="W217" s="166" t="e">
        <f ca="1">VLOOKUP($V217,Reference!BA:BD,4,0)</f>
        <v>#N/A</v>
      </c>
      <c r="X217" s="168">
        <f t="shared" ca="1" si="671"/>
        <v>0</v>
      </c>
      <c r="Y217" s="168">
        <f t="shared" ca="1" si="672"/>
        <v>0</v>
      </c>
      <c r="Z217" s="168">
        <f t="shared" ca="1" si="686"/>
        <v>0</v>
      </c>
      <c r="AA217" s="168">
        <f t="shared" ca="1" si="673"/>
        <v>0</v>
      </c>
      <c r="AB217" s="168">
        <f t="shared" ca="1" si="674"/>
        <v>0</v>
      </c>
      <c r="AC217" s="124">
        <f t="shared" ca="1" si="675"/>
        <v>0</v>
      </c>
      <c r="AD217" s="120">
        <f t="shared" ref="AD217" ca="1" si="732">(H217-TODAY())/365</f>
        <v>-0.13698630136986301</v>
      </c>
      <c r="AE217" s="120">
        <f t="shared" ref="AE217" ca="1" si="733">IF(I217&lt;&gt;0,20,0)</f>
        <v>20</v>
      </c>
      <c r="AF217" s="120"/>
      <c r="AG217" s="120"/>
      <c r="AH217" s="120">
        <f t="shared" ca="1" si="508"/>
        <v>3.3131250000000003</v>
      </c>
      <c r="AI217" s="120"/>
      <c r="AJ217" s="120">
        <f t="shared" ca="1" si="509"/>
        <v>0</v>
      </c>
      <c r="AK217" s="120"/>
      <c r="AL217" s="147"/>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c r="BS217" s="13">
        <v>2</v>
      </c>
      <c r="BT217" s="128">
        <v>44491</v>
      </c>
      <c r="BU217" s="121" t="s">
        <v>8</v>
      </c>
      <c r="BV217" s="120" t="s">
        <v>482</v>
      </c>
      <c r="BW217" s="121" t="s">
        <v>502</v>
      </c>
      <c r="BX217" s="120">
        <v>18400</v>
      </c>
      <c r="BY217" s="120">
        <v>41.7</v>
      </c>
      <c r="BZ217" s="120">
        <v>47.945</v>
      </c>
      <c r="CA217" s="124">
        <v>-3216.6708800000001</v>
      </c>
      <c r="CB217" s="120">
        <v>1.1497601918465228</v>
      </c>
      <c r="CC217" s="120">
        <v>500</v>
      </c>
      <c r="CD217" s="120">
        <v>50</v>
      </c>
      <c r="CE217" s="124">
        <v>20850</v>
      </c>
    </row>
    <row r="218" spans="1:83" hidden="1">
      <c r="A218" s="13">
        <f t="shared" ca="1" si="506"/>
        <v>211</v>
      </c>
      <c r="B218" s="128">
        <v>44691</v>
      </c>
      <c r="C218" s="121" t="s">
        <v>6</v>
      </c>
      <c r="D218" s="121">
        <v>1</v>
      </c>
      <c r="E218" s="120" t="s">
        <v>632</v>
      </c>
      <c r="F218" s="121" t="s">
        <v>682</v>
      </c>
      <c r="G218" s="120"/>
      <c r="H218" s="122">
        <v>44707</v>
      </c>
      <c r="I218" s="120">
        <v>1600</v>
      </c>
      <c r="J218" s="120">
        <v>418</v>
      </c>
      <c r="K218" s="120">
        <v>392.1</v>
      </c>
      <c r="L218" s="124">
        <f t="shared" ref="L218:L219" ca="1" si="734">IF(AND(K218&lt;&gt;0,I218&lt;&gt;0),(IF(C218="B",1,-1))*(K218-J218)*I218-AK218*2,0)*$D218*IF(MONTH($B$2)=MONTH($H218),1,0)</f>
        <v>0</v>
      </c>
      <c r="M218" s="124">
        <f t="shared" ref="M218:M219" ca="1" si="735">IF(AND(K218&lt;&gt;0,I218&lt;&gt;0),(IF(C218="B",1,-1))*(K218-J218)*I218-AK218*2,0)*$D218</f>
        <v>-41439.999999999964</v>
      </c>
      <c r="N218" s="120">
        <f t="shared" ref="N218:N219" ca="1" si="736">K218/$J218</f>
        <v>0.93803827751196178</v>
      </c>
      <c r="O218" s="164">
        <f t="shared" ref="O218:O219" ca="1" si="737">J218*(1+$O$6*IF(C218="B",-1,1))</f>
        <v>313.5</v>
      </c>
      <c r="P218" s="168">
        <f t="shared" ca="1" si="507"/>
        <v>668800</v>
      </c>
      <c r="Q218" s="168" t="e">
        <f t="shared" ref="Q218:Q219" ca="1" si="738">(W218-J218)*I218*IF(C218="B",1,-1)*IF(K218=0,1,0)</f>
        <v>#N/A</v>
      </c>
      <c r="R218" s="184">
        <f t="shared" ca="1" si="683"/>
        <v>0</v>
      </c>
      <c r="S218" s="124">
        <f t="shared" ref="S218:S219" ca="1" si="739">(1-$S$6)*J218</f>
        <v>41.79999999999999</v>
      </c>
      <c r="T218" s="120">
        <f ca="1">VLOOKUP(TRIM($F218),Reference!B:C,2,0)</f>
        <v>359.3</v>
      </c>
      <c r="U218" s="181">
        <f t="shared" ref="U218:U219" ca="1" si="740">AC218</f>
        <v>0</v>
      </c>
      <c r="V218" s="125" t="str">
        <f t="shared" ca="1" si="670"/>
        <v>BALRAMCHIN22MAYFUT</v>
      </c>
      <c r="W218" s="166" t="e">
        <f ca="1">VLOOKUP($V218,Reference!BA:BD,4,0)</f>
        <v>#N/A</v>
      </c>
      <c r="X218" s="168">
        <f t="shared" ca="1" si="671"/>
        <v>0</v>
      </c>
      <c r="Y218" s="168">
        <f t="shared" ca="1" si="672"/>
        <v>0</v>
      </c>
      <c r="Z218" s="168">
        <f t="shared" ca="1" si="686"/>
        <v>0</v>
      </c>
      <c r="AA218" s="168">
        <f t="shared" ca="1" si="673"/>
        <v>0</v>
      </c>
      <c r="AB218" s="168">
        <f t="shared" ca="1" si="674"/>
        <v>0</v>
      </c>
      <c r="AC218" s="124">
        <f t="shared" ca="1" si="675"/>
        <v>0</v>
      </c>
      <c r="AD218" s="120">
        <f t="shared" ref="AD218:AD219" ca="1" si="741">(H218-TODAY())/365</f>
        <v>-0.13698630136986301</v>
      </c>
      <c r="AE218" s="120">
        <f t="shared" ref="AE218:AE219" ca="1" si="742">IF(I218&lt;&gt;0,20,0)</f>
        <v>20</v>
      </c>
      <c r="AF218" s="120"/>
      <c r="AG218" s="120"/>
      <c r="AH218" s="120">
        <f t="shared" ca="1" si="508"/>
        <v>0</v>
      </c>
      <c r="AI218" s="120"/>
      <c r="AJ218" s="120">
        <f t="shared" ca="1" si="509"/>
        <v>20.064</v>
      </c>
      <c r="AK218" s="120"/>
      <c r="AL218" s="147"/>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c r="BS218" s="13">
        <v>2</v>
      </c>
      <c r="BT218" s="128">
        <v>44491</v>
      </c>
      <c r="BU218" s="121" t="s">
        <v>8</v>
      </c>
      <c r="BV218" s="120" t="s">
        <v>482</v>
      </c>
      <c r="BW218" s="121" t="s">
        <v>502</v>
      </c>
      <c r="BX218" s="120">
        <v>18400</v>
      </c>
      <c r="BY218" s="120">
        <v>41.7</v>
      </c>
      <c r="BZ218" s="120">
        <v>47.945</v>
      </c>
      <c r="CA218" s="124">
        <v>-3216.6708800000001</v>
      </c>
      <c r="CB218" s="120">
        <v>1.1497601918465228</v>
      </c>
      <c r="CC218" s="120">
        <v>500</v>
      </c>
      <c r="CD218" s="120">
        <v>50</v>
      </c>
      <c r="CE218" s="124">
        <v>20850</v>
      </c>
    </row>
    <row r="219" spans="1:83" hidden="1">
      <c r="A219" s="13">
        <f t="shared" ca="1" si="506"/>
        <v>212</v>
      </c>
      <c r="B219" s="128">
        <v>44691</v>
      </c>
      <c r="C219" s="121" t="s">
        <v>8</v>
      </c>
      <c r="D219" s="121">
        <v>1</v>
      </c>
      <c r="E219" s="120" t="s">
        <v>481</v>
      </c>
      <c r="F219" s="121" t="s">
        <v>682</v>
      </c>
      <c r="G219" s="120">
        <v>430</v>
      </c>
      <c r="H219" s="122">
        <v>44707</v>
      </c>
      <c r="I219" s="120">
        <v>1600</v>
      </c>
      <c r="J219" s="120">
        <v>11.1</v>
      </c>
      <c r="K219" s="120">
        <v>5.22</v>
      </c>
      <c r="L219" s="124">
        <f t="shared" ca="1" si="734"/>
        <v>0</v>
      </c>
      <c r="M219" s="124">
        <f t="shared" ca="1" si="735"/>
        <v>9408</v>
      </c>
      <c r="N219" s="120">
        <f t="shared" ca="1" si="736"/>
        <v>0.47027027027027024</v>
      </c>
      <c r="O219" s="164">
        <f t="shared" ca="1" si="737"/>
        <v>13.875</v>
      </c>
      <c r="P219" s="168">
        <f t="shared" ca="1" si="507"/>
        <v>17760</v>
      </c>
      <c r="Q219" s="168" t="e">
        <f t="shared" ca="1" si="738"/>
        <v>#N/A</v>
      </c>
      <c r="R219" s="184">
        <f t="shared" ca="1" si="683"/>
        <v>0</v>
      </c>
      <c r="S219" s="124">
        <f t="shared" ca="1" si="739"/>
        <v>1.1099999999999997</v>
      </c>
      <c r="T219" s="120">
        <f ca="1">VLOOKUP(TRIM($F219),Reference!B:C,2,0)</f>
        <v>359.3</v>
      </c>
      <c r="U219" s="181">
        <f t="shared" ca="1" si="740"/>
        <v>0</v>
      </c>
      <c r="V219" s="125" t="str">
        <f t="shared" ca="1" si="670"/>
        <v>BALRAMCHIN22MAY430CE</v>
      </c>
      <c r="W219" s="166" t="e">
        <f ca="1">VLOOKUP($V219,Reference!BA:BD,4,0)</f>
        <v>#N/A</v>
      </c>
      <c r="X219" s="168">
        <f t="shared" ca="1" si="671"/>
        <v>0</v>
      </c>
      <c r="Y219" s="168">
        <f t="shared" ca="1" si="672"/>
        <v>0</v>
      </c>
      <c r="Z219" s="168">
        <f t="shared" ca="1" si="686"/>
        <v>0</v>
      </c>
      <c r="AA219" s="168">
        <f t="shared" ca="1" si="673"/>
        <v>0</v>
      </c>
      <c r="AB219" s="168">
        <f t="shared" ca="1" si="674"/>
        <v>0</v>
      </c>
      <c r="AC219" s="124">
        <f t="shared" ca="1" si="675"/>
        <v>0</v>
      </c>
      <c r="AD219" s="120">
        <f t="shared" ca="1" si="741"/>
        <v>-0.13698630136986301</v>
      </c>
      <c r="AE219" s="120">
        <f t="shared" ca="1" si="742"/>
        <v>20</v>
      </c>
      <c r="AF219" s="120"/>
      <c r="AG219" s="120"/>
      <c r="AH219" s="120">
        <f t="shared" ca="1" si="508"/>
        <v>8.8800000000000008</v>
      </c>
      <c r="AI219" s="120"/>
      <c r="AJ219" s="120">
        <f t="shared" ca="1" si="509"/>
        <v>0</v>
      </c>
      <c r="AK219" s="120"/>
      <c r="AL219" s="147"/>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c r="BS219" s="13">
        <v>2</v>
      </c>
      <c r="BT219" s="128">
        <v>44491</v>
      </c>
      <c r="BU219" s="121" t="s">
        <v>8</v>
      </c>
      <c r="BV219" s="120" t="s">
        <v>482</v>
      </c>
      <c r="BW219" s="121" t="s">
        <v>502</v>
      </c>
      <c r="BX219" s="120">
        <v>18400</v>
      </c>
      <c r="BY219" s="120">
        <v>41.7</v>
      </c>
      <c r="BZ219" s="120">
        <v>47.945</v>
      </c>
      <c r="CA219" s="124">
        <v>-3216.6708800000001</v>
      </c>
      <c r="CB219" s="120">
        <v>1.1497601918465228</v>
      </c>
      <c r="CC219" s="120">
        <v>500</v>
      </c>
      <c r="CD219" s="120">
        <v>50</v>
      </c>
      <c r="CE219" s="124">
        <v>20850</v>
      </c>
    </row>
    <row r="220" spans="1:83" hidden="1">
      <c r="A220" s="13">
        <f t="shared" ca="1" si="506"/>
        <v>213</v>
      </c>
      <c r="B220" s="128">
        <v>44691</v>
      </c>
      <c r="C220" s="121" t="s">
        <v>8</v>
      </c>
      <c r="D220" s="121">
        <v>1</v>
      </c>
      <c r="E220" s="120" t="s">
        <v>481</v>
      </c>
      <c r="F220" s="121" t="s">
        <v>682</v>
      </c>
      <c r="G220" s="120">
        <v>430</v>
      </c>
      <c r="H220" s="122">
        <v>44707</v>
      </c>
      <c r="I220" s="120">
        <v>1600</v>
      </c>
      <c r="J220" s="120">
        <v>10.4</v>
      </c>
      <c r="K220" s="120">
        <v>5.22</v>
      </c>
      <c r="L220" s="124">
        <f t="shared" ref="L220:L231" ca="1" si="743">IF(AND(K220&lt;&gt;0,I220&lt;&gt;0),(IF(C220="B",1,-1))*(K220-J220)*I220-AK220*2,0)*$D220*IF(MONTH($B$2)=MONTH($H220),1,0)</f>
        <v>0</v>
      </c>
      <c r="M220" s="124">
        <f t="shared" ref="M220:M231" ca="1" si="744">IF(AND(K220&lt;&gt;0,I220&lt;&gt;0),(IF(C220="B",1,-1))*(K220-J220)*I220-AK220*2,0)*$D220</f>
        <v>8288.0000000000018</v>
      </c>
      <c r="N220" s="120">
        <f t="shared" ref="N220:N231" ca="1" si="745">K220/$J220</f>
        <v>0.50192307692307692</v>
      </c>
      <c r="O220" s="164">
        <f t="shared" ref="O220:O231" ca="1" si="746">J220*(1+$O$6*IF(C220="B",-1,1))</f>
        <v>13</v>
      </c>
      <c r="P220" s="168">
        <f t="shared" ca="1" si="507"/>
        <v>16640</v>
      </c>
      <c r="Q220" s="168" t="e">
        <f t="shared" ref="Q220:Q223" ca="1" si="747">(W220-J220)*I220*IF(C220="B",1,-1)*IF(K220=0,1,0)</f>
        <v>#N/A</v>
      </c>
      <c r="R220" s="184">
        <f t="shared" ca="1" si="683"/>
        <v>0</v>
      </c>
      <c r="S220" s="124">
        <f t="shared" ref="S220:S231" ca="1" si="748">(1-$S$6)*J220</f>
        <v>1.0399999999999998</v>
      </c>
      <c r="T220" s="120">
        <f ca="1">VLOOKUP(TRIM($F220),Reference!B:C,2,0)</f>
        <v>359.3</v>
      </c>
      <c r="U220" s="181">
        <f t="shared" ref="U220:U231" ca="1" si="749">AC220</f>
        <v>0</v>
      </c>
      <c r="V220" s="125" t="str">
        <f t="shared" ca="1" si="670"/>
        <v>BALRAMCHIN22MAY430CE</v>
      </c>
      <c r="W220" s="166" t="e">
        <f ca="1">VLOOKUP($V220,Reference!BA:BD,4,0)</f>
        <v>#N/A</v>
      </c>
      <c r="X220" s="168">
        <f t="shared" ca="1" si="671"/>
        <v>0</v>
      </c>
      <c r="Y220" s="168">
        <f t="shared" ca="1" si="672"/>
        <v>0</v>
      </c>
      <c r="Z220" s="168">
        <f t="shared" ca="1" si="686"/>
        <v>0</v>
      </c>
      <c r="AA220" s="168">
        <f t="shared" ca="1" si="673"/>
        <v>0</v>
      </c>
      <c r="AB220" s="168">
        <f t="shared" ca="1" si="674"/>
        <v>0</v>
      </c>
      <c r="AC220" s="124">
        <f t="shared" ca="1" si="675"/>
        <v>0</v>
      </c>
      <c r="AD220" s="120">
        <f t="shared" ref="AD220:AD231" ca="1" si="750">(H220-TODAY())/365</f>
        <v>-0.13698630136986301</v>
      </c>
      <c r="AE220" s="120">
        <f t="shared" ref="AE220:AE231" ca="1" si="751">IF(I220&lt;&gt;0,20,0)</f>
        <v>20</v>
      </c>
      <c r="AF220" s="120"/>
      <c r="AG220" s="120"/>
      <c r="AH220" s="120">
        <f t="shared" ca="1" si="508"/>
        <v>8.32</v>
      </c>
      <c r="AI220" s="120"/>
      <c r="AJ220" s="120">
        <f t="shared" ca="1" si="509"/>
        <v>0</v>
      </c>
      <c r="AK220" s="120"/>
      <c r="AL220" s="147"/>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c r="BS220" s="13">
        <v>2</v>
      </c>
      <c r="BT220" s="128">
        <v>44491</v>
      </c>
      <c r="BU220" s="121" t="s">
        <v>8</v>
      </c>
      <c r="BV220" s="120" t="s">
        <v>482</v>
      </c>
      <c r="BW220" s="121" t="s">
        <v>502</v>
      </c>
      <c r="BX220" s="120">
        <v>18400</v>
      </c>
      <c r="BY220" s="120">
        <v>41.7</v>
      </c>
      <c r="BZ220" s="120">
        <v>47.945</v>
      </c>
      <c r="CA220" s="124">
        <v>-3216.6708800000001</v>
      </c>
      <c r="CB220" s="120">
        <v>1.1497601918465228</v>
      </c>
      <c r="CC220" s="120">
        <v>500</v>
      </c>
      <c r="CD220" s="120">
        <v>50</v>
      </c>
      <c r="CE220" s="124">
        <v>20850</v>
      </c>
    </row>
    <row r="221" spans="1:83" hidden="1">
      <c r="A221" s="13">
        <f t="shared" ca="1" si="506"/>
        <v>214</v>
      </c>
      <c r="B221" s="128">
        <v>44691</v>
      </c>
      <c r="C221" s="121" t="s">
        <v>8</v>
      </c>
      <c r="D221" s="121">
        <v>1</v>
      </c>
      <c r="E221" s="120" t="s">
        <v>481</v>
      </c>
      <c r="F221" s="121" t="s">
        <v>682</v>
      </c>
      <c r="G221" s="120">
        <v>430</v>
      </c>
      <c r="H221" s="122">
        <v>44707</v>
      </c>
      <c r="I221" s="120">
        <v>1600</v>
      </c>
      <c r="J221" s="120">
        <v>8.1</v>
      </c>
      <c r="K221" s="120">
        <v>5.22</v>
      </c>
      <c r="L221" s="124">
        <f t="shared" ca="1" si="743"/>
        <v>0</v>
      </c>
      <c r="M221" s="124">
        <f t="shared" ca="1" si="744"/>
        <v>4608</v>
      </c>
      <c r="N221" s="120">
        <f t="shared" ca="1" si="745"/>
        <v>0.64444444444444449</v>
      </c>
      <c r="O221" s="164">
        <f t="shared" ca="1" si="746"/>
        <v>10.125</v>
      </c>
      <c r="P221" s="168">
        <f t="shared" ca="1" si="507"/>
        <v>12960</v>
      </c>
      <c r="Q221" s="168" t="e">
        <f t="shared" ca="1" si="747"/>
        <v>#N/A</v>
      </c>
      <c r="R221" s="184">
        <f t="shared" ca="1" si="683"/>
        <v>0</v>
      </c>
      <c r="S221" s="124">
        <f t="shared" ca="1" si="748"/>
        <v>0.80999999999999983</v>
      </c>
      <c r="T221" s="120">
        <f ca="1">VLOOKUP(TRIM($F221),Reference!B:C,2,0)</f>
        <v>359.3</v>
      </c>
      <c r="U221" s="181">
        <f t="shared" ca="1" si="749"/>
        <v>0</v>
      </c>
      <c r="V221" s="125" t="str">
        <f t="shared" ca="1" si="670"/>
        <v>BALRAMCHIN22MAY430CE</v>
      </c>
      <c r="W221" s="166" t="e">
        <f ca="1">VLOOKUP($V221,Reference!BA:BD,4,0)</f>
        <v>#N/A</v>
      </c>
      <c r="X221" s="168">
        <f t="shared" ca="1" si="671"/>
        <v>0</v>
      </c>
      <c r="Y221" s="168">
        <f t="shared" ca="1" si="672"/>
        <v>0</v>
      </c>
      <c r="Z221" s="168">
        <f t="shared" ca="1" si="686"/>
        <v>0</v>
      </c>
      <c r="AA221" s="168">
        <f t="shared" ca="1" si="673"/>
        <v>0</v>
      </c>
      <c r="AB221" s="168">
        <f t="shared" ca="1" si="674"/>
        <v>0</v>
      </c>
      <c r="AC221" s="124">
        <f t="shared" ca="1" si="675"/>
        <v>0</v>
      </c>
      <c r="AD221" s="120">
        <f t="shared" ca="1" si="750"/>
        <v>-0.13698630136986301</v>
      </c>
      <c r="AE221" s="120">
        <f t="shared" ca="1" si="751"/>
        <v>20</v>
      </c>
      <c r="AF221" s="120"/>
      <c r="AG221" s="120"/>
      <c r="AH221" s="120">
        <f t="shared" ca="1" si="508"/>
        <v>6.48</v>
      </c>
      <c r="AI221" s="120"/>
      <c r="AJ221" s="120">
        <f t="shared" ca="1" si="509"/>
        <v>0</v>
      </c>
      <c r="AK221" s="120"/>
      <c r="AL221" s="147"/>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c r="BS221" s="13">
        <v>2</v>
      </c>
      <c r="BT221" s="128">
        <v>44491</v>
      </c>
      <c r="BU221" s="121" t="s">
        <v>8</v>
      </c>
      <c r="BV221" s="120" t="s">
        <v>482</v>
      </c>
      <c r="BW221" s="121" t="s">
        <v>502</v>
      </c>
      <c r="BX221" s="120">
        <v>18400</v>
      </c>
      <c r="BY221" s="120">
        <v>41.7</v>
      </c>
      <c r="BZ221" s="120">
        <v>47.945</v>
      </c>
      <c r="CA221" s="124">
        <v>-3216.6708800000001</v>
      </c>
      <c r="CB221" s="120">
        <v>1.1497601918465228</v>
      </c>
      <c r="CC221" s="120">
        <v>500</v>
      </c>
      <c r="CD221" s="120">
        <v>50</v>
      </c>
      <c r="CE221" s="124">
        <v>20850</v>
      </c>
    </row>
    <row r="222" spans="1:83" hidden="1">
      <c r="A222" s="13">
        <f t="shared" ca="1" si="506"/>
        <v>215</v>
      </c>
      <c r="B222" s="128">
        <v>44692</v>
      </c>
      <c r="C222" s="121" t="s">
        <v>6</v>
      </c>
      <c r="D222" s="121">
        <v>1</v>
      </c>
      <c r="E222" s="120" t="s">
        <v>632</v>
      </c>
      <c r="F222" s="121" t="s">
        <v>284</v>
      </c>
      <c r="G222" s="120"/>
      <c r="H222" s="122">
        <v>44707</v>
      </c>
      <c r="I222" s="120">
        <v>1425</v>
      </c>
      <c r="J222" s="120">
        <v>394.2</v>
      </c>
      <c r="K222" s="120">
        <v>406</v>
      </c>
      <c r="L222" s="124">
        <f t="shared" ca="1" si="743"/>
        <v>0</v>
      </c>
      <c r="M222" s="124">
        <f t="shared" ca="1" si="744"/>
        <v>16815.000000000015</v>
      </c>
      <c r="N222" s="120">
        <f t="shared" ca="1" si="745"/>
        <v>1.0299340436326738</v>
      </c>
      <c r="O222" s="164">
        <f t="shared" ca="1" si="746"/>
        <v>295.64999999999998</v>
      </c>
      <c r="P222" s="168">
        <f t="shared" ca="1" si="507"/>
        <v>561735</v>
      </c>
      <c r="Q222" s="168" t="e">
        <f t="shared" ca="1" si="747"/>
        <v>#N/A</v>
      </c>
      <c r="R222" s="184">
        <f t="shared" ca="1" si="683"/>
        <v>0</v>
      </c>
      <c r="S222" s="124">
        <f t="shared" ca="1" si="748"/>
        <v>39.419999999999987</v>
      </c>
      <c r="T222" s="120">
        <f ca="1">VLOOKUP(TRIM($F222),Reference!B:C,2,0)</f>
        <v>428</v>
      </c>
      <c r="U222" s="181">
        <f t="shared" ca="1" si="749"/>
        <v>0</v>
      </c>
      <c r="V222" s="125" t="str">
        <f t="shared" ca="1" si="670"/>
        <v>TATAMOTORS22MAYFUT</v>
      </c>
      <c r="W222" s="166" t="e">
        <f ca="1">VLOOKUP($V222,Reference!BA:BD,4,0)</f>
        <v>#N/A</v>
      </c>
      <c r="X222" s="168">
        <f t="shared" ca="1" si="671"/>
        <v>0</v>
      </c>
      <c r="Y222" s="168">
        <f t="shared" ca="1" si="672"/>
        <v>0</v>
      </c>
      <c r="Z222" s="168">
        <f t="shared" ca="1" si="686"/>
        <v>0</v>
      </c>
      <c r="AA222" s="168">
        <f t="shared" ca="1" si="673"/>
        <v>0</v>
      </c>
      <c r="AB222" s="168">
        <f t="shared" ca="1" si="674"/>
        <v>0</v>
      </c>
      <c r="AC222" s="124">
        <f t="shared" ca="1" si="675"/>
        <v>0</v>
      </c>
      <c r="AD222" s="120">
        <f t="shared" ca="1" si="750"/>
        <v>-0.13698630136986301</v>
      </c>
      <c r="AE222" s="120">
        <f t="shared" ca="1" si="751"/>
        <v>20</v>
      </c>
      <c r="AF222" s="120"/>
      <c r="AG222" s="120"/>
      <c r="AH222" s="120">
        <f t="shared" ca="1" si="508"/>
        <v>0</v>
      </c>
      <c r="AI222" s="120"/>
      <c r="AJ222" s="120">
        <f t="shared" ca="1" si="509"/>
        <v>16.852050000000002</v>
      </c>
      <c r="AK222" s="120"/>
      <c r="AL222" s="147"/>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c r="BS222" s="13">
        <v>2</v>
      </c>
      <c r="BT222" s="128">
        <v>44491</v>
      </c>
      <c r="BU222" s="121" t="s">
        <v>8</v>
      </c>
      <c r="BV222" s="120" t="s">
        <v>482</v>
      </c>
      <c r="BW222" s="121" t="s">
        <v>502</v>
      </c>
      <c r="BX222" s="120">
        <v>18400</v>
      </c>
      <c r="BY222" s="120">
        <v>41.7</v>
      </c>
      <c r="BZ222" s="120">
        <v>47.945</v>
      </c>
      <c r="CA222" s="124">
        <v>-3216.6708800000001</v>
      </c>
      <c r="CB222" s="120">
        <v>1.1497601918465228</v>
      </c>
      <c r="CC222" s="120">
        <v>500</v>
      </c>
      <c r="CD222" s="120">
        <v>50</v>
      </c>
      <c r="CE222" s="124">
        <v>20850</v>
      </c>
    </row>
    <row r="223" spans="1:83" hidden="1">
      <c r="A223" s="13">
        <f t="shared" ca="1" si="506"/>
        <v>216</v>
      </c>
      <c r="B223" s="128">
        <v>44692</v>
      </c>
      <c r="C223" s="121" t="s">
        <v>8</v>
      </c>
      <c r="D223" s="121">
        <v>1</v>
      </c>
      <c r="E223" s="120" t="s">
        <v>481</v>
      </c>
      <c r="F223" s="121" t="s">
        <v>130</v>
      </c>
      <c r="G223" s="120">
        <v>240</v>
      </c>
      <c r="H223" s="122">
        <v>44707</v>
      </c>
      <c r="I223" s="120">
        <v>3375</v>
      </c>
      <c r="J223" s="120">
        <v>3.1</v>
      </c>
      <c r="K223" s="120">
        <v>0.1</v>
      </c>
      <c r="L223" s="124">
        <f t="shared" ca="1" si="743"/>
        <v>0</v>
      </c>
      <c r="M223" s="124">
        <f t="shared" ca="1" si="744"/>
        <v>10125</v>
      </c>
      <c r="N223" s="120">
        <f t="shared" ca="1" si="745"/>
        <v>3.2258064516129031E-2</v>
      </c>
      <c r="O223" s="164">
        <f t="shared" ca="1" si="746"/>
        <v>3.875</v>
      </c>
      <c r="P223" s="168">
        <f t="shared" ca="1" si="507"/>
        <v>10462.5</v>
      </c>
      <c r="Q223" s="168" t="e">
        <f t="shared" ca="1" si="747"/>
        <v>#N/A</v>
      </c>
      <c r="R223" s="184">
        <f t="shared" ca="1" si="683"/>
        <v>0</v>
      </c>
      <c r="S223" s="124">
        <f t="shared" ca="1" si="748"/>
        <v>0.30999999999999994</v>
      </c>
      <c r="T223" s="120">
        <f ca="1">VLOOKUP(TRIM($F223),Reference!B:C,2,0)</f>
        <v>221.6</v>
      </c>
      <c r="U223" s="181">
        <f t="shared" ca="1" si="749"/>
        <v>0</v>
      </c>
      <c r="V223" s="125" t="str">
        <f t="shared" ca="1" si="670"/>
        <v>TATAPOWER22MAY240CE</v>
      </c>
      <c r="W223" s="166" t="e">
        <f ca="1">VLOOKUP($V223,Reference!BA:BD,4,0)</f>
        <v>#N/A</v>
      </c>
      <c r="X223" s="168">
        <f t="shared" ca="1" si="671"/>
        <v>0</v>
      </c>
      <c r="Y223" s="168">
        <f t="shared" ca="1" si="672"/>
        <v>0</v>
      </c>
      <c r="Z223" s="168">
        <f t="shared" ca="1" si="686"/>
        <v>0</v>
      </c>
      <c r="AA223" s="168">
        <f t="shared" ca="1" si="673"/>
        <v>0</v>
      </c>
      <c r="AB223" s="168">
        <f t="shared" ca="1" si="674"/>
        <v>0</v>
      </c>
      <c r="AC223" s="124">
        <f t="shared" ca="1" si="675"/>
        <v>0</v>
      </c>
      <c r="AD223" s="120">
        <f t="shared" ca="1" si="750"/>
        <v>-0.13698630136986301</v>
      </c>
      <c r="AE223" s="120">
        <f t="shared" ca="1" si="751"/>
        <v>20</v>
      </c>
      <c r="AF223" s="120"/>
      <c r="AG223" s="120"/>
      <c r="AH223" s="120">
        <f t="shared" ca="1" si="508"/>
        <v>5.2312500000000002</v>
      </c>
      <c r="AI223" s="120"/>
      <c r="AJ223" s="120">
        <f t="shared" ca="1" si="509"/>
        <v>0</v>
      </c>
      <c r="AK223" s="120"/>
      <c r="AL223" s="147"/>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c r="BS223" s="13">
        <v>2</v>
      </c>
      <c r="BT223" s="128">
        <v>44491</v>
      </c>
      <c r="BU223" s="121" t="s">
        <v>8</v>
      </c>
      <c r="BV223" s="120" t="s">
        <v>482</v>
      </c>
      <c r="BW223" s="121" t="s">
        <v>502</v>
      </c>
      <c r="BX223" s="120">
        <v>18400</v>
      </c>
      <c r="BY223" s="120">
        <v>41.7</v>
      </c>
      <c r="BZ223" s="120">
        <v>47.945</v>
      </c>
      <c r="CA223" s="124">
        <v>-3216.6708800000001</v>
      </c>
      <c r="CB223" s="120">
        <v>1.1497601918465228</v>
      </c>
      <c r="CC223" s="120">
        <v>500</v>
      </c>
      <c r="CD223" s="120">
        <v>50</v>
      </c>
      <c r="CE223" s="124">
        <v>20850</v>
      </c>
    </row>
    <row r="224" spans="1:83" hidden="1">
      <c r="A224" s="13">
        <f t="shared" ca="1" si="506"/>
        <v>217</v>
      </c>
      <c r="B224" s="128">
        <v>44692</v>
      </c>
      <c r="C224" s="121" t="s">
        <v>8</v>
      </c>
      <c r="D224" s="121">
        <v>1</v>
      </c>
      <c r="E224" s="120" t="s">
        <v>481</v>
      </c>
      <c r="F224" s="121" t="s">
        <v>126</v>
      </c>
      <c r="G224" s="120">
        <v>210</v>
      </c>
      <c r="H224" s="122">
        <v>44707</v>
      </c>
      <c r="I224" s="120">
        <v>3750</v>
      </c>
      <c r="J224" s="120">
        <v>2.1</v>
      </c>
      <c r="K224" s="120">
        <v>0.05</v>
      </c>
      <c r="L224" s="124">
        <f t="shared" ca="1" si="743"/>
        <v>0</v>
      </c>
      <c r="M224" s="124">
        <f t="shared" ca="1" si="744"/>
        <v>7687.5000000000009</v>
      </c>
      <c r="N224" s="120">
        <f t="shared" ca="1" si="745"/>
        <v>2.3809523809523808E-2</v>
      </c>
      <c r="O224" s="164">
        <f t="shared" ca="1" si="746"/>
        <v>2.625</v>
      </c>
      <c r="P224" s="168">
        <f t="shared" ca="1" si="507"/>
        <v>7875</v>
      </c>
      <c r="Q224" s="168" t="e">
        <f ca="1">(W224-J224)*I224*IF(C224="B",1,-1)*IF(K224=0,1,0)</f>
        <v>#N/A</v>
      </c>
      <c r="R224" s="184">
        <f t="shared" ca="1" si="683"/>
        <v>0</v>
      </c>
      <c r="S224" s="124">
        <f t="shared" ca="1" si="748"/>
        <v>0.20999999999999996</v>
      </c>
      <c r="T224" s="120">
        <f ca="1">VLOOKUP(TRIM($F224),Reference!B:C,2,0)</f>
        <v>162.15</v>
      </c>
      <c r="U224" s="181">
        <f t="shared" ca="1" si="749"/>
        <v>0</v>
      </c>
      <c r="V224" s="125" t="str">
        <f t="shared" ca="1" si="670"/>
        <v>IEX22MAY210CE</v>
      </c>
      <c r="W224" s="166" t="e">
        <f ca="1">VLOOKUP($V224,Reference!BA:BD,4,0)</f>
        <v>#N/A</v>
      </c>
      <c r="X224" s="168">
        <f t="shared" ca="1" si="671"/>
        <v>0</v>
      </c>
      <c r="Y224" s="168">
        <f t="shared" ca="1" si="672"/>
        <v>0</v>
      </c>
      <c r="Z224" s="168">
        <f t="shared" ca="1" si="686"/>
        <v>0</v>
      </c>
      <c r="AA224" s="168">
        <f t="shared" ca="1" si="673"/>
        <v>0</v>
      </c>
      <c r="AB224" s="168">
        <f t="shared" ca="1" si="674"/>
        <v>0</v>
      </c>
      <c r="AC224" s="124">
        <f t="shared" ca="1" si="675"/>
        <v>0</v>
      </c>
      <c r="AD224" s="120">
        <f t="shared" ca="1" si="750"/>
        <v>-0.13698630136986301</v>
      </c>
      <c r="AE224" s="120">
        <f t="shared" ca="1" si="751"/>
        <v>20</v>
      </c>
      <c r="AF224" s="120"/>
      <c r="AG224" s="120"/>
      <c r="AH224" s="120">
        <f t="shared" ca="1" si="508"/>
        <v>3.9375</v>
      </c>
      <c r="AI224" s="120"/>
      <c r="AJ224" s="120">
        <f t="shared" ca="1" si="509"/>
        <v>0</v>
      </c>
      <c r="AK224" s="120"/>
      <c r="AL224" s="147"/>
      <c r="AM224" s="160"/>
      <c r="AN224" s="160"/>
      <c r="AO224" s="160"/>
      <c r="AP224" s="160"/>
      <c r="AQ224" s="160"/>
      <c r="AR224" s="160"/>
      <c r="AS224" s="160"/>
      <c r="AT224" s="160"/>
      <c r="AU224" s="160"/>
      <c r="AV224" s="160"/>
      <c r="AW224" s="160"/>
      <c r="AX224" s="160"/>
      <c r="AY224" s="160"/>
      <c r="AZ224" s="160"/>
      <c r="BA224" s="160"/>
      <c r="BB224" s="160"/>
      <c r="BC224" s="160"/>
      <c r="BD224" s="160"/>
      <c r="BE224" s="160"/>
      <c r="BF224" s="160"/>
      <c r="BG224" s="160"/>
      <c r="BS224" s="13">
        <v>2</v>
      </c>
      <c r="BT224" s="128">
        <v>44491</v>
      </c>
      <c r="BU224" s="121" t="s">
        <v>8</v>
      </c>
      <c r="BV224" s="120" t="s">
        <v>482</v>
      </c>
      <c r="BW224" s="121" t="s">
        <v>502</v>
      </c>
      <c r="BX224" s="120">
        <v>18400</v>
      </c>
      <c r="BY224" s="120">
        <v>41.7</v>
      </c>
      <c r="BZ224" s="120">
        <v>47.945</v>
      </c>
      <c r="CA224" s="124">
        <v>-3216.6708800000001</v>
      </c>
      <c r="CB224" s="120">
        <v>1.1497601918465228</v>
      </c>
      <c r="CC224" s="120">
        <v>500</v>
      </c>
      <c r="CD224" s="120">
        <v>50</v>
      </c>
      <c r="CE224" s="124">
        <v>20850</v>
      </c>
    </row>
    <row r="225" spans="1:83" hidden="1">
      <c r="A225" s="13">
        <f t="shared" ca="1" si="506"/>
        <v>218</v>
      </c>
      <c r="B225" s="128">
        <v>44692</v>
      </c>
      <c r="C225" s="121" t="s">
        <v>8</v>
      </c>
      <c r="D225" s="121">
        <v>1</v>
      </c>
      <c r="E225" s="120" t="s">
        <v>481</v>
      </c>
      <c r="F225" s="121" t="s">
        <v>284</v>
      </c>
      <c r="G225" s="120">
        <v>420</v>
      </c>
      <c r="H225" s="122">
        <v>44707</v>
      </c>
      <c r="I225" s="120">
        <v>1425</v>
      </c>
      <c r="J225" s="120">
        <v>4.4000000000000004</v>
      </c>
      <c r="K225" s="120">
        <v>0.5</v>
      </c>
      <c r="L225" s="124">
        <f t="shared" ca="1" si="743"/>
        <v>0</v>
      </c>
      <c r="M225" s="124">
        <f t="shared" ca="1" si="744"/>
        <v>5557.5000000000009</v>
      </c>
      <c r="N225" s="120">
        <f t="shared" ca="1" si="745"/>
        <v>0.11363636363636363</v>
      </c>
      <c r="O225" s="164">
        <f t="shared" ca="1" si="746"/>
        <v>5.5</v>
      </c>
      <c r="P225" s="168">
        <f t="shared" ca="1" si="507"/>
        <v>6270.0000000000009</v>
      </c>
      <c r="Q225" s="168" t="e">
        <f t="shared" ref="Q225:Q231" ca="1" si="752">(W225-J225)*I225*IF(C225="B",1,-1)*IF(K225=0,1,0)</f>
        <v>#N/A</v>
      </c>
      <c r="R225" s="184">
        <f t="shared" ca="1" si="683"/>
        <v>0</v>
      </c>
      <c r="S225" s="124">
        <f t="shared" ca="1" si="748"/>
        <v>0.43999999999999995</v>
      </c>
      <c r="T225" s="120">
        <f ca="1">VLOOKUP(TRIM($F225),Reference!B:C,2,0)</f>
        <v>428</v>
      </c>
      <c r="U225" s="181">
        <f t="shared" ca="1" si="749"/>
        <v>0</v>
      </c>
      <c r="V225" s="125" t="str">
        <f t="shared" ca="1" si="670"/>
        <v>TATAMOTORS22MAY420CE</v>
      </c>
      <c r="W225" s="166" t="e">
        <f ca="1">VLOOKUP($V225,Reference!BA:BD,4,0)</f>
        <v>#N/A</v>
      </c>
      <c r="X225" s="168">
        <f t="shared" ca="1" si="671"/>
        <v>0</v>
      </c>
      <c r="Y225" s="168">
        <f t="shared" ca="1" si="672"/>
        <v>0</v>
      </c>
      <c r="Z225" s="168">
        <f t="shared" ca="1" si="686"/>
        <v>0</v>
      </c>
      <c r="AA225" s="168">
        <f t="shared" ca="1" si="673"/>
        <v>0</v>
      </c>
      <c r="AB225" s="168">
        <f t="shared" ca="1" si="674"/>
        <v>0</v>
      </c>
      <c r="AC225" s="124">
        <f t="shared" ca="1" si="675"/>
        <v>0</v>
      </c>
      <c r="AD225" s="120">
        <f t="shared" ca="1" si="750"/>
        <v>-0.13698630136986301</v>
      </c>
      <c r="AE225" s="120">
        <f t="shared" ca="1" si="751"/>
        <v>20</v>
      </c>
      <c r="AF225" s="120"/>
      <c r="AG225" s="120"/>
      <c r="AH225" s="120">
        <f t="shared" ca="1" si="508"/>
        <v>3.1350000000000007</v>
      </c>
      <c r="AI225" s="120"/>
      <c r="AJ225" s="120">
        <f t="shared" ca="1" si="509"/>
        <v>0</v>
      </c>
      <c r="AK225" s="120"/>
      <c r="AL225" s="147"/>
      <c r="AM225" s="160"/>
      <c r="AN225" s="160"/>
      <c r="AO225" s="160"/>
      <c r="AP225" s="160"/>
      <c r="AQ225" s="160"/>
      <c r="AR225" s="160"/>
      <c r="AS225" s="160"/>
      <c r="AT225" s="160"/>
      <c r="AU225" s="160"/>
      <c r="AV225" s="160"/>
      <c r="AW225" s="160"/>
      <c r="AX225" s="160"/>
      <c r="AY225" s="160"/>
      <c r="AZ225" s="160"/>
      <c r="BA225" s="160"/>
      <c r="BB225" s="160"/>
      <c r="BC225" s="160"/>
      <c r="BD225" s="160"/>
      <c r="BE225" s="160"/>
      <c r="BF225" s="160"/>
      <c r="BG225" s="160"/>
      <c r="BS225" s="13">
        <v>2</v>
      </c>
      <c r="BT225" s="128">
        <v>44491</v>
      </c>
      <c r="BU225" s="121" t="s">
        <v>8</v>
      </c>
      <c r="BV225" s="120" t="s">
        <v>482</v>
      </c>
      <c r="BW225" s="121" t="s">
        <v>502</v>
      </c>
      <c r="BX225" s="120">
        <v>18400</v>
      </c>
      <c r="BY225" s="120">
        <v>41.7</v>
      </c>
      <c r="BZ225" s="120">
        <v>47.945</v>
      </c>
      <c r="CA225" s="124">
        <v>-3216.6708800000001</v>
      </c>
      <c r="CB225" s="120">
        <v>1.1497601918465228</v>
      </c>
      <c r="CC225" s="120">
        <v>500</v>
      </c>
      <c r="CD225" s="120">
        <v>50</v>
      </c>
      <c r="CE225" s="124">
        <v>20850</v>
      </c>
    </row>
    <row r="226" spans="1:83" hidden="1">
      <c r="A226" s="13">
        <f t="shared" ca="1" si="506"/>
        <v>219</v>
      </c>
      <c r="B226" s="128">
        <v>44692</v>
      </c>
      <c r="C226" s="121" t="s">
        <v>8</v>
      </c>
      <c r="D226" s="121">
        <v>1</v>
      </c>
      <c r="E226" s="120" t="s">
        <v>481</v>
      </c>
      <c r="F226" s="121" t="s">
        <v>502</v>
      </c>
      <c r="G226" s="120">
        <v>17400</v>
      </c>
      <c r="H226" s="122">
        <v>44707</v>
      </c>
      <c r="I226" s="120">
        <v>50</v>
      </c>
      <c r="J226" s="120">
        <v>15</v>
      </c>
      <c r="K226" s="120">
        <v>1.55</v>
      </c>
      <c r="L226" s="124">
        <f t="shared" ca="1" si="743"/>
        <v>0</v>
      </c>
      <c r="M226" s="124">
        <f t="shared" ca="1" si="744"/>
        <v>672.5</v>
      </c>
      <c r="N226" s="120">
        <f t="shared" ca="1" si="745"/>
        <v>0.10333333333333333</v>
      </c>
      <c r="O226" s="164">
        <f t="shared" ca="1" si="746"/>
        <v>18.75</v>
      </c>
      <c r="P226" s="168">
        <f t="shared" ca="1" si="507"/>
        <v>750</v>
      </c>
      <c r="Q226" s="168" t="e">
        <f t="shared" ca="1" si="752"/>
        <v>#N/A</v>
      </c>
      <c r="R226" s="184">
        <f t="shared" ca="1" si="683"/>
        <v>0</v>
      </c>
      <c r="S226" s="124">
        <f t="shared" ca="1" si="748"/>
        <v>1.4999999999999996</v>
      </c>
      <c r="T226" s="120">
        <f ca="1">VLOOKUP(TRIM($F226),Reference!B:C,2,0)</f>
        <v>15938.65</v>
      </c>
      <c r="U226" s="181">
        <f t="shared" ca="1" si="749"/>
        <v>0</v>
      </c>
      <c r="V226" s="125" t="str">
        <f t="shared" ca="1" si="670"/>
        <v>NIFTY22MAY17400CE</v>
      </c>
      <c r="W226" s="166" t="e">
        <f ca="1">VLOOKUP($V226,Reference!BA:BD,4,0)</f>
        <v>#N/A</v>
      </c>
      <c r="X226" s="168">
        <f t="shared" ca="1" si="671"/>
        <v>0</v>
      </c>
      <c r="Y226" s="168">
        <f t="shared" ca="1" si="672"/>
        <v>0</v>
      </c>
      <c r="Z226" s="168">
        <f t="shared" ca="1" si="686"/>
        <v>0</v>
      </c>
      <c r="AA226" s="168">
        <f t="shared" ca="1" si="673"/>
        <v>0</v>
      </c>
      <c r="AB226" s="168">
        <f t="shared" ca="1" si="674"/>
        <v>0</v>
      </c>
      <c r="AC226" s="124">
        <f t="shared" ca="1" si="675"/>
        <v>0</v>
      </c>
      <c r="AD226" s="120">
        <f t="shared" ca="1" si="750"/>
        <v>-0.13698630136986301</v>
      </c>
      <c r="AE226" s="120">
        <f t="shared" ca="1" si="751"/>
        <v>20</v>
      </c>
      <c r="AF226" s="120"/>
      <c r="AG226" s="120"/>
      <c r="AH226" s="120">
        <f t="shared" ca="1" si="508"/>
        <v>0.375</v>
      </c>
      <c r="AI226" s="120"/>
      <c r="AJ226" s="120">
        <f t="shared" ca="1" si="509"/>
        <v>0</v>
      </c>
      <c r="AK226" s="120"/>
      <c r="AL226" s="147"/>
      <c r="AM226" s="160"/>
      <c r="AN226" s="160"/>
      <c r="AO226" s="160"/>
      <c r="AP226" s="160"/>
      <c r="AQ226" s="160"/>
      <c r="AR226" s="160"/>
      <c r="AS226" s="160"/>
      <c r="AT226" s="160"/>
      <c r="AU226" s="160"/>
      <c r="AV226" s="160"/>
      <c r="AW226" s="160"/>
      <c r="AX226" s="160"/>
      <c r="AY226" s="160"/>
      <c r="AZ226" s="160"/>
      <c r="BA226" s="160"/>
      <c r="BB226" s="160"/>
      <c r="BC226" s="160"/>
      <c r="BD226" s="160"/>
      <c r="BE226" s="160"/>
      <c r="BF226" s="160"/>
      <c r="BG226" s="160"/>
      <c r="BS226" s="13">
        <v>2</v>
      </c>
      <c r="BT226" s="128">
        <v>44491</v>
      </c>
      <c r="BU226" s="121" t="s">
        <v>8</v>
      </c>
      <c r="BV226" s="120" t="s">
        <v>482</v>
      </c>
      <c r="BW226" s="121" t="s">
        <v>502</v>
      </c>
      <c r="BX226" s="120">
        <v>18400</v>
      </c>
      <c r="BY226" s="120">
        <v>41.7</v>
      </c>
      <c r="BZ226" s="120">
        <v>47.945</v>
      </c>
      <c r="CA226" s="124">
        <v>-3216.6708800000001</v>
      </c>
      <c r="CB226" s="120">
        <v>1.1497601918465228</v>
      </c>
      <c r="CC226" s="120">
        <v>500</v>
      </c>
      <c r="CD226" s="120">
        <v>50</v>
      </c>
      <c r="CE226" s="124">
        <v>20850</v>
      </c>
    </row>
    <row r="227" spans="1:83" hidden="1">
      <c r="A227" s="13">
        <f t="shared" ca="1" si="506"/>
        <v>220</v>
      </c>
      <c r="B227" s="128">
        <v>44692</v>
      </c>
      <c r="C227" s="121" t="s">
        <v>8</v>
      </c>
      <c r="D227" s="121">
        <v>1</v>
      </c>
      <c r="E227" s="120" t="s">
        <v>481</v>
      </c>
      <c r="F227" s="121" t="s">
        <v>381</v>
      </c>
      <c r="G227" s="120">
        <v>3200</v>
      </c>
      <c r="H227" s="122">
        <v>44707</v>
      </c>
      <c r="I227" s="120">
        <v>200</v>
      </c>
      <c r="J227" s="120">
        <v>48.65</v>
      </c>
      <c r="K227" s="120">
        <v>35.65</v>
      </c>
      <c r="L227" s="124">
        <f t="shared" ca="1" si="743"/>
        <v>0</v>
      </c>
      <c r="M227" s="124">
        <f t="shared" ca="1" si="744"/>
        <v>2600</v>
      </c>
      <c r="N227" s="120">
        <f t="shared" ca="1" si="745"/>
        <v>0.73278520041109974</v>
      </c>
      <c r="O227" s="164">
        <f t="shared" ca="1" si="746"/>
        <v>60.8125</v>
      </c>
      <c r="P227" s="168">
        <f t="shared" ca="1" si="507"/>
        <v>9730</v>
      </c>
      <c r="Q227" s="168" t="e">
        <f t="shared" ca="1" si="752"/>
        <v>#N/A</v>
      </c>
      <c r="R227" s="184">
        <f t="shared" ca="1" si="683"/>
        <v>0</v>
      </c>
      <c r="S227" s="124">
        <f t="shared" ca="1" si="748"/>
        <v>4.8649999999999984</v>
      </c>
      <c r="T227" s="120">
        <f ca="1">VLOOKUP(TRIM($F227),Reference!B:C,2,0)</f>
        <v>2788</v>
      </c>
      <c r="U227" s="181">
        <f t="shared" ca="1" si="749"/>
        <v>0</v>
      </c>
      <c r="V227" s="125" t="str">
        <f t="shared" ca="1" si="670"/>
        <v>MINDTREE22MAY3200CE</v>
      </c>
      <c r="W227" s="166" t="e">
        <f ca="1">VLOOKUP($V227,Reference!BA:BD,4,0)</f>
        <v>#N/A</v>
      </c>
      <c r="X227" s="168">
        <f t="shared" ca="1" si="671"/>
        <v>0</v>
      </c>
      <c r="Y227" s="168">
        <f t="shared" ca="1" si="672"/>
        <v>0</v>
      </c>
      <c r="Z227" s="168">
        <f t="shared" ca="1" si="686"/>
        <v>0</v>
      </c>
      <c r="AA227" s="168">
        <f t="shared" ca="1" si="673"/>
        <v>0</v>
      </c>
      <c r="AB227" s="168">
        <f t="shared" ca="1" si="674"/>
        <v>0</v>
      </c>
      <c r="AC227" s="124">
        <f t="shared" ca="1" si="675"/>
        <v>0</v>
      </c>
      <c r="AD227" s="120">
        <f t="shared" ca="1" si="750"/>
        <v>-0.13698630136986301</v>
      </c>
      <c r="AE227" s="120">
        <f t="shared" ca="1" si="751"/>
        <v>20</v>
      </c>
      <c r="AF227" s="120"/>
      <c r="AG227" s="120"/>
      <c r="AH227" s="120">
        <f t="shared" ca="1" si="508"/>
        <v>4.8650000000000002</v>
      </c>
      <c r="AI227" s="120"/>
      <c r="AJ227" s="120">
        <f t="shared" ca="1" si="509"/>
        <v>0</v>
      </c>
      <c r="AK227" s="120"/>
      <c r="AL227" s="147"/>
      <c r="AM227" s="160"/>
      <c r="AN227" s="160"/>
      <c r="AO227" s="160"/>
      <c r="AP227" s="160"/>
      <c r="AQ227" s="160"/>
      <c r="AR227" s="160"/>
      <c r="AS227" s="160"/>
      <c r="AT227" s="160"/>
      <c r="AU227" s="160"/>
      <c r="AV227" s="160"/>
      <c r="AW227" s="160"/>
      <c r="AX227" s="160"/>
      <c r="AY227" s="160"/>
      <c r="AZ227" s="160"/>
      <c r="BA227" s="160"/>
      <c r="BB227" s="160"/>
      <c r="BC227" s="160"/>
      <c r="BD227" s="160"/>
      <c r="BE227" s="160"/>
      <c r="BF227" s="160"/>
      <c r="BG227" s="160"/>
      <c r="BS227" s="13">
        <v>2</v>
      </c>
      <c r="BT227" s="128">
        <v>44491</v>
      </c>
      <c r="BU227" s="121" t="s">
        <v>8</v>
      </c>
      <c r="BV227" s="120" t="s">
        <v>482</v>
      </c>
      <c r="BW227" s="121" t="s">
        <v>502</v>
      </c>
      <c r="BX227" s="120">
        <v>18400</v>
      </c>
      <c r="BY227" s="120">
        <v>41.7</v>
      </c>
      <c r="BZ227" s="120">
        <v>47.945</v>
      </c>
      <c r="CA227" s="124">
        <v>-3216.6708800000001</v>
      </c>
      <c r="CB227" s="120">
        <v>1.1497601918465228</v>
      </c>
      <c r="CC227" s="120">
        <v>500</v>
      </c>
      <c r="CD227" s="120">
        <v>50</v>
      </c>
      <c r="CE227" s="124">
        <v>20850</v>
      </c>
    </row>
    <row r="228" spans="1:83" hidden="1">
      <c r="A228" s="13">
        <f t="shared" ref="A228:A434" ca="1" si="753">A227+1</f>
        <v>221</v>
      </c>
      <c r="B228" s="128">
        <v>44644</v>
      </c>
      <c r="C228" s="121" t="s">
        <v>8</v>
      </c>
      <c r="D228" s="121">
        <v>1</v>
      </c>
      <c r="E228" s="120" t="s">
        <v>481</v>
      </c>
      <c r="F228" s="121" t="s">
        <v>399</v>
      </c>
      <c r="G228" s="120">
        <v>1800</v>
      </c>
      <c r="H228" s="122">
        <v>44707</v>
      </c>
      <c r="I228" s="120">
        <v>575</v>
      </c>
      <c r="J228" s="120">
        <v>21</v>
      </c>
      <c r="K228" s="120">
        <v>2.75</v>
      </c>
      <c r="L228" s="124">
        <f t="shared" ca="1" si="743"/>
        <v>0</v>
      </c>
      <c r="M228" s="124">
        <f t="shared" ca="1" si="744"/>
        <v>10493.75</v>
      </c>
      <c r="N228" s="120">
        <f t="shared" ca="1" si="745"/>
        <v>0.13095238095238096</v>
      </c>
      <c r="O228" s="164">
        <f t="shared" ca="1" si="746"/>
        <v>26.25</v>
      </c>
      <c r="P228" s="168">
        <f t="shared" ref="P228:P434" ca="1" si="754">$J228*$I228*$D228</f>
        <v>12075</v>
      </c>
      <c r="Q228" s="168" t="e">
        <f t="shared" ca="1" si="752"/>
        <v>#N/A</v>
      </c>
      <c r="R228" s="184">
        <f t="shared" ca="1" si="683"/>
        <v>0</v>
      </c>
      <c r="S228" s="124">
        <f t="shared" ca="1" si="748"/>
        <v>2.0999999999999996</v>
      </c>
      <c r="T228" s="120">
        <f ca="1">VLOOKUP(TRIM($F228),Reference!B:C,2,0)</f>
        <v>1646</v>
      </c>
      <c r="U228" s="181">
        <f t="shared" ca="1" si="749"/>
        <v>0</v>
      </c>
      <c r="V228" s="125" t="str">
        <f t="shared" ca="1" si="670"/>
        <v>LT22MAY1800CE</v>
      </c>
      <c r="W228" s="166" t="e">
        <f ca="1">VLOOKUP($V228,Reference!BA:BD,4,0)</f>
        <v>#N/A</v>
      </c>
      <c r="X228" s="168">
        <f t="shared" ca="1" si="671"/>
        <v>0</v>
      </c>
      <c r="Y228" s="168">
        <f t="shared" ca="1" si="672"/>
        <v>0</v>
      </c>
      <c r="Z228" s="168">
        <f t="shared" ca="1" si="686"/>
        <v>0</v>
      </c>
      <c r="AA228" s="168">
        <f t="shared" ca="1" si="673"/>
        <v>0</v>
      </c>
      <c r="AB228" s="168">
        <f t="shared" ca="1" si="674"/>
        <v>0</v>
      </c>
      <c r="AC228" s="124">
        <f t="shared" ca="1" si="675"/>
        <v>0</v>
      </c>
      <c r="AD228" s="120">
        <f t="shared" ca="1" si="750"/>
        <v>-0.13698630136986301</v>
      </c>
      <c r="AE228" s="120">
        <f t="shared" ca="1" si="751"/>
        <v>20</v>
      </c>
      <c r="AF228" s="120"/>
      <c r="AG228" s="120"/>
      <c r="AH228" s="120">
        <f t="shared" ref="AH228:AH434" ca="1" si="755">0.05%*$P228*(IF($C228="B",0,1))</f>
        <v>6.0375000000000005</v>
      </c>
      <c r="AI228" s="120"/>
      <c r="AJ228" s="120">
        <f t="shared" ref="AJ228:AJ434" ca="1" si="756">300/10000000*$P228*(IF($C228="B",1,0))</f>
        <v>0</v>
      </c>
      <c r="AK228" s="120"/>
      <c r="AL228" s="147"/>
      <c r="AM228" s="160"/>
      <c r="AN228" s="160"/>
      <c r="AO228" s="160"/>
      <c r="AP228" s="160"/>
      <c r="AQ228" s="160"/>
      <c r="AR228" s="160"/>
      <c r="AS228" s="160"/>
      <c r="AT228" s="160"/>
      <c r="AU228" s="160"/>
      <c r="AV228" s="160"/>
      <c r="AW228" s="160"/>
      <c r="AX228" s="160"/>
      <c r="AY228" s="160"/>
      <c r="AZ228" s="160"/>
      <c r="BA228" s="160"/>
      <c r="BB228" s="160"/>
      <c r="BC228" s="160"/>
      <c r="BD228" s="160"/>
      <c r="BE228" s="160"/>
      <c r="BF228" s="160"/>
      <c r="BG228" s="160"/>
      <c r="BS228" s="13">
        <v>2</v>
      </c>
      <c r="BT228" s="128">
        <v>44491</v>
      </c>
      <c r="BU228" s="121" t="s">
        <v>8</v>
      </c>
      <c r="BV228" s="120" t="s">
        <v>482</v>
      </c>
      <c r="BW228" s="121" t="s">
        <v>502</v>
      </c>
      <c r="BX228" s="120">
        <v>18400</v>
      </c>
      <c r="BY228" s="120">
        <v>41.7</v>
      </c>
      <c r="BZ228" s="120">
        <v>47.945</v>
      </c>
      <c r="CA228" s="124">
        <v>-3216.6708800000001</v>
      </c>
      <c r="CB228" s="120">
        <v>1.1497601918465228</v>
      </c>
      <c r="CC228" s="120">
        <v>500</v>
      </c>
      <c r="CD228" s="120">
        <v>50</v>
      </c>
      <c r="CE228" s="124">
        <v>20850</v>
      </c>
    </row>
    <row r="229" spans="1:83" hidden="1">
      <c r="A229" s="13">
        <f t="shared" ca="1" si="753"/>
        <v>222</v>
      </c>
      <c r="B229" s="128">
        <v>44692</v>
      </c>
      <c r="C229" s="121" t="s">
        <v>8</v>
      </c>
      <c r="D229" s="121">
        <v>1</v>
      </c>
      <c r="E229" s="120" t="s">
        <v>481</v>
      </c>
      <c r="F229" s="121" t="s">
        <v>399</v>
      </c>
      <c r="G229" s="120">
        <v>1700</v>
      </c>
      <c r="H229" s="122">
        <v>44707</v>
      </c>
      <c r="I229" s="120">
        <v>575</v>
      </c>
      <c r="J229" s="120">
        <v>7.45</v>
      </c>
      <c r="K229" s="120">
        <v>3.55</v>
      </c>
      <c r="L229" s="124">
        <f t="shared" ca="1" si="743"/>
        <v>0</v>
      </c>
      <c r="M229" s="124">
        <f t="shared" ca="1" si="744"/>
        <v>2242.5</v>
      </c>
      <c r="N229" s="120">
        <f t="shared" ca="1" si="745"/>
        <v>0.47651006711409394</v>
      </c>
      <c r="O229" s="164">
        <f t="shared" ca="1" si="746"/>
        <v>9.3125</v>
      </c>
      <c r="P229" s="168">
        <f t="shared" ca="1" si="754"/>
        <v>4283.75</v>
      </c>
      <c r="Q229" s="168" t="e">
        <f t="shared" ca="1" si="752"/>
        <v>#N/A</v>
      </c>
      <c r="R229" s="184">
        <f t="shared" ca="1" si="683"/>
        <v>0</v>
      </c>
      <c r="S229" s="124">
        <f t="shared" ca="1" si="748"/>
        <v>0.74499999999999988</v>
      </c>
      <c r="T229" s="120">
        <f ca="1">VLOOKUP(TRIM($F229),Reference!B:C,2,0)</f>
        <v>1646</v>
      </c>
      <c r="U229" s="181">
        <f t="shared" ca="1" si="749"/>
        <v>0</v>
      </c>
      <c r="V229" s="125" t="str">
        <f t="shared" ca="1" si="670"/>
        <v>LT22MAY1700CE</v>
      </c>
      <c r="W229" s="166" t="e">
        <f ca="1">VLOOKUP($V229,Reference!BA:BD,4,0)</f>
        <v>#N/A</v>
      </c>
      <c r="X229" s="168">
        <f t="shared" ca="1" si="671"/>
        <v>0</v>
      </c>
      <c r="Y229" s="168">
        <f t="shared" ca="1" si="672"/>
        <v>0</v>
      </c>
      <c r="Z229" s="168">
        <f t="shared" ca="1" si="686"/>
        <v>0</v>
      </c>
      <c r="AA229" s="168">
        <f t="shared" ca="1" si="673"/>
        <v>0</v>
      </c>
      <c r="AB229" s="168">
        <f t="shared" ca="1" si="674"/>
        <v>0</v>
      </c>
      <c r="AC229" s="124">
        <f t="shared" ca="1" si="675"/>
        <v>0</v>
      </c>
      <c r="AD229" s="120">
        <f t="shared" ca="1" si="750"/>
        <v>-0.13698630136986301</v>
      </c>
      <c r="AE229" s="120">
        <f t="shared" ca="1" si="751"/>
        <v>20</v>
      </c>
      <c r="AF229" s="120"/>
      <c r="AG229" s="120"/>
      <c r="AH229" s="120">
        <f t="shared" ca="1" si="755"/>
        <v>2.1418750000000002</v>
      </c>
      <c r="AI229" s="120"/>
      <c r="AJ229" s="120">
        <f t="shared" ca="1" si="756"/>
        <v>0</v>
      </c>
      <c r="AK229" s="120"/>
      <c r="AL229" s="147"/>
      <c r="AM229" s="160"/>
      <c r="AN229" s="160"/>
      <c r="AO229" s="160"/>
      <c r="AP229" s="160"/>
      <c r="AQ229" s="160"/>
      <c r="AR229" s="160"/>
      <c r="AS229" s="160"/>
      <c r="AT229" s="160"/>
      <c r="AU229" s="160"/>
      <c r="AV229" s="160"/>
      <c r="AW229" s="160"/>
      <c r="AX229" s="160"/>
      <c r="AY229" s="160"/>
      <c r="AZ229" s="160"/>
      <c r="BA229" s="160"/>
      <c r="BB229" s="160"/>
      <c r="BC229" s="160"/>
      <c r="BD229" s="160"/>
      <c r="BE229" s="160"/>
      <c r="BF229" s="160"/>
      <c r="BG229" s="160"/>
      <c r="BS229" s="13">
        <v>2</v>
      </c>
      <c r="BT229" s="128">
        <v>44491</v>
      </c>
      <c r="BU229" s="121" t="s">
        <v>8</v>
      </c>
      <c r="BV229" s="120" t="s">
        <v>482</v>
      </c>
      <c r="BW229" s="121" t="s">
        <v>502</v>
      </c>
      <c r="BX229" s="120">
        <v>18400</v>
      </c>
      <c r="BY229" s="120">
        <v>41.7</v>
      </c>
      <c r="BZ229" s="120">
        <v>47.945</v>
      </c>
      <c r="CA229" s="124">
        <v>-3216.6708800000001</v>
      </c>
      <c r="CB229" s="120">
        <v>1.1497601918465228</v>
      </c>
      <c r="CC229" s="120">
        <v>500</v>
      </c>
      <c r="CD229" s="120">
        <v>50</v>
      </c>
      <c r="CE229" s="124">
        <v>20850</v>
      </c>
    </row>
    <row r="230" spans="1:83" hidden="1">
      <c r="A230" s="13">
        <f t="shared" ca="1" si="753"/>
        <v>223</v>
      </c>
      <c r="B230" s="128">
        <v>44692</v>
      </c>
      <c r="C230" s="121" t="s">
        <v>6</v>
      </c>
      <c r="D230" s="121">
        <v>1</v>
      </c>
      <c r="E230" s="120" t="s">
        <v>632</v>
      </c>
      <c r="F230" s="121" t="s">
        <v>90</v>
      </c>
      <c r="G230" s="120"/>
      <c r="H230" s="122">
        <v>44707</v>
      </c>
      <c r="I230" s="120">
        <v>150</v>
      </c>
      <c r="J230" s="120">
        <v>3385.45</v>
      </c>
      <c r="K230" s="120">
        <v>3403.05</v>
      </c>
      <c r="L230" s="124">
        <f t="shared" ca="1" si="743"/>
        <v>0</v>
      </c>
      <c r="M230" s="124">
        <f t="shared" ca="1" si="744"/>
        <v>2640.0000000000546</v>
      </c>
      <c r="N230" s="120">
        <f t="shared" ca="1" si="745"/>
        <v>1.0051987180433917</v>
      </c>
      <c r="O230" s="164">
        <f t="shared" ca="1" si="746"/>
        <v>2539.0874999999996</v>
      </c>
      <c r="P230" s="168">
        <f t="shared" ca="1" si="754"/>
        <v>507817.5</v>
      </c>
      <c r="Q230" s="168" t="e">
        <f t="shared" ca="1" si="752"/>
        <v>#N/A</v>
      </c>
      <c r="R230" s="184">
        <f t="shared" ca="1" si="683"/>
        <v>0</v>
      </c>
      <c r="S230" s="124">
        <f t="shared" ca="1" si="748"/>
        <v>338.5449999999999</v>
      </c>
      <c r="T230" s="120">
        <f ca="1">VLOOKUP(TRIM($F230),Reference!B:C,2,0)</f>
        <v>3003</v>
      </c>
      <c r="U230" s="181">
        <f t="shared" ca="1" si="749"/>
        <v>0</v>
      </c>
      <c r="V230" s="125" t="str">
        <f t="shared" ca="1" si="670"/>
        <v>TCS22MAYFUT</v>
      </c>
      <c r="W230" s="166" t="e">
        <f ca="1">VLOOKUP($V230,Reference!BA:BD,4,0)</f>
        <v>#N/A</v>
      </c>
      <c r="X230" s="168">
        <f t="shared" ca="1" si="671"/>
        <v>0</v>
      </c>
      <c r="Y230" s="168">
        <f t="shared" ca="1" si="672"/>
        <v>0</v>
      </c>
      <c r="Z230" s="168">
        <f t="shared" ca="1" si="686"/>
        <v>0</v>
      </c>
      <c r="AA230" s="168">
        <f t="shared" ca="1" si="673"/>
        <v>0</v>
      </c>
      <c r="AB230" s="168">
        <f t="shared" ca="1" si="674"/>
        <v>0</v>
      </c>
      <c r="AC230" s="124">
        <f t="shared" ca="1" si="675"/>
        <v>0</v>
      </c>
      <c r="AD230" s="120">
        <f t="shared" ca="1" si="750"/>
        <v>-0.13698630136986301</v>
      </c>
      <c r="AE230" s="120">
        <f t="shared" ca="1" si="751"/>
        <v>20</v>
      </c>
      <c r="AF230" s="120"/>
      <c r="AG230" s="120"/>
      <c r="AH230" s="120">
        <f t="shared" ca="1" si="755"/>
        <v>0</v>
      </c>
      <c r="AI230" s="120"/>
      <c r="AJ230" s="120">
        <f t="shared" ca="1" si="756"/>
        <v>15.234525</v>
      </c>
      <c r="AK230" s="120"/>
      <c r="AL230" s="147"/>
      <c r="AM230" s="160"/>
      <c r="AN230" s="160"/>
      <c r="AO230" s="160"/>
      <c r="AP230" s="160"/>
      <c r="AQ230" s="160"/>
      <c r="AR230" s="160"/>
      <c r="AS230" s="160"/>
      <c r="AT230" s="160"/>
      <c r="AU230" s="160"/>
      <c r="AV230" s="160"/>
      <c r="AW230" s="160"/>
      <c r="AX230" s="160"/>
      <c r="AY230" s="160"/>
      <c r="AZ230" s="160"/>
      <c r="BA230" s="160"/>
      <c r="BB230" s="160"/>
      <c r="BC230" s="160"/>
      <c r="BD230" s="160"/>
      <c r="BE230" s="160"/>
      <c r="BF230" s="160"/>
      <c r="BG230" s="160"/>
      <c r="BS230" s="13">
        <v>2</v>
      </c>
      <c r="BT230" s="128">
        <v>44491</v>
      </c>
      <c r="BU230" s="121" t="s">
        <v>8</v>
      </c>
      <c r="BV230" s="120" t="s">
        <v>482</v>
      </c>
      <c r="BW230" s="121" t="s">
        <v>502</v>
      </c>
      <c r="BX230" s="120">
        <v>18400</v>
      </c>
      <c r="BY230" s="120">
        <v>41.7</v>
      </c>
      <c r="BZ230" s="120">
        <v>47.945</v>
      </c>
      <c r="CA230" s="124">
        <v>-3216.6708800000001</v>
      </c>
      <c r="CB230" s="120">
        <v>1.1497601918465228</v>
      </c>
      <c r="CC230" s="120">
        <v>500</v>
      </c>
      <c r="CD230" s="120">
        <v>50</v>
      </c>
      <c r="CE230" s="124">
        <v>20850</v>
      </c>
    </row>
    <row r="231" spans="1:83" hidden="1">
      <c r="A231" s="13">
        <f t="shared" ca="1" si="753"/>
        <v>224</v>
      </c>
      <c r="B231" s="128">
        <v>44692</v>
      </c>
      <c r="C231" s="121" t="s">
        <v>6</v>
      </c>
      <c r="D231" s="121">
        <v>1</v>
      </c>
      <c r="E231" s="120" t="s">
        <v>632</v>
      </c>
      <c r="F231" s="121" t="s">
        <v>399</v>
      </c>
      <c r="G231" s="120"/>
      <c r="H231" s="122">
        <v>44707</v>
      </c>
      <c r="I231" s="120">
        <v>575</v>
      </c>
      <c r="J231" s="120">
        <v>1582</v>
      </c>
      <c r="K231" s="120">
        <v>1650.15</v>
      </c>
      <c r="L231" s="124">
        <f t="shared" ca="1" si="743"/>
        <v>0</v>
      </c>
      <c r="M231" s="124">
        <f t="shared" ca="1" si="744"/>
        <v>39186.250000000051</v>
      </c>
      <c r="N231" s="120">
        <f t="shared" ca="1" si="745"/>
        <v>1.0430783817951961</v>
      </c>
      <c r="O231" s="164">
        <f t="shared" ca="1" si="746"/>
        <v>1186.5</v>
      </c>
      <c r="P231" s="168">
        <f t="shared" ca="1" si="754"/>
        <v>909650</v>
      </c>
      <c r="Q231" s="168" t="e">
        <f t="shared" ca="1" si="752"/>
        <v>#N/A</v>
      </c>
      <c r="R231" s="184">
        <f t="shared" ca="1" si="683"/>
        <v>0</v>
      </c>
      <c r="S231" s="124">
        <f t="shared" ca="1" si="748"/>
        <v>158.19999999999996</v>
      </c>
      <c r="T231" s="120">
        <f ca="1">VLOOKUP(TRIM($F231),Reference!B:C,2,0)</f>
        <v>1646</v>
      </c>
      <c r="U231" s="181">
        <f t="shared" ca="1" si="749"/>
        <v>0</v>
      </c>
      <c r="V231" s="125" t="str">
        <f t="shared" ca="1" si="670"/>
        <v>LT22MAYFUT</v>
      </c>
      <c r="W231" s="166" t="e">
        <f ca="1">VLOOKUP($V231,Reference!BA:BD,4,0)</f>
        <v>#N/A</v>
      </c>
      <c r="X231" s="168">
        <f t="shared" ca="1" si="671"/>
        <v>0</v>
      </c>
      <c r="Y231" s="168">
        <f t="shared" ca="1" si="672"/>
        <v>0</v>
      </c>
      <c r="Z231" s="168">
        <f t="shared" ca="1" si="686"/>
        <v>0</v>
      </c>
      <c r="AA231" s="168">
        <f t="shared" ca="1" si="673"/>
        <v>0</v>
      </c>
      <c r="AB231" s="168">
        <f t="shared" ca="1" si="674"/>
        <v>0</v>
      </c>
      <c r="AC231" s="124">
        <f t="shared" ca="1" si="675"/>
        <v>0</v>
      </c>
      <c r="AD231" s="120">
        <f t="shared" ca="1" si="750"/>
        <v>-0.13698630136986301</v>
      </c>
      <c r="AE231" s="120">
        <f t="shared" ca="1" si="751"/>
        <v>20</v>
      </c>
      <c r="AF231" s="120"/>
      <c r="AG231" s="120"/>
      <c r="AH231" s="120">
        <f t="shared" ca="1" si="755"/>
        <v>0</v>
      </c>
      <c r="AI231" s="120"/>
      <c r="AJ231" s="120">
        <f t="shared" ca="1" si="756"/>
        <v>27.2895</v>
      </c>
      <c r="AK231" s="120"/>
      <c r="AL231" s="147"/>
      <c r="AM231" s="160"/>
      <c r="AN231" s="160"/>
      <c r="AO231" s="160"/>
      <c r="AP231" s="160"/>
      <c r="AQ231" s="160"/>
      <c r="AR231" s="160"/>
      <c r="AS231" s="160"/>
      <c r="AT231" s="160"/>
      <c r="AU231" s="160"/>
      <c r="AV231" s="160"/>
      <c r="AW231" s="160"/>
      <c r="AX231" s="160"/>
      <c r="AY231" s="160"/>
      <c r="AZ231" s="160"/>
      <c r="BA231" s="160"/>
      <c r="BB231" s="160"/>
      <c r="BC231" s="160"/>
      <c r="BD231" s="160"/>
      <c r="BE231" s="160"/>
      <c r="BF231" s="160"/>
      <c r="BG231" s="160"/>
      <c r="BS231" s="13">
        <v>2</v>
      </c>
      <c r="BT231" s="128">
        <v>44491</v>
      </c>
      <c r="BU231" s="121" t="s">
        <v>8</v>
      </c>
      <c r="BV231" s="120" t="s">
        <v>482</v>
      </c>
      <c r="BW231" s="121" t="s">
        <v>502</v>
      </c>
      <c r="BX231" s="120">
        <v>18400</v>
      </c>
      <c r="BY231" s="120">
        <v>41.7</v>
      </c>
      <c r="BZ231" s="120">
        <v>47.945</v>
      </c>
      <c r="CA231" s="124">
        <v>-3216.6708800000001</v>
      </c>
      <c r="CB231" s="120">
        <v>1.1497601918465228</v>
      </c>
      <c r="CC231" s="120">
        <v>500</v>
      </c>
      <c r="CD231" s="120">
        <v>50</v>
      </c>
      <c r="CE231" s="124">
        <v>20850</v>
      </c>
    </row>
    <row r="232" spans="1:83" hidden="1">
      <c r="A232" s="13">
        <f t="shared" ca="1" si="753"/>
        <v>225</v>
      </c>
      <c r="B232" s="128">
        <v>44692</v>
      </c>
      <c r="C232" s="121" t="s">
        <v>8</v>
      </c>
      <c r="D232" s="121">
        <v>1</v>
      </c>
      <c r="E232" s="120" t="s">
        <v>481</v>
      </c>
      <c r="F232" s="121" t="s">
        <v>381</v>
      </c>
      <c r="G232" s="120">
        <v>3200</v>
      </c>
      <c r="H232" s="122">
        <v>44707</v>
      </c>
      <c r="I232" s="120">
        <v>200</v>
      </c>
      <c r="J232" s="120">
        <v>59.3</v>
      </c>
      <c r="K232" s="120">
        <v>35.65</v>
      </c>
      <c r="L232" s="124">
        <f t="shared" ref="L232:L233" ca="1" si="757">IF(AND(K232&lt;&gt;0,I232&lt;&gt;0),(IF(C232="B",1,-1))*(K232-J232)*I232-AK232*2,0)*$D232*IF(MONTH($B$2)=MONTH($H232),1,0)</f>
        <v>0</v>
      </c>
      <c r="M232" s="124">
        <f t="shared" ref="M232:M233" ca="1" si="758">IF(AND(K232&lt;&gt;0,I232&lt;&gt;0),(IF(C232="B",1,-1))*(K232-J232)*I232-AK232*2,0)*$D232</f>
        <v>4730</v>
      </c>
      <c r="N232" s="120">
        <f t="shared" ref="N232:N233" ca="1" si="759">K232/$J232</f>
        <v>0.60118043844856661</v>
      </c>
      <c r="O232" s="164">
        <f t="shared" ref="O232:O233" ca="1" si="760">J232*(1+$O$6*IF(C232="B",-1,1))</f>
        <v>74.125</v>
      </c>
      <c r="P232" s="168">
        <f t="shared" ca="1" si="754"/>
        <v>11860</v>
      </c>
      <c r="Q232" s="168" t="e">
        <f t="shared" ref="Q232:Q233" ca="1" si="761">(W232-J232)*I232*IF(C232="B",1,-1)*IF(K232=0,1,0)</f>
        <v>#N/A</v>
      </c>
      <c r="R232" s="184">
        <f t="shared" ca="1" si="683"/>
        <v>0</v>
      </c>
      <c r="S232" s="124">
        <f t="shared" ref="S232:S233" ca="1" si="762">(1-$S$6)*J232</f>
        <v>5.9299999999999988</v>
      </c>
      <c r="T232" s="120">
        <f ca="1">VLOOKUP(TRIM($F232),Reference!B:C,2,0)</f>
        <v>2788</v>
      </c>
      <c r="U232" s="181">
        <f t="shared" ref="U232:U233" ca="1" si="763">AC232</f>
        <v>0</v>
      </c>
      <c r="V232" s="125" t="str">
        <f t="shared" ca="1" si="670"/>
        <v>MINDTREE22MAY3200CE</v>
      </c>
      <c r="W232" s="166" t="e">
        <f ca="1">VLOOKUP($V232,Reference!BA:BD,4,0)</f>
        <v>#N/A</v>
      </c>
      <c r="X232" s="168">
        <f t="shared" ca="1" si="671"/>
        <v>0</v>
      </c>
      <c r="Y232" s="168">
        <f t="shared" ca="1" si="672"/>
        <v>0</v>
      </c>
      <c r="Z232" s="168">
        <f t="shared" ca="1" si="686"/>
        <v>0</v>
      </c>
      <c r="AA232" s="168">
        <f t="shared" ca="1" si="673"/>
        <v>0</v>
      </c>
      <c r="AB232" s="168">
        <f t="shared" ca="1" si="674"/>
        <v>0</v>
      </c>
      <c r="AC232" s="124">
        <f t="shared" ca="1" si="675"/>
        <v>0</v>
      </c>
      <c r="AD232" s="120">
        <f t="shared" ref="AD232:AD233" ca="1" si="764">(H232-TODAY())/365</f>
        <v>-0.13698630136986301</v>
      </c>
      <c r="AE232" s="120">
        <f t="shared" ref="AE232:AE233" ca="1" si="765">IF(I232&lt;&gt;0,20,0)</f>
        <v>20</v>
      </c>
      <c r="AF232" s="120"/>
      <c r="AG232" s="120"/>
      <c r="AH232" s="120">
        <f t="shared" ca="1" si="755"/>
        <v>5.93</v>
      </c>
      <c r="AI232" s="120"/>
      <c r="AJ232" s="120">
        <f t="shared" ca="1" si="756"/>
        <v>0</v>
      </c>
      <c r="AK232" s="120"/>
      <c r="AL232" s="147"/>
      <c r="AM232" s="160"/>
      <c r="AN232" s="160"/>
      <c r="AO232" s="160"/>
      <c r="AP232" s="160"/>
      <c r="AQ232" s="160"/>
      <c r="AR232" s="160"/>
      <c r="AS232" s="160"/>
      <c r="AT232" s="160"/>
      <c r="AU232" s="160"/>
      <c r="AV232" s="160"/>
      <c r="AW232" s="160"/>
      <c r="AX232" s="160"/>
      <c r="AY232" s="160"/>
      <c r="AZ232" s="160"/>
      <c r="BA232" s="160"/>
      <c r="BB232" s="160"/>
      <c r="BC232" s="160"/>
      <c r="BD232" s="160"/>
      <c r="BE232" s="160"/>
      <c r="BF232" s="160"/>
      <c r="BG232" s="160"/>
      <c r="BS232" s="13">
        <v>2</v>
      </c>
      <c r="BT232" s="128">
        <v>44491</v>
      </c>
      <c r="BU232" s="121" t="s">
        <v>8</v>
      </c>
      <c r="BV232" s="120" t="s">
        <v>482</v>
      </c>
      <c r="BW232" s="121" t="s">
        <v>502</v>
      </c>
      <c r="BX232" s="120">
        <v>18400</v>
      </c>
      <c r="BY232" s="120">
        <v>41.7</v>
      </c>
      <c r="BZ232" s="120">
        <v>47.945</v>
      </c>
      <c r="CA232" s="124">
        <v>-3216.6708800000001</v>
      </c>
      <c r="CB232" s="120">
        <v>1.1497601918465228</v>
      </c>
      <c r="CC232" s="120">
        <v>500</v>
      </c>
      <c r="CD232" s="120">
        <v>50</v>
      </c>
      <c r="CE232" s="124">
        <v>20850</v>
      </c>
    </row>
    <row r="233" spans="1:83" hidden="1">
      <c r="A233" s="13">
        <f t="shared" ca="1" si="753"/>
        <v>226</v>
      </c>
      <c r="B233" s="128">
        <v>44692</v>
      </c>
      <c r="C233" s="121" t="s">
        <v>8</v>
      </c>
      <c r="D233" s="121">
        <v>1</v>
      </c>
      <c r="E233" s="120" t="s">
        <v>481</v>
      </c>
      <c r="F233" s="121" t="s">
        <v>90</v>
      </c>
      <c r="G233" s="120">
        <v>3500</v>
      </c>
      <c r="H233" s="122">
        <v>44707</v>
      </c>
      <c r="I233" s="120">
        <v>150</v>
      </c>
      <c r="J233" s="120">
        <v>31.35</v>
      </c>
      <c r="K233" s="120">
        <v>1.25</v>
      </c>
      <c r="L233" s="124">
        <f t="shared" ca="1" si="757"/>
        <v>0</v>
      </c>
      <c r="M233" s="124">
        <f t="shared" ca="1" si="758"/>
        <v>4515</v>
      </c>
      <c r="N233" s="120">
        <f t="shared" ca="1" si="759"/>
        <v>3.987240829346092E-2</v>
      </c>
      <c r="O233" s="164">
        <f t="shared" ca="1" si="760"/>
        <v>39.1875</v>
      </c>
      <c r="P233" s="168">
        <f t="shared" ca="1" si="754"/>
        <v>4702.5</v>
      </c>
      <c r="Q233" s="168" t="e">
        <f t="shared" ca="1" si="761"/>
        <v>#N/A</v>
      </c>
      <c r="R233" s="184">
        <f t="shared" ca="1" si="683"/>
        <v>0</v>
      </c>
      <c r="S233" s="124">
        <f t="shared" ca="1" si="762"/>
        <v>3.1349999999999993</v>
      </c>
      <c r="T233" s="120">
        <f ca="1">VLOOKUP(TRIM($F233),Reference!B:C,2,0)</f>
        <v>3003</v>
      </c>
      <c r="U233" s="125">
        <f t="shared" ca="1" si="763"/>
        <v>0</v>
      </c>
      <c r="V233" s="125" t="str">
        <f t="shared" ca="1" si="670"/>
        <v>TCS22MAY3500CE</v>
      </c>
      <c r="W233" s="166" t="e">
        <f ca="1">VLOOKUP($V233,Reference!BA:BD,4,0)</f>
        <v>#N/A</v>
      </c>
      <c r="X233" s="168">
        <f t="shared" ca="1" si="671"/>
        <v>0</v>
      </c>
      <c r="Y233" s="168">
        <f t="shared" ca="1" si="672"/>
        <v>0</v>
      </c>
      <c r="Z233" s="168">
        <f t="shared" ca="1" si="686"/>
        <v>0</v>
      </c>
      <c r="AA233" s="168">
        <f t="shared" ca="1" si="673"/>
        <v>0</v>
      </c>
      <c r="AB233" s="168">
        <f t="shared" ca="1" si="674"/>
        <v>0</v>
      </c>
      <c r="AC233" s="124">
        <f t="shared" ca="1" si="675"/>
        <v>0</v>
      </c>
      <c r="AD233" s="120">
        <f t="shared" ca="1" si="764"/>
        <v>-0.13698630136986301</v>
      </c>
      <c r="AE233" s="120">
        <f t="shared" ca="1" si="765"/>
        <v>20</v>
      </c>
      <c r="AF233" s="120"/>
      <c r="AG233" s="120"/>
      <c r="AH233" s="120">
        <f t="shared" ca="1" si="755"/>
        <v>2.3512499999999998</v>
      </c>
      <c r="AI233" s="120"/>
      <c r="AJ233" s="120">
        <f t="shared" ca="1" si="756"/>
        <v>0</v>
      </c>
      <c r="AK233" s="120"/>
      <c r="AM233" s="161"/>
      <c r="AN233" s="161"/>
      <c r="AO233" s="161"/>
      <c r="AP233" s="161"/>
      <c r="AQ233" s="161"/>
      <c r="AR233" s="161"/>
      <c r="AS233" s="161"/>
      <c r="AT233" s="161"/>
      <c r="AU233" s="161"/>
      <c r="AV233" s="161"/>
      <c r="AW233" s="161"/>
      <c r="AX233" s="161"/>
      <c r="AY233" s="161"/>
      <c r="AZ233" s="161"/>
      <c r="BA233" s="161"/>
      <c r="BB233" s="161"/>
      <c r="BC233" s="161"/>
      <c r="BD233" s="161"/>
      <c r="BE233" s="161"/>
      <c r="BF233" s="161"/>
      <c r="BG233" s="161"/>
      <c r="BS233" s="11">
        <v>2</v>
      </c>
      <c r="BT233" s="11">
        <v>44491</v>
      </c>
      <c r="BU233" s="11" t="s">
        <v>8</v>
      </c>
      <c r="BV233" s="11" t="s">
        <v>482</v>
      </c>
      <c r="BW233" s="11" t="s">
        <v>502</v>
      </c>
      <c r="BX233" s="11">
        <v>18400</v>
      </c>
      <c r="BY233" s="11">
        <v>41.7</v>
      </c>
      <c r="BZ233" s="11">
        <v>47.945</v>
      </c>
      <c r="CA233" s="11">
        <v>-3216.6708800000001</v>
      </c>
      <c r="CB233" s="11">
        <v>1.1497601918465228</v>
      </c>
      <c r="CC233" s="11">
        <v>500</v>
      </c>
      <c r="CD233" s="11">
        <v>50</v>
      </c>
      <c r="CE233" s="11">
        <v>20850</v>
      </c>
    </row>
    <row r="234" spans="1:83" hidden="1">
      <c r="A234" s="13">
        <f t="shared" ca="1" si="753"/>
        <v>227</v>
      </c>
      <c r="B234" s="128">
        <v>44692</v>
      </c>
      <c r="C234" s="121" t="s">
        <v>8</v>
      </c>
      <c r="D234" s="121">
        <v>1</v>
      </c>
      <c r="E234" s="120" t="s">
        <v>481</v>
      </c>
      <c r="F234" s="121" t="s">
        <v>90</v>
      </c>
      <c r="G234" s="120">
        <v>3500</v>
      </c>
      <c r="H234" s="122">
        <v>44707</v>
      </c>
      <c r="I234" s="120">
        <v>150</v>
      </c>
      <c r="J234" s="120">
        <v>31.9</v>
      </c>
      <c r="K234" s="120">
        <v>1.25</v>
      </c>
      <c r="L234" s="124">
        <f t="shared" ref="L234:L236" ca="1" si="766">IF(AND(K234&lt;&gt;0,I234&lt;&gt;0),(IF(C234="B",1,-1))*(K234-J234)*I234-AK234*2,0)*$D234*IF(MONTH($B$2)=MONTH($H234),1,0)</f>
        <v>0</v>
      </c>
      <c r="M234" s="124">
        <f t="shared" ref="M234:M236" ca="1" si="767">IF(AND(K234&lt;&gt;0,I234&lt;&gt;0),(IF(C234="B",1,-1))*(K234-J234)*I234-AK234*2,0)*$D234</f>
        <v>4597.5</v>
      </c>
      <c r="N234" s="120">
        <f t="shared" ref="N234:N236" ca="1" si="768">K234/$J234</f>
        <v>3.918495297805643E-2</v>
      </c>
      <c r="O234" s="164">
        <f t="shared" ref="O234:O236" ca="1" si="769">J234*(1+$O$6*IF(C234="B",-1,1))</f>
        <v>39.875</v>
      </c>
      <c r="P234" s="168">
        <f t="shared" ca="1" si="754"/>
        <v>4785</v>
      </c>
      <c r="Q234" s="168" t="e">
        <f t="shared" ref="Q234:Q236" ca="1" si="770">(W234-J234)*I234*IF(C234="B",1,-1)*IF(K234=0,1,0)</f>
        <v>#N/A</v>
      </c>
      <c r="R234" s="184">
        <f t="shared" ca="1" si="683"/>
        <v>0</v>
      </c>
      <c r="S234" s="124">
        <f t="shared" ref="S234:S236" ca="1" si="771">(1-$S$6)*J234</f>
        <v>3.1899999999999991</v>
      </c>
      <c r="T234" s="120">
        <f ca="1">VLOOKUP(TRIM($F234),Reference!B:C,2,0)</f>
        <v>3003</v>
      </c>
      <c r="U234" s="125">
        <f t="shared" ref="U234:U236" ca="1" si="772">AC234</f>
        <v>0</v>
      </c>
      <c r="V234" s="125" t="str">
        <f t="shared" ca="1" si="670"/>
        <v>TCS22MAY3500CE</v>
      </c>
      <c r="W234" s="166" t="e">
        <f ca="1">VLOOKUP($V234,Reference!BA:BD,4,0)</f>
        <v>#N/A</v>
      </c>
      <c r="X234" s="168">
        <f t="shared" ca="1" si="671"/>
        <v>0</v>
      </c>
      <c r="Y234" s="168">
        <f t="shared" ca="1" si="672"/>
        <v>0</v>
      </c>
      <c r="Z234" s="168">
        <f t="shared" ca="1" si="686"/>
        <v>0</v>
      </c>
      <c r="AA234" s="168">
        <f t="shared" ca="1" si="673"/>
        <v>0</v>
      </c>
      <c r="AB234" s="168">
        <f t="shared" ca="1" si="674"/>
        <v>0</v>
      </c>
      <c r="AC234" s="124">
        <f t="shared" ca="1" si="675"/>
        <v>0</v>
      </c>
      <c r="AD234" s="120">
        <f t="shared" ref="AD234:AD236" ca="1" si="773">(H234-TODAY())/365</f>
        <v>-0.13698630136986301</v>
      </c>
      <c r="AE234" s="120">
        <f t="shared" ref="AE234:AE236" ca="1" si="774">IF(I234&lt;&gt;0,20,0)</f>
        <v>20</v>
      </c>
      <c r="AF234" s="120"/>
      <c r="AG234" s="120"/>
      <c r="AH234" s="120">
        <f t="shared" ca="1" si="755"/>
        <v>2.3925000000000001</v>
      </c>
      <c r="AI234" s="120"/>
      <c r="AJ234" s="120">
        <f t="shared" ca="1" si="756"/>
        <v>0</v>
      </c>
      <c r="AK234" s="120"/>
      <c r="AM234" s="161"/>
      <c r="AN234" s="161"/>
      <c r="AO234" s="161"/>
      <c r="AP234" s="161"/>
      <c r="AQ234" s="161"/>
      <c r="AR234" s="161"/>
      <c r="AS234" s="161"/>
      <c r="AT234" s="161"/>
      <c r="AU234" s="161"/>
      <c r="AV234" s="161"/>
      <c r="AW234" s="161"/>
      <c r="AX234" s="161"/>
      <c r="AY234" s="161"/>
      <c r="AZ234" s="161"/>
      <c r="BA234" s="161"/>
      <c r="BB234" s="161"/>
      <c r="BC234" s="161"/>
      <c r="BD234" s="161"/>
      <c r="BE234" s="161"/>
      <c r="BF234" s="161"/>
      <c r="BG234" s="161"/>
      <c r="BS234" s="11">
        <v>2</v>
      </c>
      <c r="BT234" s="11">
        <v>44491</v>
      </c>
      <c r="BU234" s="11" t="s">
        <v>8</v>
      </c>
      <c r="BV234" s="11" t="s">
        <v>482</v>
      </c>
      <c r="BW234" s="11" t="s">
        <v>502</v>
      </c>
      <c r="BX234" s="11">
        <v>18400</v>
      </c>
      <c r="BY234" s="11">
        <v>41.7</v>
      </c>
      <c r="BZ234" s="11">
        <v>47.945</v>
      </c>
      <c r="CA234" s="11">
        <v>-3216.6708800000001</v>
      </c>
      <c r="CB234" s="11">
        <v>1.1497601918465228</v>
      </c>
      <c r="CC234" s="11">
        <v>500</v>
      </c>
      <c r="CD234" s="11">
        <v>50</v>
      </c>
      <c r="CE234" s="11">
        <v>20850</v>
      </c>
    </row>
    <row r="235" spans="1:83" hidden="1">
      <c r="A235" s="13">
        <f t="shared" ca="1" si="753"/>
        <v>228</v>
      </c>
      <c r="B235" s="128">
        <v>44692</v>
      </c>
      <c r="C235" s="121" t="s">
        <v>8</v>
      </c>
      <c r="D235" s="121">
        <v>1</v>
      </c>
      <c r="E235" s="120" t="s">
        <v>481</v>
      </c>
      <c r="F235" s="121" t="s">
        <v>284</v>
      </c>
      <c r="G235" s="120">
        <v>420</v>
      </c>
      <c r="H235" s="122">
        <v>44707</v>
      </c>
      <c r="I235" s="120">
        <v>1425</v>
      </c>
      <c r="J235" s="120">
        <v>4.75</v>
      </c>
      <c r="K235" s="120">
        <v>0.5</v>
      </c>
      <c r="L235" s="124">
        <f t="shared" ca="1" si="766"/>
        <v>0</v>
      </c>
      <c r="M235" s="124">
        <f t="shared" ca="1" si="767"/>
        <v>6056.25</v>
      </c>
      <c r="N235" s="120">
        <f t="shared" ca="1" si="768"/>
        <v>0.10526315789473684</v>
      </c>
      <c r="O235" s="164">
        <f t="shared" ca="1" si="769"/>
        <v>5.9375</v>
      </c>
      <c r="P235" s="168">
        <f t="shared" ca="1" si="754"/>
        <v>6768.75</v>
      </c>
      <c r="Q235" s="168" t="e">
        <f t="shared" ca="1" si="770"/>
        <v>#N/A</v>
      </c>
      <c r="R235" s="184">
        <f t="shared" ca="1" si="683"/>
        <v>0</v>
      </c>
      <c r="S235" s="124">
        <f t="shared" ca="1" si="771"/>
        <v>0.47499999999999987</v>
      </c>
      <c r="T235" s="120">
        <f ca="1">VLOOKUP(TRIM($F235),Reference!B:C,2,0)</f>
        <v>428</v>
      </c>
      <c r="U235" s="181">
        <f t="shared" ca="1" si="772"/>
        <v>0</v>
      </c>
      <c r="V235" s="125" t="str">
        <f t="shared" ca="1" si="670"/>
        <v>TATAMOTORS22MAY420CE</v>
      </c>
      <c r="W235" s="166" t="e">
        <f ca="1">VLOOKUP($V235,Reference!BA:BD,4,0)</f>
        <v>#N/A</v>
      </c>
      <c r="X235" s="168">
        <f t="shared" ca="1" si="671"/>
        <v>0</v>
      </c>
      <c r="Y235" s="168">
        <f t="shared" ca="1" si="672"/>
        <v>0</v>
      </c>
      <c r="Z235" s="168">
        <f t="shared" ca="1" si="686"/>
        <v>0</v>
      </c>
      <c r="AA235" s="168">
        <f t="shared" ca="1" si="673"/>
        <v>0</v>
      </c>
      <c r="AB235" s="168">
        <f t="shared" ca="1" si="674"/>
        <v>0</v>
      </c>
      <c r="AC235" s="124">
        <f t="shared" ca="1" si="675"/>
        <v>0</v>
      </c>
      <c r="AD235" s="120">
        <f t="shared" ca="1" si="773"/>
        <v>-0.13698630136986301</v>
      </c>
      <c r="AE235" s="120">
        <f t="shared" ca="1" si="774"/>
        <v>20</v>
      </c>
      <c r="AF235" s="120"/>
      <c r="AG235" s="120"/>
      <c r="AH235" s="120">
        <f t="shared" ca="1" si="755"/>
        <v>3.3843749999999999</v>
      </c>
      <c r="AI235" s="120"/>
      <c r="AJ235" s="120">
        <f t="shared" ca="1" si="756"/>
        <v>0</v>
      </c>
      <c r="AK235" s="120"/>
      <c r="AL235" s="147"/>
      <c r="AM235" s="160"/>
      <c r="AN235" s="160"/>
      <c r="AO235" s="160"/>
      <c r="AP235" s="160"/>
      <c r="AQ235" s="160"/>
      <c r="AR235" s="160"/>
      <c r="AS235" s="160"/>
      <c r="AT235" s="160"/>
      <c r="AU235" s="160"/>
      <c r="AV235" s="160"/>
      <c r="AW235" s="160"/>
      <c r="AX235" s="160"/>
      <c r="AY235" s="160"/>
      <c r="AZ235" s="160"/>
      <c r="BA235" s="160"/>
      <c r="BB235" s="160"/>
      <c r="BC235" s="160"/>
      <c r="BD235" s="160"/>
      <c r="BE235" s="160"/>
      <c r="BF235" s="160"/>
      <c r="BG235" s="160"/>
      <c r="BS235" s="13">
        <v>2</v>
      </c>
      <c r="BT235" s="128">
        <v>44491</v>
      </c>
      <c r="BU235" s="121" t="s">
        <v>8</v>
      </c>
      <c r="BV235" s="120" t="s">
        <v>482</v>
      </c>
      <c r="BW235" s="121" t="s">
        <v>502</v>
      </c>
      <c r="BX235" s="120">
        <v>18400</v>
      </c>
      <c r="BY235" s="120">
        <v>41.7</v>
      </c>
      <c r="BZ235" s="120">
        <v>47.945</v>
      </c>
      <c r="CA235" s="124">
        <v>-3216.6708800000001</v>
      </c>
      <c r="CB235" s="120">
        <v>1.1497601918465228</v>
      </c>
      <c r="CC235" s="120">
        <v>500</v>
      </c>
      <c r="CD235" s="120">
        <v>50</v>
      </c>
      <c r="CE235" s="124">
        <v>20850</v>
      </c>
    </row>
    <row r="236" spans="1:83" hidden="1">
      <c r="A236" s="13">
        <f t="shared" ca="1" si="753"/>
        <v>229</v>
      </c>
      <c r="B236" s="128">
        <v>44692</v>
      </c>
      <c r="C236" s="121" t="s">
        <v>8</v>
      </c>
      <c r="D236" s="121">
        <v>1</v>
      </c>
      <c r="E236" s="120" t="s">
        <v>481</v>
      </c>
      <c r="F236" s="121" t="s">
        <v>130</v>
      </c>
      <c r="G236" s="120">
        <v>240</v>
      </c>
      <c r="H236" s="122">
        <v>44707</v>
      </c>
      <c r="I236" s="120">
        <v>3375</v>
      </c>
      <c r="J236" s="120">
        <v>3.25</v>
      </c>
      <c r="K236" s="120">
        <v>0.1</v>
      </c>
      <c r="L236" s="124">
        <f t="shared" ca="1" si="766"/>
        <v>0</v>
      </c>
      <c r="M236" s="124">
        <f t="shared" ca="1" si="767"/>
        <v>10631.25</v>
      </c>
      <c r="N236" s="120">
        <f t="shared" ca="1" si="768"/>
        <v>3.0769230769230771E-2</v>
      </c>
      <c r="O236" s="164">
        <f t="shared" ca="1" si="769"/>
        <v>4.0625</v>
      </c>
      <c r="P236" s="168">
        <f t="shared" ca="1" si="754"/>
        <v>10968.75</v>
      </c>
      <c r="Q236" s="168" t="e">
        <f t="shared" ca="1" si="770"/>
        <v>#N/A</v>
      </c>
      <c r="R236" s="184">
        <f t="shared" ca="1" si="683"/>
        <v>0</v>
      </c>
      <c r="S236" s="124">
        <f t="shared" ca="1" si="771"/>
        <v>0.32499999999999996</v>
      </c>
      <c r="T236" s="120">
        <f ca="1">VLOOKUP(TRIM($F236),Reference!B:C,2,0)</f>
        <v>221.6</v>
      </c>
      <c r="U236" s="181">
        <f t="shared" ca="1" si="772"/>
        <v>0</v>
      </c>
      <c r="V236" s="125" t="str">
        <f t="shared" ca="1" si="670"/>
        <v>TATAPOWER22MAY240CE</v>
      </c>
      <c r="W236" s="166" t="e">
        <f ca="1">VLOOKUP($V236,Reference!BA:BD,4,0)</f>
        <v>#N/A</v>
      </c>
      <c r="X236" s="168">
        <f t="shared" ca="1" si="671"/>
        <v>0</v>
      </c>
      <c r="Y236" s="168">
        <f t="shared" ca="1" si="672"/>
        <v>0</v>
      </c>
      <c r="Z236" s="168">
        <f t="shared" ca="1" si="686"/>
        <v>0</v>
      </c>
      <c r="AA236" s="168">
        <f t="shared" ca="1" si="673"/>
        <v>0</v>
      </c>
      <c r="AB236" s="168">
        <f t="shared" ca="1" si="674"/>
        <v>0</v>
      </c>
      <c r="AC236" s="124">
        <f t="shared" ca="1" si="675"/>
        <v>0</v>
      </c>
      <c r="AD236" s="120">
        <f t="shared" ca="1" si="773"/>
        <v>-0.13698630136986301</v>
      </c>
      <c r="AE236" s="120">
        <f t="shared" ca="1" si="774"/>
        <v>20</v>
      </c>
      <c r="AF236" s="120"/>
      <c r="AG236" s="120"/>
      <c r="AH236" s="120">
        <f t="shared" ca="1" si="755"/>
        <v>5.484375</v>
      </c>
      <c r="AI236" s="120"/>
      <c r="AJ236" s="120">
        <f t="shared" ca="1" si="756"/>
        <v>0</v>
      </c>
      <c r="AK236" s="120"/>
      <c r="AL236" s="147"/>
      <c r="AM236" s="160"/>
      <c r="AN236" s="160"/>
      <c r="AO236" s="160"/>
      <c r="AP236" s="160"/>
      <c r="AQ236" s="160"/>
      <c r="AR236" s="160"/>
      <c r="AS236" s="160"/>
      <c r="AT236" s="160"/>
      <c r="AU236" s="160"/>
      <c r="AV236" s="160"/>
      <c r="AW236" s="160"/>
      <c r="AX236" s="160"/>
      <c r="AY236" s="160"/>
      <c r="AZ236" s="160"/>
      <c r="BA236" s="160"/>
      <c r="BB236" s="160"/>
      <c r="BC236" s="160"/>
      <c r="BD236" s="160"/>
      <c r="BE236" s="160"/>
      <c r="BF236" s="160"/>
      <c r="BG236" s="160"/>
      <c r="BS236" s="13">
        <v>2</v>
      </c>
      <c r="BT236" s="128">
        <v>44491</v>
      </c>
      <c r="BU236" s="121" t="s">
        <v>8</v>
      </c>
      <c r="BV236" s="120" t="s">
        <v>482</v>
      </c>
      <c r="BW236" s="121" t="s">
        <v>502</v>
      </c>
      <c r="BX236" s="120">
        <v>18400</v>
      </c>
      <c r="BY236" s="120">
        <v>41.7</v>
      </c>
      <c r="BZ236" s="120">
        <v>47.945</v>
      </c>
      <c r="CA236" s="124">
        <v>-3216.6708800000001</v>
      </c>
      <c r="CB236" s="120">
        <v>1.1497601918465228</v>
      </c>
      <c r="CC236" s="120">
        <v>500</v>
      </c>
      <c r="CD236" s="120">
        <v>50</v>
      </c>
      <c r="CE236" s="124">
        <v>20850</v>
      </c>
    </row>
    <row r="237" spans="1:83" hidden="1">
      <c r="A237" s="13">
        <f t="shared" ca="1" si="753"/>
        <v>230</v>
      </c>
      <c r="B237" s="128">
        <v>44692</v>
      </c>
      <c r="C237" s="121" t="s">
        <v>8</v>
      </c>
      <c r="D237" s="121">
        <v>1</v>
      </c>
      <c r="E237" s="120" t="s">
        <v>481</v>
      </c>
      <c r="F237" s="121" t="s">
        <v>130</v>
      </c>
      <c r="G237" s="120">
        <v>255</v>
      </c>
      <c r="H237" s="122">
        <v>44707</v>
      </c>
      <c r="I237" s="120">
        <v>3375</v>
      </c>
      <c r="J237" s="120">
        <v>1.45</v>
      </c>
      <c r="K237" s="120">
        <v>0.05</v>
      </c>
      <c r="L237" s="124">
        <f t="shared" ref="L237:L241" ca="1" si="775">IF(AND(K237&lt;&gt;0,I237&lt;&gt;0),(IF(C237="B",1,-1))*(K237-J237)*I237-AK237*2,0)*$D237*IF(MONTH($B$2)=MONTH($H237),1,0)</f>
        <v>0</v>
      </c>
      <c r="M237" s="124">
        <f t="shared" ref="M237:M241" ca="1" si="776">IF(AND(K237&lt;&gt;0,I237&lt;&gt;0),(IF(C237="B",1,-1))*(K237-J237)*I237-AK237*2,0)*$D237</f>
        <v>4725</v>
      </c>
      <c r="N237" s="120">
        <f t="shared" ref="N237:N241" ca="1" si="777">K237/$J237</f>
        <v>3.4482758620689655E-2</v>
      </c>
      <c r="O237" s="164">
        <f t="shared" ref="O237:O241" ca="1" si="778">J237*(1+$O$6*IF(C237="B",-1,1))</f>
        <v>1.8125</v>
      </c>
      <c r="P237" s="168">
        <f t="shared" ca="1" si="754"/>
        <v>4893.75</v>
      </c>
      <c r="Q237" s="168" t="e">
        <f t="shared" ref="Q237:Q241" ca="1" si="779">(W237-J237)*I237*IF(C237="B",1,-1)*IF(K237=0,1,0)</f>
        <v>#N/A</v>
      </c>
      <c r="R237" s="184">
        <f t="shared" ca="1" si="683"/>
        <v>0</v>
      </c>
      <c r="S237" s="124">
        <f t="shared" ref="S237:S241" ca="1" si="780">(1-$S$6)*J237</f>
        <v>0.14499999999999996</v>
      </c>
      <c r="T237" s="120">
        <f ca="1">VLOOKUP(TRIM($F237),Reference!B:C,2,0)</f>
        <v>221.6</v>
      </c>
      <c r="U237" s="181">
        <f t="shared" ref="U237:U241" ca="1" si="781">AC237</f>
        <v>0</v>
      </c>
      <c r="V237" s="125" t="str">
        <f t="shared" ca="1" si="670"/>
        <v>TATAPOWER22MAY255CE</v>
      </c>
      <c r="W237" s="166" t="e">
        <f ca="1">VLOOKUP($V237,Reference!BA:BD,4,0)</f>
        <v>#N/A</v>
      </c>
      <c r="X237" s="168">
        <f t="shared" ca="1" si="671"/>
        <v>0</v>
      </c>
      <c r="Y237" s="168">
        <f t="shared" ca="1" si="672"/>
        <v>0</v>
      </c>
      <c r="Z237" s="168">
        <f t="shared" ca="1" si="686"/>
        <v>0</v>
      </c>
      <c r="AA237" s="168">
        <f t="shared" ca="1" si="673"/>
        <v>0</v>
      </c>
      <c r="AB237" s="168">
        <f t="shared" ca="1" si="674"/>
        <v>0</v>
      </c>
      <c r="AC237" s="124">
        <f t="shared" ca="1" si="675"/>
        <v>0</v>
      </c>
      <c r="AD237" s="120">
        <f t="shared" ref="AD237:AD241" ca="1" si="782">(H237-TODAY())/365</f>
        <v>-0.13698630136986301</v>
      </c>
      <c r="AE237" s="120">
        <f t="shared" ref="AE237:AE241" ca="1" si="783">IF(I237&lt;&gt;0,20,0)</f>
        <v>20</v>
      </c>
      <c r="AF237" s="120"/>
      <c r="AG237" s="120"/>
      <c r="AH237" s="120">
        <f t="shared" ca="1" si="755"/>
        <v>2.4468749999999999</v>
      </c>
      <c r="AI237" s="120"/>
      <c r="AJ237" s="120">
        <f t="shared" ca="1" si="756"/>
        <v>0</v>
      </c>
      <c r="AK237" s="120"/>
      <c r="AL237" s="147"/>
      <c r="AM237" s="160"/>
      <c r="AN237" s="160"/>
      <c r="AO237" s="160"/>
      <c r="AP237" s="160"/>
      <c r="AQ237" s="160"/>
      <c r="AR237" s="160"/>
      <c r="AS237" s="160"/>
      <c r="AT237" s="160"/>
      <c r="AU237" s="160"/>
      <c r="AV237" s="160"/>
      <c r="AW237" s="160"/>
      <c r="AX237" s="160"/>
      <c r="AY237" s="160"/>
      <c r="AZ237" s="160"/>
      <c r="BA237" s="160"/>
      <c r="BB237" s="160"/>
      <c r="BC237" s="160"/>
      <c r="BD237" s="160"/>
      <c r="BE237" s="160"/>
      <c r="BF237" s="160"/>
      <c r="BG237" s="160"/>
      <c r="BS237" s="13">
        <v>2</v>
      </c>
      <c r="BT237" s="128">
        <v>44491</v>
      </c>
      <c r="BU237" s="121" t="s">
        <v>8</v>
      </c>
      <c r="BV237" s="120" t="s">
        <v>482</v>
      </c>
      <c r="BW237" s="121" t="s">
        <v>502</v>
      </c>
      <c r="BX237" s="120">
        <v>18400</v>
      </c>
      <c r="BY237" s="120">
        <v>41.7</v>
      </c>
      <c r="BZ237" s="120">
        <v>47.945</v>
      </c>
      <c r="CA237" s="124">
        <v>-3216.6708800000001</v>
      </c>
      <c r="CB237" s="120">
        <v>1.1497601918465228</v>
      </c>
      <c r="CC237" s="120">
        <v>500</v>
      </c>
      <c r="CD237" s="120">
        <v>50</v>
      </c>
      <c r="CE237" s="124">
        <v>20850</v>
      </c>
    </row>
    <row r="238" spans="1:83" hidden="1">
      <c r="A238" s="13">
        <f t="shared" ca="1" si="753"/>
        <v>231</v>
      </c>
      <c r="B238" s="128">
        <v>44692</v>
      </c>
      <c r="C238" s="121" t="s">
        <v>8</v>
      </c>
      <c r="D238" s="121">
        <v>1</v>
      </c>
      <c r="E238" s="120" t="s">
        <v>481</v>
      </c>
      <c r="F238" s="121" t="s">
        <v>399</v>
      </c>
      <c r="G238" s="120">
        <v>1640</v>
      </c>
      <c r="H238" s="122">
        <v>44707</v>
      </c>
      <c r="I238" s="120">
        <v>575</v>
      </c>
      <c r="J238" s="120">
        <v>18.7</v>
      </c>
      <c r="K238" s="120">
        <v>0.05</v>
      </c>
      <c r="L238" s="124">
        <f t="shared" ca="1" si="775"/>
        <v>0</v>
      </c>
      <c r="M238" s="124">
        <f t="shared" ca="1" si="776"/>
        <v>10723.75</v>
      </c>
      <c r="N238" s="120">
        <f t="shared" ca="1" si="777"/>
        <v>2.6737967914438505E-3</v>
      </c>
      <c r="O238" s="164">
        <f t="shared" ca="1" si="778"/>
        <v>23.375</v>
      </c>
      <c r="P238" s="168">
        <f t="shared" ca="1" si="754"/>
        <v>10752.5</v>
      </c>
      <c r="Q238" s="168" t="e">
        <f t="shared" ca="1" si="779"/>
        <v>#N/A</v>
      </c>
      <c r="R238" s="184">
        <f t="shared" ca="1" si="683"/>
        <v>0</v>
      </c>
      <c r="S238" s="124">
        <f t="shared" ca="1" si="780"/>
        <v>1.8699999999999994</v>
      </c>
      <c r="T238" s="120">
        <f ca="1">VLOOKUP(TRIM($F238),Reference!B:C,2,0)</f>
        <v>1646</v>
      </c>
      <c r="U238" s="181">
        <f t="shared" ca="1" si="781"/>
        <v>0</v>
      </c>
      <c r="V238" s="125" t="str">
        <f t="shared" ca="1" si="670"/>
        <v>LT22MAY1640CE</v>
      </c>
      <c r="W238" s="166" t="e">
        <f ca="1">VLOOKUP($V238,Reference!BA:BD,4,0)</f>
        <v>#N/A</v>
      </c>
      <c r="X238" s="168">
        <f t="shared" ca="1" si="671"/>
        <v>0</v>
      </c>
      <c r="Y238" s="168">
        <f t="shared" ca="1" si="672"/>
        <v>0</v>
      </c>
      <c r="Z238" s="168">
        <f t="shared" ca="1" si="686"/>
        <v>0</v>
      </c>
      <c r="AA238" s="168">
        <f t="shared" ca="1" si="673"/>
        <v>0</v>
      </c>
      <c r="AB238" s="168">
        <f t="shared" ca="1" si="674"/>
        <v>0</v>
      </c>
      <c r="AC238" s="124">
        <f t="shared" ca="1" si="675"/>
        <v>0</v>
      </c>
      <c r="AD238" s="120">
        <f t="shared" ca="1" si="782"/>
        <v>-0.13698630136986301</v>
      </c>
      <c r="AE238" s="120">
        <f t="shared" ca="1" si="783"/>
        <v>20</v>
      </c>
      <c r="AF238" s="120"/>
      <c r="AG238" s="120"/>
      <c r="AH238" s="120">
        <f t="shared" ca="1" si="755"/>
        <v>5.3762499999999998</v>
      </c>
      <c r="AI238" s="120"/>
      <c r="AJ238" s="120">
        <f t="shared" ca="1" si="756"/>
        <v>0</v>
      </c>
      <c r="AK238" s="120"/>
      <c r="AL238" s="147"/>
      <c r="AM238" s="160"/>
      <c r="AN238" s="160"/>
      <c r="AO238" s="160"/>
      <c r="AP238" s="160"/>
      <c r="AQ238" s="160"/>
      <c r="AR238" s="160"/>
      <c r="AS238" s="160"/>
      <c r="AT238" s="160"/>
      <c r="AU238" s="160"/>
      <c r="AV238" s="160"/>
      <c r="AW238" s="160"/>
      <c r="AX238" s="160"/>
      <c r="AY238" s="160"/>
      <c r="AZ238" s="160"/>
      <c r="BA238" s="160"/>
      <c r="BB238" s="160"/>
      <c r="BC238" s="160"/>
      <c r="BD238" s="160"/>
      <c r="BE238" s="160"/>
      <c r="BF238" s="160"/>
      <c r="BG238" s="160"/>
      <c r="BS238" s="13">
        <v>2</v>
      </c>
      <c r="BT238" s="128">
        <v>44491</v>
      </c>
      <c r="BU238" s="121" t="s">
        <v>8</v>
      </c>
      <c r="BV238" s="120" t="s">
        <v>482</v>
      </c>
      <c r="BW238" s="121" t="s">
        <v>502</v>
      </c>
      <c r="BX238" s="120">
        <v>18400</v>
      </c>
      <c r="BY238" s="120">
        <v>41.7</v>
      </c>
      <c r="BZ238" s="120">
        <v>47.945</v>
      </c>
      <c r="CA238" s="124">
        <v>-3216.6708800000001</v>
      </c>
      <c r="CB238" s="120">
        <v>1.1497601918465228</v>
      </c>
      <c r="CC238" s="120">
        <v>500</v>
      </c>
      <c r="CD238" s="120">
        <v>50</v>
      </c>
      <c r="CE238" s="124">
        <v>20850</v>
      </c>
    </row>
    <row r="239" spans="1:83" hidden="1">
      <c r="A239" s="13">
        <f t="shared" ca="1" si="753"/>
        <v>232</v>
      </c>
      <c r="B239" s="128">
        <v>44692</v>
      </c>
      <c r="C239" s="121" t="s">
        <v>8</v>
      </c>
      <c r="D239" s="121">
        <v>1</v>
      </c>
      <c r="E239" s="120" t="s">
        <v>481</v>
      </c>
      <c r="F239" s="121" t="s">
        <v>399</v>
      </c>
      <c r="G239" s="120">
        <v>1620</v>
      </c>
      <c r="H239" s="122">
        <v>44707</v>
      </c>
      <c r="I239" s="120">
        <v>575</v>
      </c>
      <c r="J239" s="120">
        <v>23.3</v>
      </c>
      <c r="K239" s="120">
        <v>0.05</v>
      </c>
      <c r="L239" s="124">
        <f t="shared" ca="1" si="775"/>
        <v>0</v>
      </c>
      <c r="M239" s="124">
        <f t="shared" ca="1" si="776"/>
        <v>13368.75</v>
      </c>
      <c r="N239" s="120">
        <f t="shared" ca="1" si="777"/>
        <v>2.1459227467811159E-3</v>
      </c>
      <c r="O239" s="164">
        <f t="shared" ca="1" si="778"/>
        <v>29.125</v>
      </c>
      <c r="P239" s="168">
        <f t="shared" ca="1" si="754"/>
        <v>13397.5</v>
      </c>
      <c r="Q239" s="168" t="e">
        <f t="shared" ca="1" si="779"/>
        <v>#N/A</v>
      </c>
      <c r="R239" s="184">
        <f t="shared" ca="1" si="683"/>
        <v>0</v>
      </c>
      <c r="S239" s="124">
        <f t="shared" ca="1" si="780"/>
        <v>2.3299999999999996</v>
      </c>
      <c r="T239" s="120">
        <f ca="1">VLOOKUP(TRIM($F239),Reference!B:C,2,0)</f>
        <v>1646</v>
      </c>
      <c r="U239" s="181">
        <f t="shared" ca="1" si="781"/>
        <v>0</v>
      </c>
      <c r="V239" s="125" t="str">
        <f t="shared" ca="1" si="670"/>
        <v>LT22MAY1620CE</v>
      </c>
      <c r="W239" s="166" t="e">
        <f ca="1">VLOOKUP($V239,Reference!BA:BD,4,0)</f>
        <v>#N/A</v>
      </c>
      <c r="X239" s="168">
        <f t="shared" ca="1" si="671"/>
        <v>0</v>
      </c>
      <c r="Y239" s="168">
        <f t="shared" ca="1" si="672"/>
        <v>0</v>
      </c>
      <c r="Z239" s="168">
        <f t="shared" ca="1" si="686"/>
        <v>0</v>
      </c>
      <c r="AA239" s="168">
        <f t="shared" ca="1" si="673"/>
        <v>0</v>
      </c>
      <c r="AB239" s="168">
        <f t="shared" ca="1" si="674"/>
        <v>0</v>
      </c>
      <c r="AC239" s="124">
        <f t="shared" ca="1" si="675"/>
        <v>0</v>
      </c>
      <c r="AD239" s="120">
        <f t="shared" ca="1" si="782"/>
        <v>-0.13698630136986301</v>
      </c>
      <c r="AE239" s="120">
        <f t="shared" ca="1" si="783"/>
        <v>20</v>
      </c>
      <c r="AF239" s="120"/>
      <c r="AG239" s="120"/>
      <c r="AH239" s="120">
        <f t="shared" ca="1" si="755"/>
        <v>6.6987500000000004</v>
      </c>
      <c r="AI239" s="120"/>
      <c r="AJ239" s="120">
        <f t="shared" ca="1" si="756"/>
        <v>0</v>
      </c>
      <c r="AK239" s="120"/>
      <c r="AL239" s="147"/>
      <c r="AM239" s="160"/>
      <c r="AN239" s="160"/>
      <c r="AO239" s="160"/>
      <c r="AP239" s="160"/>
      <c r="AQ239" s="160"/>
      <c r="AR239" s="160"/>
      <c r="AS239" s="160"/>
      <c r="AT239" s="160"/>
      <c r="AU239" s="160"/>
      <c r="AV239" s="160"/>
      <c r="AW239" s="160"/>
      <c r="AX239" s="160"/>
      <c r="AY239" s="160"/>
      <c r="AZ239" s="160"/>
      <c r="BA239" s="160"/>
      <c r="BB239" s="160"/>
      <c r="BC239" s="160"/>
      <c r="BD239" s="160"/>
      <c r="BE239" s="160"/>
      <c r="BF239" s="160"/>
      <c r="BG239" s="160"/>
      <c r="BS239" s="13">
        <v>2</v>
      </c>
      <c r="BT239" s="128">
        <v>44491</v>
      </c>
      <c r="BU239" s="121" t="s">
        <v>8</v>
      </c>
      <c r="BV239" s="120" t="s">
        <v>482</v>
      </c>
      <c r="BW239" s="121" t="s">
        <v>502</v>
      </c>
      <c r="BX239" s="120">
        <v>18400</v>
      </c>
      <c r="BY239" s="120">
        <v>41.7</v>
      </c>
      <c r="BZ239" s="120">
        <v>47.945</v>
      </c>
      <c r="CA239" s="124">
        <v>-3216.6708800000001</v>
      </c>
      <c r="CB239" s="120">
        <v>1.1497601918465228</v>
      </c>
      <c r="CC239" s="120">
        <v>500</v>
      </c>
      <c r="CD239" s="120">
        <v>50</v>
      </c>
      <c r="CE239" s="124">
        <v>20850</v>
      </c>
    </row>
    <row r="240" spans="1:83" hidden="1">
      <c r="A240" s="13">
        <f t="shared" ca="1" si="753"/>
        <v>233</v>
      </c>
      <c r="B240" s="128">
        <v>44693</v>
      </c>
      <c r="C240" s="121" t="s">
        <v>6</v>
      </c>
      <c r="D240" s="121">
        <v>1</v>
      </c>
      <c r="E240" s="120" t="s">
        <v>632</v>
      </c>
      <c r="F240" s="121" t="s">
        <v>502</v>
      </c>
      <c r="G240" s="120"/>
      <c r="H240" s="122">
        <v>44742</v>
      </c>
      <c r="I240" s="120">
        <v>50</v>
      </c>
      <c r="J240" s="120">
        <v>15821.15</v>
      </c>
      <c r="K240" s="120">
        <v>16578.95</v>
      </c>
      <c r="L240" s="124">
        <f t="shared" ca="1" si="775"/>
        <v>0</v>
      </c>
      <c r="M240" s="124">
        <f t="shared" ca="1" si="776"/>
        <v>37890.000000000058</v>
      </c>
      <c r="N240" s="120">
        <f t="shared" ca="1" si="777"/>
        <v>1.0478979088119384</v>
      </c>
      <c r="O240" s="164">
        <f t="shared" ca="1" si="778"/>
        <v>11865.862499999999</v>
      </c>
      <c r="P240" s="168">
        <f t="shared" ca="1" si="754"/>
        <v>791057.5</v>
      </c>
      <c r="Q240" s="168" t="e">
        <f t="shared" ca="1" si="779"/>
        <v>#N/A</v>
      </c>
      <c r="R240" s="184">
        <f t="shared" ca="1" si="683"/>
        <v>0</v>
      </c>
      <c r="S240" s="124">
        <f t="shared" ca="1" si="780"/>
        <v>1582.1149999999996</v>
      </c>
      <c r="T240" s="120">
        <f ca="1">VLOOKUP(TRIM($F240),Reference!B:C,2,0)</f>
        <v>15938.65</v>
      </c>
      <c r="U240" s="181">
        <f t="shared" ca="1" si="781"/>
        <v>0</v>
      </c>
      <c r="V240" s="125" t="str">
        <f t="shared" ca="1" si="670"/>
        <v>NIFTY22JUNFUT</v>
      </c>
      <c r="W240" s="166" t="e">
        <f ca="1">VLOOKUP($V240,Reference!BA:BD,4,0)</f>
        <v>#N/A</v>
      </c>
      <c r="X240" s="168">
        <f t="shared" ca="1" si="671"/>
        <v>0</v>
      </c>
      <c r="Y240" s="168">
        <f t="shared" ca="1" si="672"/>
        <v>0</v>
      </c>
      <c r="Z240" s="168">
        <f t="shared" ca="1" si="686"/>
        <v>0</v>
      </c>
      <c r="AA240" s="168">
        <f t="shared" ca="1" si="673"/>
        <v>0</v>
      </c>
      <c r="AB240" s="168">
        <f t="shared" ca="1" si="674"/>
        <v>0</v>
      </c>
      <c r="AC240" s="124">
        <f t="shared" ca="1" si="675"/>
        <v>0</v>
      </c>
      <c r="AD240" s="120">
        <f t="shared" ca="1" si="782"/>
        <v>-4.1095890410958902E-2</v>
      </c>
      <c r="AE240" s="120">
        <f t="shared" ca="1" si="783"/>
        <v>20</v>
      </c>
      <c r="AF240" s="120"/>
      <c r="AG240" s="120"/>
      <c r="AH240" s="120">
        <f t="shared" ca="1" si="755"/>
        <v>0</v>
      </c>
      <c r="AI240" s="120"/>
      <c r="AJ240" s="120">
        <f t="shared" ca="1" si="756"/>
        <v>23.731725000000001</v>
      </c>
      <c r="AK240" s="120"/>
      <c r="AL240" s="147"/>
      <c r="AM240" s="160"/>
      <c r="AN240" s="160"/>
      <c r="AO240" s="160"/>
      <c r="AP240" s="160"/>
      <c r="AQ240" s="160"/>
      <c r="AR240" s="160"/>
      <c r="AS240" s="160"/>
      <c r="AT240" s="160"/>
      <c r="AU240" s="160"/>
      <c r="AV240" s="160"/>
      <c r="AW240" s="160"/>
      <c r="AX240" s="160"/>
      <c r="AY240" s="160"/>
      <c r="AZ240" s="160"/>
      <c r="BA240" s="160"/>
      <c r="BB240" s="160"/>
      <c r="BC240" s="160"/>
      <c r="BD240" s="160"/>
      <c r="BE240" s="160"/>
      <c r="BF240" s="160"/>
      <c r="BG240" s="160"/>
      <c r="BS240" s="13">
        <v>2</v>
      </c>
      <c r="BT240" s="128">
        <v>44491</v>
      </c>
      <c r="BU240" s="121" t="s">
        <v>8</v>
      </c>
      <c r="BV240" s="120" t="s">
        <v>482</v>
      </c>
      <c r="BW240" s="121" t="s">
        <v>502</v>
      </c>
      <c r="BX240" s="120">
        <v>18400</v>
      </c>
      <c r="BY240" s="120">
        <v>41.7</v>
      </c>
      <c r="BZ240" s="120">
        <v>47.945</v>
      </c>
      <c r="CA240" s="124">
        <v>-3216.6708800000001</v>
      </c>
      <c r="CB240" s="120">
        <v>1.1497601918465228</v>
      </c>
      <c r="CC240" s="120">
        <v>500</v>
      </c>
      <c r="CD240" s="120">
        <v>50</v>
      </c>
      <c r="CE240" s="124">
        <v>20850</v>
      </c>
    </row>
    <row r="241" spans="1:83" hidden="1">
      <c r="A241" s="13">
        <f t="shared" ca="1" si="753"/>
        <v>234</v>
      </c>
      <c r="B241" s="128">
        <v>44693</v>
      </c>
      <c r="C241" s="121" t="s">
        <v>8</v>
      </c>
      <c r="D241" s="121">
        <v>1</v>
      </c>
      <c r="E241" s="120" t="s">
        <v>481</v>
      </c>
      <c r="F241" s="121" t="s">
        <v>502</v>
      </c>
      <c r="G241" s="120">
        <v>16500</v>
      </c>
      <c r="H241" s="122">
        <v>44707</v>
      </c>
      <c r="I241" s="120">
        <v>50</v>
      </c>
      <c r="J241" s="120">
        <v>51.2</v>
      </c>
      <c r="K241" s="120">
        <v>0.3</v>
      </c>
      <c r="L241" s="124">
        <f t="shared" ca="1" si="775"/>
        <v>0</v>
      </c>
      <c r="M241" s="124">
        <f t="shared" ca="1" si="776"/>
        <v>2545.0000000000005</v>
      </c>
      <c r="N241" s="120">
        <f t="shared" ca="1" si="777"/>
        <v>5.8593749999999991E-3</v>
      </c>
      <c r="O241" s="164">
        <f t="shared" ca="1" si="778"/>
        <v>64</v>
      </c>
      <c r="P241" s="168">
        <f t="shared" ca="1" si="754"/>
        <v>2560</v>
      </c>
      <c r="Q241" s="168" t="e">
        <f t="shared" ca="1" si="779"/>
        <v>#N/A</v>
      </c>
      <c r="R241" s="184">
        <f t="shared" ca="1" si="683"/>
        <v>0</v>
      </c>
      <c r="S241" s="124">
        <f t="shared" ca="1" si="780"/>
        <v>5.1199999999999992</v>
      </c>
      <c r="T241" s="120">
        <f ca="1">VLOOKUP(TRIM($F241),Reference!B:C,2,0)</f>
        <v>15938.65</v>
      </c>
      <c r="U241" s="181">
        <f t="shared" ca="1" si="781"/>
        <v>0</v>
      </c>
      <c r="V241" s="125" t="str">
        <f t="shared" ca="1" si="670"/>
        <v>NIFTY22MAY16500CE</v>
      </c>
      <c r="W241" s="166" t="e">
        <f ca="1">VLOOKUP($V241,Reference!BA:BD,4,0)</f>
        <v>#N/A</v>
      </c>
      <c r="X241" s="168">
        <f t="shared" ca="1" si="671"/>
        <v>0</v>
      </c>
      <c r="Y241" s="168">
        <f t="shared" ca="1" si="672"/>
        <v>0</v>
      </c>
      <c r="Z241" s="168">
        <f t="shared" ca="1" si="686"/>
        <v>0</v>
      </c>
      <c r="AA241" s="168">
        <f t="shared" ca="1" si="673"/>
        <v>0</v>
      </c>
      <c r="AB241" s="168">
        <f t="shared" ca="1" si="674"/>
        <v>0</v>
      </c>
      <c r="AC241" s="124">
        <f t="shared" ca="1" si="675"/>
        <v>0</v>
      </c>
      <c r="AD241" s="120">
        <f t="shared" ca="1" si="782"/>
        <v>-0.13698630136986301</v>
      </c>
      <c r="AE241" s="120">
        <f t="shared" ca="1" si="783"/>
        <v>20</v>
      </c>
      <c r="AF241" s="120"/>
      <c r="AG241" s="120"/>
      <c r="AH241" s="120">
        <f t="shared" ca="1" si="755"/>
        <v>1.28</v>
      </c>
      <c r="AI241" s="120"/>
      <c r="AJ241" s="120">
        <f t="shared" ca="1" si="756"/>
        <v>0</v>
      </c>
      <c r="AK241" s="120"/>
      <c r="AL241" s="147"/>
      <c r="AM241" s="160"/>
      <c r="AN241" s="160"/>
      <c r="AO241" s="160"/>
      <c r="AP241" s="160"/>
      <c r="AQ241" s="160"/>
      <c r="AR241" s="160"/>
      <c r="AS241" s="160"/>
      <c r="AT241" s="160"/>
      <c r="AU241" s="160"/>
      <c r="AV241" s="160"/>
      <c r="AW241" s="160"/>
      <c r="AX241" s="160"/>
      <c r="AY241" s="160"/>
      <c r="AZ241" s="160"/>
      <c r="BA241" s="160"/>
      <c r="BB241" s="160"/>
      <c r="BC241" s="160"/>
      <c r="BD241" s="160"/>
      <c r="BE241" s="160"/>
      <c r="BF241" s="160"/>
      <c r="BG241" s="160"/>
      <c r="BS241" s="13">
        <v>2</v>
      </c>
      <c r="BT241" s="128">
        <v>44491</v>
      </c>
      <c r="BU241" s="121" t="s">
        <v>8</v>
      </c>
      <c r="BV241" s="120" t="s">
        <v>482</v>
      </c>
      <c r="BW241" s="121" t="s">
        <v>502</v>
      </c>
      <c r="BX241" s="120">
        <v>18400</v>
      </c>
      <c r="BY241" s="120">
        <v>41.7</v>
      </c>
      <c r="BZ241" s="120">
        <v>47.945</v>
      </c>
      <c r="CA241" s="124">
        <v>-3216.6708800000001</v>
      </c>
      <c r="CB241" s="120">
        <v>1.1497601918465228</v>
      </c>
      <c r="CC241" s="120">
        <v>500</v>
      </c>
      <c r="CD241" s="120">
        <v>50</v>
      </c>
      <c r="CE241" s="124">
        <v>20850</v>
      </c>
    </row>
    <row r="242" spans="1:83" hidden="1">
      <c r="A242" s="13">
        <f t="shared" ca="1" si="753"/>
        <v>235</v>
      </c>
      <c r="B242" s="128">
        <v>44693</v>
      </c>
      <c r="C242" s="121" t="s">
        <v>8</v>
      </c>
      <c r="D242" s="121">
        <v>1</v>
      </c>
      <c r="E242" s="120" t="s">
        <v>481</v>
      </c>
      <c r="F242" s="121" t="s">
        <v>502</v>
      </c>
      <c r="G242" s="120">
        <v>16500</v>
      </c>
      <c r="H242" s="122">
        <v>44707</v>
      </c>
      <c r="I242" s="120">
        <v>50</v>
      </c>
      <c r="J242" s="120">
        <v>52.4</v>
      </c>
      <c r="K242" s="120">
        <v>0.3</v>
      </c>
      <c r="L242" s="124">
        <f t="shared" ref="L242:L245" ca="1" si="784">IF(AND(K242&lt;&gt;0,I242&lt;&gt;0),(IF(C242="B",1,-1))*(K242-J242)*I242-AK242*2,0)*$D242*IF(MONTH($B$2)=MONTH($H242),1,0)</f>
        <v>0</v>
      </c>
      <c r="M242" s="124">
        <f t="shared" ref="M242:M245" ca="1" si="785">IF(AND(K242&lt;&gt;0,I242&lt;&gt;0),(IF(C242="B",1,-1))*(K242-J242)*I242-AK242*2,0)*$D242</f>
        <v>2605</v>
      </c>
      <c r="N242" s="120">
        <f t="shared" ref="N242:N245" ca="1" si="786">K242/$J242</f>
        <v>5.7251908396946565E-3</v>
      </c>
      <c r="O242" s="164">
        <f t="shared" ref="O242:O245" ca="1" si="787">J242*(1+$O$6*IF(C242="B",-1,1))</f>
        <v>65.5</v>
      </c>
      <c r="P242" s="168">
        <f t="shared" ca="1" si="754"/>
        <v>2620</v>
      </c>
      <c r="Q242" s="168" t="e">
        <f t="shared" ref="Q242:Q245" ca="1" si="788">(W242-J242)*I242*IF(C242="B",1,-1)*IF(K242=0,1,0)</f>
        <v>#N/A</v>
      </c>
      <c r="R242" s="184">
        <f t="shared" ca="1" si="683"/>
        <v>0</v>
      </c>
      <c r="S242" s="124">
        <f t="shared" ref="S242:S245" ca="1" si="789">(1-$S$6)*J242</f>
        <v>5.2399999999999984</v>
      </c>
      <c r="T242" s="120">
        <f ca="1">VLOOKUP(TRIM($F242),Reference!B:C,2,0)</f>
        <v>15938.65</v>
      </c>
      <c r="U242" s="181">
        <f t="shared" ref="U242:U245" ca="1" si="790">AC242</f>
        <v>0</v>
      </c>
      <c r="V242" s="125" t="str">
        <f t="shared" ca="1" si="670"/>
        <v>NIFTY22MAY16500CE</v>
      </c>
      <c r="W242" s="166" t="e">
        <f ca="1">VLOOKUP($V242,Reference!BA:BD,4,0)</f>
        <v>#N/A</v>
      </c>
      <c r="X242" s="168">
        <f t="shared" ca="1" si="671"/>
        <v>0</v>
      </c>
      <c r="Y242" s="168">
        <f t="shared" ca="1" si="672"/>
        <v>0</v>
      </c>
      <c r="Z242" s="168">
        <f t="shared" ca="1" si="686"/>
        <v>0</v>
      </c>
      <c r="AA242" s="168">
        <f t="shared" ca="1" si="673"/>
        <v>0</v>
      </c>
      <c r="AB242" s="168">
        <f t="shared" ca="1" si="674"/>
        <v>0</v>
      </c>
      <c r="AC242" s="124">
        <f t="shared" ca="1" si="675"/>
        <v>0</v>
      </c>
      <c r="AD242" s="120">
        <f t="shared" ref="AD242:AD245" ca="1" si="791">(H242-TODAY())/365</f>
        <v>-0.13698630136986301</v>
      </c>
      <c r="AE242" s="120">
        <f t="shared" ref="AE242:AE245" ca="1" si="792">IF(I242&lt;&gt;0,20,0)</f>
        <v>20</v>
      </c>
      <c r="AF242" s="120"/>
      <c r="AG242" s="120"/>
      <c r="AH242" s="120">
        <f t="shared" ca="1" si="755"/>
        <v>1.31</v>
      </c>
      <c r="AI242" s="120"/>
      <c r="AJ242" s="120">
        <f t="shared" ca="1" si="756"/>
        <v>0</v>
      </c>
      <c r="AK242" s="120"/>
      <c r="AL242" s="147"/>
      <c r="AM242" s="160"/>
      <c r="AN242" s="160"/>
      <c r="AO242" s="160"/>
      <c r="AP242" s="160"/>
      <c r="AQ242" s="160"/>
      <c r="AR242" s="160"/>
      <c r="AS242" s="160"/>
      <c r="AT242" s="160"/>
      <c r="AU242" s="160"/>
      <c r="AV242" s="160"/>
      <c r="AW242" s="160"/>
      <c r="AX242" s="160"/>
      <c r="AY242" s="160"/>
      <c r="AZ242" s="160"/>
      <c r="BA242" s="160"/>
      <c r="BB242" s="160"/>
      <c r="BC242" s="160"/>
      <c r="BD242" s="160"/>
      <c r="BE242" s="160"/>
      <c r="BF242" s="160"/>
      <c r="BG242" s="160"/>
      <c r="BS242" s="13">
        <v>2</v>
      </c>
      <c r="BT242" s="128">
        <v>44491</v>
      </c>
      <c r="BU242" s="121" t="s">
        <v>8</v>
      </c>
      <c r="BV242" s="120" t="s">
        <v>482</v>
      </c>
      <c r="BW242" s="121" t="s">
        <v>502</v>
      </c>
      <c r="BX242" s="120">
        <v>18400</v>
      </c>
      <c r="BY242" s="120">
        <v>41.7</v>
      </c>
      <c r="BZ242" s="120">
        <v>47.945</v>
      </c>
      <c r="CA242" s="124">
        <v>-3216.6708800000001</v>
      </c>
      <c r="CB242" s="120">
        <v>1.1497601918465228</v>
      </c>
      <c r="CC242" s="120">
        <v>500</v>
      </c>
      <c r="CD242" s="120">
        <v>50</v>
      </c>
      <c r="CE242" s="124">
        <v>20850</v>
      </c>
    </row>
    <row r="243" spans="1:83" hidden="1">
      <c r="A243" s="13">
        <f t="shared" ca="1" si="753"/>
        <v>236</v>
      </c>
      <c r="B243" s="128">
        <v>44693</v>
      </c>
      <c r="C243" s="121" t="s">
        <v>8</v>
      </c>
      <c r="D243" s="121">
        <v>1</v>
      </c>
      <c r="E243" s="120" t="s">
        <v>632</v>
      </c>
      <c r="F243" s="121" t="s">
        <v>130</v>
      </c>
      <c r="G243" s="120"/>
      <c r="H243" s="122">
        <v>44742</v>
      </c>
      <c r="I243" s="120">
        <v>3375</v>
      </c>
      <c r="J243" s="120">
        <v>218.75</v>
      </c>
      <c r="K243" s="120">
        <v>221.4</v>
      </c>
      <c r="L243" s="124">
        <f t="shared" ca="1" si="784"/>
        <v>0</v>
      </c>
      <c r="M243" s="124">
        <f t="shared" ca="1" si="785"/>
        <v>-8943.75000000002</v>
      </c>
      <c r="N243" s="120">
        <f t="shared" ca="1" si="786"/>
        <v>1.0121142857142857</v>
      </c>
      <c r="O243" s="164">
        <f t="shared" ca="1" si="787"/>
        <v>273.4375</v>
      </c>
      <c r="P243" s="168">
        <f t="shared" ca="1" si="754"/>
        <v>738281.25</v>
      </c>
      <c r="Q243" s="168" t="e">
        <f t="shared" ca="1" si="788"/>
        <v>#N/A</v>
      </c>
      <c r="R243" s="184">
        <f t="shared" ca="1" si="683"/>
        <v>0</v>
      </c>
      <c r="S243" s="124">
        <f t="shared" ca="1" si="789"/>
        <v>21.874999999999996</v>
      </c>
      <c r="T243" s="120">
        <f ca="1">VLOOKUP(TRIM($F243),Reference!B:C,2,0)</f>
        <v>221.6</v>
      </c>
      <c r="U243" s="181">
        <f t="shared" ca="1" si="790"/>
        <v>0</v>
      </c>
      <c r="V243" s="125" t="str">
        <f t="shared" ca="1" si="670"/>
        <v>TATAPOWER22JUNFUT</v>
      </c>
      <c r="W243" s="166" t="e">
        <f ca="1">VLOOKUP($V243,Reference!BA:BD,4,0)</f>
        <v>#N/A</v>
      </c>
      <c r="X243" s="168">
        <f t="shared" ca="1" si="671"/>
        <v>0</v>
      </c>
      <c r="Y243" s="168">
        <f t="shared" ca="1" si="672"/>
        <v>0</v>
      </c>
      <c r="Z243" s="168">
        <f t="shared" ca="1" si="686"/>
        <v>0</v>
      </c>
      <c r="AA243" s="168">
        <f t="shared" ca="1" si="673"/>
        <v>0</v>
      </c>
      <c r="AB243" s="168">
        <f t="shared" ca="1" si="674"/>
        <v>0</v>
      </c>
      <c r="AC243" s="124">
        <f t="shared" ca="1" si="675"/>
        <v>0</v>
      </c>
      <c r="AD243" s="120">
        <f t="shared" ca="1" si="791"/>
        <v>-4.1095890410958902E-2</v>
      </c>
      <c r="AE243" s="120">
        <f t="shared" ca="1" si="792"/>
        <v>20</v>
      </c>
      <c r="AF243" s="120"/>
      <c r="AG243" s="120"/>
      <c r="AH243" s="120">
        <f t="shared" ca="1" si="755"/>
        <v>369.140625</v>
      </c>
      <c r="AI243" s="120"/>
      <c r="AJ243" s="120">
        <f t="shared" ca="1" si="756"/>
        <v>0</v>
      </c>
      <c r="AK243" s="120"/>
      <c r="AL243" s="147"/>
      <c r="AM243" s="160"/>
      <c r="AN243" s="160"/>
      <c r="AO243" s="160"/>
      <c r="AP243" s="160"/>
      <c r="AQ243" s="160"/>
      <c r="AR243" s="160"/>
      <c r="AS243" s="160"/>
      <c r="AT243" s="160"/>
      <c r="AU243" s="160"/>
      <c r="AV243" s="160"/>
      <c r="AW243" s="160"/>
      <c r="AX243" s="160"/>
      <c r="AY243" s="160"/>
      <c r="AZ243" s="160"/>
      <c r="BA243" s="160"/>
      <c r="BB243" s="160"/>
      <c r="BC243" s="160"/>
      <c r="BD243" s="160"/>
      <c r="BE243" s="160"/>
      <c r="BF243" s="160"/>
      <c r="BG243" s="160"/>
      <c r="BS243" s="13">
        <v>2</v>
      </c>
      <c r="BT243" s="128">
        <v>44491</v>
      </c>
      <c r="BU243" s="121" t="s">
        <v>8</v>
      </c>
      <c r="BV243" s="120" t="s">
        <v>482</v>
      </c>
      <c r="BW243" s="121" t="s">
        <v>502</v>
      </c>
      <c r="BX243" s="120">
        <v>18400</v>
      </c>
      <c r="BY243" s="120">
        <v>41.7</v>
      </c>
      <c r="BZ243" s="120">
        <v>47.945</v>
      </c>
      <c r="CA243" s="124">
        <v>-3216.6708800000001</v>
      </c>
      <c r="CB243" s="120">
        <v>1.1497601918465228</v>
      </c>
      <c r="CC243" s="120">
        <v>500</v>
      </c>
      <c r="CD243" s="120">
        <v>50</v>
      </c>
      <c r="CE243" s="124">
        <v>20850</v>
      </c>
    </row>
    <row r="244" spans="1:83" hidden="1">
      <c r="A244" s="13">
        <f t="shared" ca="1" si="753"/>
        <v>237</v>
      </c>
      <c r="B244" s="128">
        <v>44679</v>
      </c>
      <c r="C244" s="121" t="s">
        <v>8</v>
      </c>
      <c r="D244" s="121">
        <v>1</v>
      </c>
      <c r="E244" s="120" t="s">
        <v>482</v>
      </c>
      <c r="F244" s="121" t="s">
        <v>284</v>
      </c>
      <c r="G244" s="120">
        <v>410</v>
      </c>
      <c r="H244" s="122">
        <v>44707</v>
      </c>
      <c r="I244" s="120">
        <v>1425</v>
      </c>
      <c r="J244" s="120">
        <v>10.35</v>
      </c>
      <c r="K244" s="120">
        <v>19.7</v>
      </c>
      <c r="L244" s="124">
        <f t="shared" ca="1" si="784"/>
        <v>0</v>
      </c>
      <c r="M244" s="124">
        <f t="shared" ca="1" si="785"/>
        <v>-13323.75</v>
      </c>
      <c r="N244" s="120">
        <f t="shared" ca="1" si="786"/>
        <v>1.9033816425120773</v>
      </c>
      <c r="O244" s="164">
        <f t="shared" ca="1" si="787"/>
        <v>12.9375</v>
      </c>
      <c r="P244" s="168">
        <f t="shared" ca="1" si="754"/>
        <v>14748.75</v>
      </c>
      <c r="Q244" s="168" t="e">
        <f t="shared" ca="1" si="788"/>
        <v>#N/A</v>
      </c>
      <c r="R244" s="184">
        <f t="shared" ca="1" si="683"/>
        <v>0</v>
      </c>
      <c r="S244" s="124">
        <f t="shared" ca="1" si="789"/>
        <v>1.0349999999999997</v>
      </c>
      <c r="T244" s="120">
        <f ca="1">VLOOKUP(TRIM($F244),Reference!B:C,2,0)</f>
        <v>428</v>
      </c>
      <c r="U244" s="181">
        <f t="shared" ca="1" si="790"/>
        <v>0</v>
      </c>
      <c r="V244" s="125" t="str">
        <f t="shared" ca="1" si="670"/>
        <v>TATAMOTORS22MAY410PE</v>
      </c>
      <c r="W244" s="166" t="e">
        <f ca="1">VLOOKUP($V244,Reference!BA:BD,4,0)</f>
        <v>#N/A</v>
      </c>
      <c r="X244" s="168">
        <f t="shared" ca="1" si="671"/>
        <v>0</v>
      </c>
      <c r="Y244" s="168">
        <f t="shared" ca="1" si="672"/>
        <v>0</v>
      </c>
      <c r="Z244" s="168">
        <f t="shared" ca="1" si="686"/>
        <v>0</v>
      </c>
      <c r="AA244" s="168">
        <f t="shared" ca="1" si="673"/>
        <v>0</v>
      </c>
      <c r="AB244" s="168">
        <f t="shared" ca="1" si="674"/>
        <v>0</v>
      </c>
      <c r="AC244" s="124">
        <f t="shared" ca="1" si="675"/>
        <v>0</v>
      </c>
      <c r="AD244" s="120">
        <f t="shared" ca="1" si="791"/>
        <v>-0.13698630136986301</v>
      </c>
      <c r="AE244" s="120">
        <f t="shared" ca="1" si="792"/>
        <v>20</v>
      </c>
      <c r="AF244" s="120"/>
      <c r="AG244" s="120"/>
      <c r="AH244" s="120">
        <f t="shared" ca="1" si="755"/>
        <v>7.3743750000000006</v>
      </c>
      <c r="AI244" s="120"/>
      <c r="AJ244" s="120">
        <f t="shared" ca="1" si="756"/>
        <v>0</v>
      </c>
      <c r="AK244" s="120"/>
      <c r="AL244" s="147"/>
      <c r="AM244" s="160"/>
      <c r="AN244" s="160"/>
      <c r="AO244" s="160"/>
      <c r="AP244" s="160"/>
      <c r="AQ244" s="160"/>
      <c r="AR244" s="160"/>
      <c r="AS244" s="160"/>
      <c r="AT244" s="160"/>
      <c r="AU244" s="160"/>
      <c r="AV244" s="160"/>
      <c r="AW244" s="160"/>
      <c r="AX244" s="160"/>
      <c r="AY244" s="160"/>
      <c r="AZ244" s="160"/>
      <c r="BA244" s="160"/>
      <c r="BB244" s="160"/>
      <c r="BC244" s="160"/>
      <c r="BD244" s="160"/>
      <c r="BE244" s="160"/>
      <c r="BF244" s="160"/>
      <c r="BG244" s="160"/>
      <c r="BS244" s="13">
        <v>2</v>
      </c>
      <c r="BT244" s="128">
        <v>44491</v>
      </c>
      <c r="BU244" s="121" t="s">
        <v>8</v>
      </c>
      <c r="BV244" s="120" t="s">
        <v>482</v>
      </c>
      <c r="BW244" s="121" t="s">
        <v>502</v>
      </c>
      <c r="BX244" s="120">
        <v>18400</v>
      </c>
      <c r="BY244" s="120">
        <v>41.7</v>
      </c>
      <c r="BZ244" s="120">
        <v>47.945</v>
      </c>
      <c r="CA244" s="124">
        <v>-3216.6708800000001</v>
      </c>
      <c r="CB244" s="120">
        <v>1.1497601918465228</v>
      </c>
      <c r="CC244" s="120">
        <v>500</v>
      </c>
      <c r="CD244" s="120">
        <v>50</v>
      </c>
      <c r="CE244" s="124">
        <v>20850</v>
      </c>
    </row>
    <row r="245" spans="1:83" hidden="1">
      <c r="A245" s="13">
        <f t="shared" ca="1" si="753"/>
        <v>238</v>
      </c>
      <c r="B245" s="128">
        <v>44700</v>
      </c>
      <c r="C245" s="121" t="s">
        <v>8</v>
      </c>
      <c r="D245" s="121">
        <v>1</v>
      </c>
      <c r="E245" s="120" t="s">
        <v>481</v>
      </c>
      <c r="F245" s="121" t="s">
        <v>284</v>
      </c>
      <c r="G245" s="120">
        <v>420</v>
      </c>
      <c r="H245" s="122">
        <v>44707</v>
      </c>
      <c r="I245" s="120">
        <v>1425</v>
      </c>
      <c r="J245" s="120">
        <v>12.1</v>
      </c>
      <c r="K245" s="120">
        <v>5.5</v>
      </c>
      <c r="L245" s="124">
        <f t="shared" ca="1" si="784"/>
        <v>0</v>
      </c>
      <c r="M245" s="124">
        <f t="shared" ca="1" si="785"/>
        <v>9405</v>
      </c>
      <c r="N245" s="120">
        <f t="shared" ca="1" si="786"/>
        <v>0.45454545454545459</v>
      </c>
      <c r="O245" s="164">
        <f t="shared" ca="1" si="787"/>
        <v>15.125</v>
      </c>
      <c r="P245" s="168">
        <f t="shared" ca="1" si="754"/>
        <v>17242.5</v>
      </c>
      <c r="Q245" s="168" t="e">
        <f t="shared" ca="1" si="788"/>
        <v>#N/A</v>
      </c>
      <c r="R245" s="184">
        <f t="shared" ca="1" si="683"/>
        <v>0</v>
      </c>
      <c r="S245" s="124">
        <f t="shared" ca="1" si="789"/>
        <v>1.2099999999999997</v>
      </c>
      <c r="T245" s="120">
        <f ca="1">VLOOKUP(TRIM($F245),Reference!B:C,2,0)</f>
        <v>428</v>
      </c>
      <c r="U245" s="181">
        <f t="shared" ca="1" si="790"/>
        <v>0</v>
      </c>
      <c r="V245" s="125" t="str">
        <f t="shared" ca="1" si="670"/>
        <v>TATAMOTORS22MAY420CE</v>
      </c>
      <c r="W245" s="166" t="e">
        <f ca="1">VLOOKUP($V245,Reference!BA:BD,4,0)</f>
        <v>#N/A</v>
      </c>
      <c r="X245" s="168">
        <f t="shared" ca="1" si="671"/>
        <v>0</v>
      </c>
      <c r="Y245" s="168">
        <f t="shared" ca="1" si="672"/>
        <v>0</v>
      </c>
      <c r="Z245" s="168">
        <f t="shared" ca="1" si="686"/>
        <v>0</v>
      </c>
      <c r="AA245" s="168">
        <f t="shared" ca="1" si="673"/>
        <v>0</v>
      </c>
      <c r="AB245" s="168">
        <f t="shared" ca="1" si="674"/>
        <v>0</v>
      </c>
      <c r="AC245" s="124">
        <f t="shared" ca="1" si="675"/>
        <v>0</v>
      </c>
      <c r="AD245" s="120">
        <f t="shared" ca="1" si="791"/>
        <v>-0.13698630136986301</v>
      </c>
      <c r="AE245" s="120">
        <f t="shared" ca="1" si="792"/>
        <v>20</v>
      </c>
      <c r="AF245" s="120"/>
      <c r="AG245" s="120"/>
      <c r="AH245" s="120">
        <f t="shared" ca="1" si="755"/>
        <v>8.6212499999999999</v>
      </c>
      <c r="AI245" s="120"/>
      <c r="AJ245" s="120">
        <f t="shared" ca="1" si="756"/>
        <v>0</v>
      </c>
      <c r="AK245" s="120"/>
      <c r="AL245" s="147"/>
      <c r="AM245" s="160"/>
      <c r="AN245" s="160"/>
      <c r="AO245" s="160"/>
      <c r="AP245" s="160"/>
      <c r="AQ245" s="160"/>
      <c r="AR245" s="160"/>
      <c r="AS245" s="160"/>
      <c r="AT245" s="160"/>
      <c r="AU245" s="160"/>
      <c r="AV245" s="160"/>
      <c r="AW245" s="160"/>
      <c r="AX245" s="160"/>
      <c r="AY245" s="160"/>
      <c r="AZ245" s="160"/>
      <c r="BA245" s="160"/>
      <c r="BB245" s="160"/>
      <c r="BC245" s="160"/>
      <c r="BD245" s="160"/>
      <c r="BE245" s="160"/>
      <c r="BF245" s="160"/>
      <c r="BG245" s="160"/>
      <c r="BS245" s="13">
        <v>2</v>
      </c>
      <c r="BT245" s="128">
        <v>44491</v>
      </c>
      <c r="BU245" s="121" t="s">
        <v>8</v>
      </c>
      <c r="BV245" s="120" t="s">
        <v>482</v>
      </c>
      <c r="BW245" s="121" t="s">
        <v>502</v>
      </c>
      <c r="BX245" s="120">
        <v>18400</v>
      </c>
      <c r="BY245" s="120">
        <v>41.7</v>
      </c>
      <c r="BZ245" s="120">
        <v>47.945</v>
      </c>
      <c r="CA245" s="124">
        <v>-3216.6708800000001</v>
      </c>
      <c r="CB245" s="120">
        <v>1.1497601918465228</v>
      </c>
      <c r="CC245" s="120">
        <v>500</v>
      </c>
      <c r="CD245" s="120">
        <v>50</v>
      </c>
      <c r="CE245" s="124">
        <v>20850</v>
      </c>
    </row>
    <row r="246" spans="1:83" hidden="1">
      <c r="A246" s="13">
        <f t="shared" ca="1" si="753"/>
        <v>239</v>
      </c>
      <c r="B246" s="128">
        <v>44700</v>
      </c>
      <c r="C246" s="121" t="s">
        <v>6</v>
      </c>
      <c r="D246" s="121">
        <v>1</v>
      </c>
      <c r="E246" s="120" t="s">
        <v>482</v>
      </c>
      <c r="F246" s="121" t="s">
        <v>284</v>
      </c>
      <c r="G246" s="120">
        <v>410</v>
      </c>
      <c r="H246" s="122">
        <v>44707</v>
      </c>
      <c r="I246" s="120">
        <v>1425</v>
      </c>
      <c r="J246" s="120">
        <v>4.7</v>
      </c>
      <c r="K246" s="120">
        <v>2.25</v>
      </c>
      <c r="L246" s="124">
        <f t="shared" ref="L246" ca="1" si="793">IF(AND(K246&lt;&gt;0,I246&lt;&gt;0),(IF(C246="B",1,-1))*(K246-J246)*I246-AK246*2,0)*$D246*IF(MONTH($B$2)=MONTH($H246),1,0)</f>
        <v>0</v>
      </c>
      <c r="M246" s="124">
        <f t="shared" ref="M246" ca="1" si="794">IF(AND(K246&lt;&gt;0,I246&lt;&gt;0),(IF(C246="B",1,-1))*(K246-J246)*I246-AK246*2,0)*$D246</f>
        <v>-3491.2500000000005</v>
      </c>
      <c r="N246" s="120">
        <f t="shared" ref="N246" ca="1" si="795">K246/$J246</f>
        <v>0.47872340425531912</v>
      </c>
      <c r="O246" s="164">
        <f t="shared" ref="O246" ca="1" si="796">J246*(1+$O$6*IF(C246="B",-1,1))</f>
        <v>3.5250000000000004</v>
      </c>
      <c r="P246" s="168">
        <f t="shared" ca="1" si="754"/>
        <v>6697.5</v>
      </c>
      <c r="Q246" s="168" t="e">
        <f t="shared" ref="Q246" ca="1" si="797">(W246-J246)*I246*IF(C246="B",1,-1)*IF(K246=0,1,0)</f>
        <v>#N/A</v>
      </c>
      <c r="R246" s="184">
        <f t="shared" ca="1" si="683"/>
        <v>0</v>
      </c>
      <c r="S246" s="124">
        <f t="shared" ref="S246" ca="1" si="798">(1-$S$6)*J246</f>
        <v>0.46999999999999992</v>
      </c>
      <c r="T246" s="120">
        <f ca="1">VLOOKUP(TRIM($F246),Reference!B:C,2,0)</f>
        <v>428</v>
      </c>
      <c r="U246" s="181">
        <f t="shared" ref="U246" ca="1" si="799">AC246</f>
        <v>0</v>
      </c>
      <c r="V246" s="125" t="str">
        <f t="shared" ca="1" si="670"/>
        <v>TATAMOTORS22MAY410PE</v>
      </c>
      <c r="W246" s="166" t="e">
        <f ca="1">VLOOKUP($V246,Reference!BA:BD,4,0)</f>
        <v>#N/A</v>
      </c>
      <c r="X246" s="168">
        <f t="shared" ca="1" si="671"/>
        <v>0</v>
      </c>
      <c r="Y246" s="168">
        <f t="shared" ca="1" si="672"/>
        <v>0</v>
      </c>
      <c r="Z246" s="168">
        <f t="shared" ca="1" si="686"/>
        <v>0</v>
      </c>
      <c r="AA246" s="168">
        <f t="shared" ca="1" si="673"/>
        <v>0</v>
      </c>
      <c r="AB246" s="168">
        <f t="shared" ca="1" si="674"/>
        <v>0</v>
      </c>
      <c r="AC246" s="124">
        <f t="shared" ca="1" si="675"/>
        <v>0</v>
      </c>
      <c r="AD246" s="120">
        <f t="shared" ref="AD246" ca="1" si="800">(H246-TODAY())/365</f>
        <v>-0.13698630136986301</v>
      </c>
      <c r="AE246" s="120">
        <f t="shared" ref="AE246" ca="1" si="801">IF(I246&lt;&gt;0,20,0)</f>
        <v>20</v>
      </c>
      <c r="AF246" s="120"/>
      <c r="AG246" s="120"/>
      <c r="AH246" s="120">
        <f t="shared" ca="1" si="755"/>
        <v>0</v>
      </c>
      <c r="AI246" s="120"/>
      <c r="AJ246" s="120">
        <f t="shared" ca="1" si="756"/>
        <v>0.20092499999999999</v>
      </c>
      <c r="AK246" s="120"/>
      <c r="AL246" s="147"/>
      <c r="AM246" s="160"/>
      <c r="AN246" s="160"/>
      <c r="AO246" s="160"/>
      <c r="AP246" s="160"/>
      <c r="AQ246" s="160"/>
      <c r="AR246" s="160"/>
      <c r="AS246" s="160"/>
      <c r="AT246" s="160"/>
      <c r="AU246" s="160"/>
      <c r="AV246" s="160"/>
      <c r="AW246" s="160"/>
      <c r="AX246" s="160"/>
      <c r="AY246" s="160"/>
      <c r="AZ246" s="160"/>
      <c r="BA246" s="160"/>
      <c r="BB246" s="160"/>
      <c r="BC246" s="160"/>
      <c r="BD246" s="160"/>
      <c r="BE246" s="160"/>
      <c r="BF246" s="160"/>
      <c r="BG246" s="160"/>
      <c r="BS246" s="13">
        <v>2</v>
      </c>
      <c r="BT246" s="128">
        <v>44491</v>
      </c>
      <c r="BU246" s="121" t="s">
        <v>8</v>
      </c>
      <c r="BV246" s="120" t="s">
        <v>482</v>
      </c>
      <c r="BW246" s="121" t="s">
        <v>502</v>
      </c>
      <c r="BX246" s="120">
        <v>18400</v>
      </c>
      <c r="BY246" s="120">
        <v>41.7</v>
      </c>
      <c r="BZ246" s="120">
        <v>47.945</v>
      </c>
      <c r="CA246" s="124">
        <v>-3216.6708800000001</v>
      </c>
      <c r="CB246" s="120">
        <v>1.1497601918465228</v>
      </c>
      <c r="CC246" s="120">
        <v>500</v>
      </c>
      <c r="CD246" s="120">
        <v>50</v>
      </c>
      <c r="CE246" s="124">
        <v>20850</v>
      </c>
    </row>
    <row r="247" spans="1:83" hidden="1">
      <c r="A247" s="13">
        <f t="shared" ca="1" si="753"/>
        <v>240</v>
      </c>
      <c r="B247" s="128">
        <v>44700</v>
      </c>
      <c r="C247" s="121" t="s">
        <v>6</v>
      </c>
      <c r="D247" s="121">
        <v>1</v>
      </c>
      <c r="E247" s="120" t="s">
        <v>632</v>
      </c>
      <c r="F247" s="121" t="s">
        <v>284</v>
      </c>
      <c r="G247" s="120"/>
      <c r="H247" s="122">
        <v>44742</v>
      </c>
      <c r="I247" s="120">
        <v>1425</v>
      </c>
      <c r="J247" s="120">
        <v>426</v>
      </c>
      <c r="K247" s="120">
        <v>441.15</v>
      </c>
      <c r="L247" s="124">
        <f t="shared" ref="L247:L251" ca="1" si="802">IF(AND(K247&lt;&gt;0,I247&lt;&gt;0),(IF(C247="B",1,-1))*(K247-J247)*I247-AK247*2,0)*$D247*IF(MONTH($B$2)=MONTH($H247),1,0)</f>
        <v>0</v>
      </c>
      <c r="M247" s="124">
        <f t="shared" ref="M247:M251" ca="1" si="803">IF(AND(K247&lt;&gt;0,I247&lt;&gt;0),(IF(C247="B",1,-1))*(K247-J247)*I247-AK247*2,0)*$D247</f>
        <v>21588.749999999967</v>
      </c>
      <c r="N247" s="120">
        <f t="shared" ref="N247:N251" ca="1" si="804">K247/$J247</f>
        <v>1.0355633802816901</v>
      </c>
      <c r="O247" s="164">
        <f t="shared" ref="O247:O251" ca="1" si="805">J247*(1+$O$6*IF(C247="B",-1,1))</f>
        <v>319.5</v>
      </c>
      <c r="P247" s="168">
        <f t="shared" ca="1" si="754"/>
        <v>607050</v>
      </c>
      <c r="Q247" s="168" t="e">
        <f t="shared" ref="Q247:Q251" ca="1" si="806">(W247-J247)*I247*IF(C247="B",1,-1)*IF(K247=0,1,0)</f>
        <v>#N/A</v>
      </c>
      <c r="R247" s="184">
        <f t="shared" ca="1" si="683"/>
        <v>0</v>
      </c>
      <c r="S247" s="124">
        <f t="shared" ref="S247:S251" ca="1" si="807">(1-$S$6)*J247</f>
        <v>42.599999999999987</v>
      </c>
      <c r="T247" s="120">
        <f ca="1">VLOOKUP(TRIM($F247),Reference!B:C,2,0)</f>
        <v>428</v>
      </c>
      <c r="U247" s="181">
        <f t="shared" ref="U247:U251" ca="1" si="808">AC247</f>
        <v>0</v>
      </c>
      <c r="V247" s="125" t="str">
        <f t="shared" ca="1" si="670"/>
        <v>TATAMOTORS22JUNFUT</v>
      </c>
      <c r="W247" s="166" t="e">
        <f ca="1">VLOOKUP($V247,Reference!BA:BD,4,0)</f>
        <v>#N/A</v>
      </c>
      <c r="X247" s="168">
        <f t="shared" ca="1" si="671"/>
        <v>0</v>
      </c>
      <c r="Y247" s="168">
        <f t="shared" ca="1" si="672"/>
        <v>0</v>
      </c>
      <c r="Z247" s="168">
        <f t="shared" ca="1" si="686"/>
        <v>0</v>
      </c>
      <c r="AA247" s="168">
        <f t="shared" ca="1" si="673"/>
        <v>0</v>
      </c>
      <c r="AB247" s="168">
        <f t="shared" ca="1" si="674"/>
        <v>0</v>
      </c>
      <c r="AC247" s="124">
        <f t="shared" ca="1" si="675"/>
        <v>0</v>
      </c>
      <c r="AD247" s="120">
        <f t="shared" ref="AD247:AD251" ca="1" si="809">(H247-TODAY())/365</f>
        <v>-4.1095890410958902E-2</v>
      </c>
      <c r="AE247" s="120">
        <f t="shared" ref="AE247:AE251" ca="1" si="810">IF(I247&lt;&gt;0,20,0)</f>
        <v>20</v>
      </c>
      <c r="AF247" s="120"/>
      <c r="AG247" s="120"/>
      <c r="AH247" s="120">
        <f t="shared" ca="1" si="755"/>
        <v>0</v>
      </c>
      <c r="AI247" s="120"/>
      <c r="AJ247" s="120">
        <f t="shared" ca="1" si="756"/>
        <v>18.211500000000001</v>
      </c>
      <c r="AK247" s="120"/>
      <c r="AL247" s="147"/>
      <c r="AM247" s="160"/>
      <c r="AN247" s="160"/>
      <c r="AO247" s="160"/>
      <c r="AP247" s="160"/>
      <c r="AQ247" s="160"/>
      <c r="AR247" s="160"/>
      <c r="AS247" s="160"/>
      <c r="AT247" s="160"/>
      <c r="AU247" s="160"/>
      <c r="AV247" s="160"/>
      <c r="AW247" s="160"/>
      <c r="AX247" s="160"/>
      <c r="AY247" s="160"/>
      <c r="AZ247" s="160"/>
      <c r="BA247" s="160"/>
      <c r="BB247" s="160"/>
      <c r="BC247" s="160"/>
      <c r="BD247" s="160"/>
      <c r="BE247" s="160"/>
      <c r="BF247" s="160"/>
      <c r="BG247" s="160"/>
      <c r="BS247" s="13">
        <v>2</v>
      </c>
      <c r="BT247" s="128">
        <v>44491</v>
      </c>
      <c r="BU247" s="121" t="s">
        <v>8</v>
      </c>
      <c r="BV247" s="120" t="s">
        <v>482</v>
      </c>
      <c r="BW247" s="121" t="s">
        <v>502</v>
      </c>
      <c r="BX247" s="120">
        <v>18400</v>
      </c>
      <c r="BY247" s="120">
        <v>41.7</v>
      </c>
      <c r="BZ247" s="120">
        <v>47.945</v>
      </c>
      <c r="CA247" s="124">
        <v>-3216.6708800000001</v>
      </c>
      <c r="CB247" s="120">
        <v>1.1497601918465228</v>
      </c>
      <c r="CC247" s="120">
        <v>500</v>
      </c>
      <c r="CD247" s="120">
        <v>50</v>
      </c>
      <c r="CE247" s="124">
        <v>20850</v>
      </c>
    </row>
    <row r="248" spans="1:83" hidden="1">
      <c r="A248" s="13">
        <f t="shared" ca="1" si="753"/>
        <v>241</v>
      </c>
      <c r="B248" s="128">
        <v>44700</v>
      </c>
      <c r="C248" s="121" t="s">
        <v>8</v>
      </c>
      <c r="D248" s="121">
        <v>1</v>
      </c>
      <c r="E248" s="120" t="s">
        <v>481</v>
      </c>
      <c r="F248" s="121" t="s">
        <v>381</v>
      </c>
      <c r="G248" s="120">
        <v>3200</v>
      </c>
      <c r="H248" s="122">
        <v>44707</v>
      </c>
      <c r="I248" s="120">
        <v>200</v>
      </c>
      <c r="J248" s="120">
        <v>24.6</v>
      </c>
      <c r="K248" s="120">
        <v>0.8</v>
      </c>
      <c r="L248" s="124">
        <f t="shared" ca="1" si="802"/>
        <v>0</v>
      </c>
      <c r="M248" s="124">
        <f t="shared" ca="1" si="803"/>
        <v>4760</v>
      </c>
      <c r="N248" s="120">
        <f t="shared" ca="1" si="804"/>
        <v>3.2520325203252029E-2</v>
      </c>
      <c r="O248" s="164">
        <f t="shared" ca="1" si="805"/>
        <v>30.75</v>
      </c>
      <c r="P248" s="168">
        <f t="shared" ca="1" si="754"/>
        <v>4920</v>
      </c>
      <c r="Q248" s="168" t="e">
        <f t="shared" ca="1" si="806"/>
        <v>#N/A</v>
      </c>
      <c r="R248" s="184">
        <f t="shared" ca="1" si="683"/>
        <v>0</v>
      </c>
      <c r="S248" s="124">
        <f t="shared" ca="1" si="807"/>
        <v>2.4599999999999995</v>
      </c>
      <c r="T248" s="120">
        <f ca="1">VLOOKUP(TRIM($F248),Reference!B:C,2,0)</f>
        <v>2788</v>
      </c>
      <c r="U248" s="181">
        <f t="shared" ca="1" si="808"/>
        <v>0</v>
      </c>
      <c r="V248" s="125" t="str">
        <f t="shared" ca="1" si="670"/>
        <v>MINDTREE22MAY3200CE</v>
      </c>
      <c r="W248" s="166" t="e">
        <f ca="1">VLOOKUP($V248,Reference!BA:BD,4,0)</f>
        <v>#N/A</v>
      </c>
      <c r="X248" s="168">
        <f t="shared" ca="1" si="671"/>
        <v>0</v>
      </c>
      <c r="Y248" s="168">
        <f t="shared" ca="1" si="672"/>
        <v>0</v>
      </c>
      <c r="Z248" s="168">
        <f t="shared" ca="1" si="686"/>
        <v>0</v>
      </c>
      <c r="AA248" s="168">
        <f t="shared" ca="1" si="673"/>
        <v>0</v>
      </c>
      <c r="AB248" s="168">
        <f t="shared" ca="1" si="674"/>
        <v>0</v>
      </c>
      <c r="AC248" s="124">
        <f t="shared" ca="1" si="675"/>
        <v>0</v>
      </c>
      <c r="AD248" s="120">
        <f t="shared" ca="1" si="809"/>
        <v>-0.13698630136986301</v>
      </c>
      <c r="AE248" s="120">
        <f t="shared" ca="1" si="810"/>
        <v>20</v>
      </c>
      <c r="AF248" s="120"/>
      <c r="AG248" s="120"/>
      <c r="AH248" s="120">
        <f t="shared" ca="1" si="755"/>
        <v>2.46</v>
      </c>
      <c r="AI248" s="120"/>
      <c r="AJ248" s="120">
        <f t="shared" ca="1" si="756"/>
        <v>0</v>
      </c>
      <c r="AK248" s="120"/>
      <c r="AL248" s="147"/>
      <c r="AM248" s="160"/>
      <c r="AN248" s="160"/>
      <c r="AO248" s="160"/>
      <c r="AP248" s="160"/>
      <c r="AQ248" s="160"/>
      <c r="AR248" s="160"/>
      <c r="AS248" s="160"/>
      <c r="AT248" s="160"/>
      <c r="AU248" s="160"/>
      <c r="AV248" s="160"/>
      <c r="AW248" s="160"/>
      <c r="AX248" s="160"/>
      <c r="AY248" s="160"/>
      <c r="AZ248" s="160"/>
      <c r="BA248" s="160"/>
      <c r="BB248" s="160"/>
      <c r="BC248" s="160"/>
      <c r="BD248" s="160"/>
      <c r="BE248" s="160"/>
      <c r="BF248" s="160"/>
      <c r="BG248" s="160"/>
      <c r="BS248" s="13">
        <v>2</v>
      </c>
      <c r="BT248" s="128">
        <v>44491</v>
      </c>
      <c r="BU248" s="121" t="s">
        <v>8</v>
      </c>
      <c r="BV248" s="120" t="s">
        <v>482</v>
      </c>
      <c r="BW248" s="121" t="s">
        <v>502</v>
      </c>
      <c r="BX248" s="120">
        <v>18400</v>
      </c>
      <c r="BY248" s="120">
        <v>41.7</v>
      </c>
      <c r="BZ248" s="120">
        <v>47.945</v>
      </c>
      <c r="CA248" s="124">
        <v>-3216.6708800000001</v>
      </c>
      <c r="CB248" s="120">
        <v>1.1497601918465228</v>
      </c>
      <c r="CC248" s="120">
        <v>500</v>
      </c>
      <c r="CD248" s="120">
        <v>50</v>
      </c>
      <c r="CE248" s="124">
        <v>20850</v>
      </c>
    </row>
    <row r="249" spans="1:83" hidden="1">
      <c r="A249" s="13">
        <f t="shared" ca="1" si="753"/>
        <v>242</v>
      </c>
      <c r="B249" s="128">
        <v>44679</v>
      </c>
      <c r="C249" s="121" t="s">
        <v>6</v>
      </c>
      <c r="D249" s="121">
        <v>1</v>
      </c>
      <c r="E249" s="120" t="s">
        <v>632</v>
      </c>
      <c r="F249" s="121" t="s">
        <v>284</v>
      </c>
      <c r="G249" s="120"/>
      <c r="H249" s="122">
        <v>44707</v>
      </c>
      <c r="I249" s="120">
        <v>1425</v>
      </c>
      <c r="J249" s="120">
        <v>432.25</v>
      </c>
      <c r="K249" s="120">
        <v>425.25</v>
      </c>
      <c r="L249" s="124">
        <f t="shared" ca="1" si="802"/>
        <v>0</v>
      </c>
      <c r="M249" s="124">
        <f t="shared" ca="1" si="803"/>
        <v>-9975</v>
      </c>
      <c r="N249" s="120">
        <f t="shared" ca="1" si="804"/>
        <v>0.98380566801619429</v>
      </c>
      <c r="O249" s="164">
        <f t="shared" ca="1" si="805"/>
        <v>324.1875</v>
      </c>
      <c r="P249" s="168">
        <f t="shared" ca="1" si="754"/>
        <v>615956.25</v>
      </c>
      <c r="Q249" s="168" t="e">
        <f t="shared" ca="1" si="806"/>
        <v>#N/A</v>
      </c>
      <c r="R249" s="184">
        <f t="shared" ca="1" si="683"/>
        <v>0</v>
      </c>
      <c r="S249" s="124">
        <f t="shared" ca="1" si="807"/>
        <v>43.224999999999987</v>
      </c>
      <c r="T249" s="120">
        <f ca="1">VLOOKUP(TRIM($F249),Reference!B:C,2,0)</f>
        <v>428</v>
      </c>
      <c r="U249" s="181">
        <f t="shared" ca="1" si="808"/>
        <v>0</v>
      </c>
      <c r="V249" s="125" t="str">
        <f t="shared" ca="1" si="670"/>
        <v>TATAMOTORS22MAYFUT</v>
      </c>
      <c r="W249" s="166" t="e">
        <f ca="1">VLOOKUP($V249,Reference!BA:BD,4,0)</f>
        <v>#N/A</v>
      </c>
      <c r="X249" s="168">
        <f t="shared" ca="1" si="671"/>
        <v>0</v>
      </c>
      <c r="Y249" s="168">
        <f t="shared" ca="1" si="672"/>
        <v>0</v>
      </c>
      <c r="Z249" s="168">
        <f t="shared" ca="1" si="686"/>
        <v>0</v>
      </c>
      <c r="AA249" s="168">
        <f t="shared" ca="1" si="673"/>
        <v>0</v>
      </c>
      <c r="AB249" s="168">
        <f t="shared" ca="1" si="674"/>
        <v>0</v>
      </c>
      <c r="AC249" s="124">
        <f t="shared" ca="1" si="675"/>
        <v>0</v>
      </c>
      <c r="AD249" s="120">
        <f t="shared" ca="1" si="809"/>
        <v>-0.13698630136986301</v>
      </c>
      <c r="AE249" s="120">
        <f t="shared" ca="1" si="810"/>
        <v>20</v>
      </c>
      <c r="AF249" s="120"/>
      <c r="AG249" s="120"/>
      <c r="AH249" s="120">
        <f t="shared" ca="1" si="755"/>
        <v>0</v>
      </c>
      <c r="AI249" s="120"/>
      <c r="AJ249" s="120">
        <f t="shared" ca="1" si="756"/>
        <v>18.478687499999999</v>
      </c>
      <c r="AK249" s="120"/>
      <c r="AL249" s="147"/>
      <c r="AM249" s="160"/>
      <c r="AN249" s="160"/>
      <c r="AO249" s="160"/>
      <c r="AP249" s="160"/>
      <c r="AQ249" s="160"/>
      <c r="AR249" s="160"/>
      <c r="AS249" s="160"/>
      <c r="AT249" s="160"/>
      <c r="AU249" s="160"/>
      <c r="AV249" s="160"/>
      <c r="AW249" s="160"/>
      <c r="AX249" s="160"/>
      <c r="AY249" s="160"/>
      <c r="AZ249" s="160"/>
      <c r="BA249" s="160"/>
      <c r="BB249" s="160"/>
      <c r="BC249" s="160"/>
      <c r="BD249" s="160"/>
      <c r="BE249" s="160"/>
      <c r="BF249" s="160"/>
      <c r="BG249" s="160"/>
      <c r="BS249" s="13">
        <v>2</v>
      </c>
      <c r="BT249" s="128">
        <v>44491</v>
      </c>
      <c r="BU249" s="121" t="s">
        <v>8</v>
      </c>
      <c r="BV249" s="120" t="s">
        <v>482</v>
      </c>
      <c r="BW249" s="121" t="s">
        <v>502</v>
      </c>
      <c r="BX249" s="120">
        <v>18400</v>
      </c>
      <c r="BY249" s="120">
        <v>41.7</v>
      </c>
      <c r="BZ249" s="120">
        <v>47.945</v>
      </c>
      <c r="CA249" s="124">
        <v>-3216.6708800000001</v>
      </c>
      <c r="CB249" s="120">
        <v>1.1497601918465228</v>
      </c>
      <c r="CC249" s="120">
        <v>500</v>
      </c>
      <c r="CD249" s="120">
        <v>50</v>
      </c>
      <c r="CE249" s="124">
        <v>20850</v>
      </c>
    </row>
    <row r="250" spans="1:83" hidden="1">
      <c r="A250" s="13">
        <f t="shared" ca="1" si="753"/>
        <v>243</v>
      </c>
      <c r="B250" s="128">
        <v>44704</v>
      </c>
      <c r="C250" s="121" t="s">
        <v>6</v>
      </c>
      <c r="D250" s="121">
        <v>1</v>
      </c>
      <c r="E250" s="120" t="s">
        <v>482</v>
      </c>
      <c r="F250" s="121" t="s">
        <v>418</v>
      </c>
      <c r="G250" s="120">
        <v>880</v>
      </c>
      <c r="H250" s="122">
        <v>44742</v>
      </c>
      <c r="I250" s="120">
        <v>425</v>
      </c>
      <c r="J250" s="120">
        <v>32</v>
      </c>
      <c r="K250" s="120">
        <v>16</v>
      </c>
      <c r="L250" s="124">
        <f t="shared" ca="1" si="802"/>
        <v>0</v>
      </c>
      <c r="M250" s="124">
        <f t="shared" ca="1" si="803"/>
        <v>-6800</v>
      </c>
      <c r="N250" s="120">
        <f t="shared" ca="1" si="804"/>
        <v>0.5</v>
      </c>
      <c r="O250" s="164">
        <f t="shared" ca="1" si="805"/>
        <v>24</v>
      </c>
      <c r="P250" s="168">
        <f t="shared" ca="1" si="754"/>
        <v>13600</v>
      </c>
      <c r="Q250" s="168" t="e">
        <f t="shared" ca="1" si="806"/>
        <v>#N/A</v>
      </c>
      <c r="R250" s="184" t="e">
        <f t="shared" ca="1" si="683"/>
        <v>#N/A</v>
      </c>
      <c r="S250" s="124">
        <f t="shared" ca="1" si="807"/>
        <v>3.1999999999999993</v>
      </c>
      <c r="T250" s="120" t="e">
        <f ca="1">VLOOKUP(TRIM($F250),Reference!B:C,2,0)</f>
        <v>#N/A</v>
      </c>
      <c r="U250" s="181">
        <f t="shared" ca="1" si="808"/>
        <v>0</v>
      </c>
      <c r="V250" s="125" t="str">
        <f t="shared" ca="1" si="670"/>
        <v>TATASTEEL22JUN880PE</v>
      </c>
      <c r="W250" s="166" t="e">
        <f ca="1">VLOOKUP($V250,Reference!BA:BD,4,0)</f>
        <v>#N/A</v>
      </c>
      <c r="X250" s="168">
        <f t="shared" ca="1" si="671"/>
        <v>0</v>
      </c>
      <c r="Y250" s="168">
        <f t="shared" ca="1" si="672"/>
        <v>0</v>
      </c>
      <c r="Z250" s="168">
        <f t="shared" ca="1" si="686"/>
        <v>0</v>
      </c>
      <c r="AA250" s="168">
        <f t="shared" ca="1" si="673"/>
        <v>0</v>
      </c>
      <c r="AB250" s="168">
        <f t="shared" ca="1" si="674"/>
        <v>0</v>
      </c>
      <c r="AC250" s="124">
        <f t="shared" ca="1" si="675"/>
        <v>0</v>
      </c>
      <c r="AD250" s="120">
        <f t="shared" ca="1" si="809"/>
        <v>-4.1095890410958902E-2</v>
      </c>
      <c r="AE250" s="120">
        <f t="shared" ca="1" si="810"/>
        <v>20</v>
      </c>
      <c r="AF250" s="120"/>
      <c r="AG250" s="120"/>
      <c r="AH250" s="120">
        <f t="shared" ca="1" si="755"/>
        <v>0</v>
      </c>
      <c r="AI250" s="120"/>
      <c r="AJ250" s="120">
        <f t="shared" ca="1" si="756"/>
        <v>0.40800000000000003</v>
      </c>
      <c r="AK250" s="120"/>
      <c r="AL250" s="147"/>
      <c r="AM250" s="160"/>
      <c r="AN250" s="160"/>
      <c r="AO250" s="160"/>
      <c r="AP250" s="160"/>
      <c r="AQ250" s="160"/>
      <c r="AR250" s="160"/>
      <c r="AS250" s="160"/>
      <c r="AT250" s="160"/>
      <c r="AU250" s="160"/>
      <c r="AV250" s="160"/>
      <c r="AW250" s="160"/>
      <c r="AX250" s="160"/>
      <c r="AY250" s="160"/>
      <c r="AZ250" s="160"/>
      <c r="BA250" s="160"/>
      <c r="BB250" s="160"/>
      <c r="BC250" s="160"/>
      <c r="BD250" s="160"/>
      <c r="BE250" s="160"/>
      <c r="BF250" s="160"/>
      <c r="BG250" s="160"/>
      <c r="BS250" s="13">
        <v>2</v>
      </c>
      <c r="BT250" s="128">
        <v>44491</v>
      </c>
      <c r="BU250" s="121" t="s">
        <v>8</v>
      </c>
      <c r="BV250" s="120" t="s">
        <v>482</v>
      </c>
      <c r="BW250" s="121" t="s">
        <v>502</v>
      </c>
      <c r="BX250" s="120">
        <v>18400</v>
      </c>
      <c r="BY250" s="120">
        <v>41.7</v>
      </c>
      <c r="BZ250" s="120">
        <v>47.945</v>
      </c>
      <c r="CA250" s="124">
        <v>-3216.6708800000001</v>
      </c>
      <c r="CB250" s="120">
        <v>1.1497601918465228</v>
      </c>
      <c r="CC250" s="120">
        <v>500</v>
      </c>
      <c r="CD250" s="120">
        <v>50</v>
      </c>
      <c r="CE250" s="124">
        <v>20850</v>
      </c>
    </row>
    <row r="251" spans="1:83" hidden="1">
      <c r="A251" s="13">
        <f t="shared" ca="1" si="753"/>
        <v>244</v>
      </c>
      <c r="B251" s="128">
        <v>44704</v>
      </c>
      <c r="C251" s="121" t="s">
        <v>8</v>
      </c>
      <c r="D251" s="121">
        <v>1</v>
      </c>
      <c r="E251" s="120" t="s">
        <v>482</v>
      </c>
      <c r="F251" s="121" t="s">
        <v>418</v>
      </c>
      <c r="G251" s="120">
        <v>1100</v>
      </c>
      <c r="H251" s="122">
        <v>44742</v>
      </c>
      <c r="I251" s="120">
        <v>425</v>
      </c>
      <c r="J251" s="120">
        <v>142.05000000000001</v>
      </c>
      <c r="K251" s="120">
        <v>224.95</v>
      </c>
      <c r="L251" s="124">
        <f t="shared" ca="1" si="802"/>
        <v>0</v>
      </c>
      <c r="M251" s="124">
        <f t="shared" ca="1" si="803"/>
        <v>-35232.499999999993</v>
      </c>
      <c r="N251" s="120">
        <f t="shared" ca="1" si="804"/>
        <v>1.5835973248856035</v>
      </c>
      <c r="O251" s="164">
        <f t="shared" ca="1" si="805"/>
        <v>177.5625</v>
      </c>
      <c r="P251" s="168">
        <f t="shared" ca="1" si="754"/>
        <v>60371.250000000007</v>
      </c>
      <c r="Q251" s="168" t="e">
        <f t="shared" ca="1" si="806"/>
        <v>#N/A</v>
      </c>
      <c r="R251" s="184" t="e">
        <f t="shared" ca="1" si="683"/>
        <v>#N/A</v>
      </c>
      <c r="S251" s="124">
        <f t="shared" ca="1" si="807"/>
        <v>14.204999999999998</v>
      </c>
      <c r="T251" s="120" t="e">
        <f ca="1">VLOOKUP(TRIM($F251),Reference!B:C,2,0)</f>
        <v>#N/A</v>
      </c>
      <c r="U251" s="181">
        <f t="shared" ca="1" si="808"/>
        <v>0</v>
      </c>
      <c r="V251" s="125" t="str">
        <f t="shared" ca="1" si="670"/>
        <v>TATASTEEL22JUN1100PE</v>
      </c>
      <c r="W251" s="166" t="e">
        <f ca="1">VLOOKUP($V251,Reference!BA:BD,4,0)</f>
        <v>#N/A</v>
      </c>
      <c r="X251" s="168">
        <f t="shared" ca="1" si="671"/>
        <v>0</v>
      </c>
      <c r="Y251" s="168">
        <f t="shared" ca="1" si="672"/>
        <v>0</v>
      </c>
      <c r="Z251" s="168">
        <f t="shared" ca="1" si="686"/>
        <v>0</v>
      </c>
      <c r="AA251" s="168">
        <f t="shared" ca="1" si="673"/>
        <v>0</v>
      </c>
      <c r="AB251" s="168">
        <f t="shared" ca="1" si="674"/>
        <v>0</v>
      </c>
      <c r="AC251" s="124">
        <f t="shared" ca="1" si="675"/>
        <v>0</v>
      </c>
      <c r="AD251" s="120">
        <f t="shared" ca="1" si="809"/>
        <v>-4.1095890410958902E-2</v>
      </c>
      <c r="AE251" s="120">
        <f t="shared" ca="1" si="810"/>
        <v>20</v>
      </c>
      <c r="AF251" s="120"/>
      <c r="AG251" s="120"/>
      <c r="AH251" s="120">
        <f t="shared" ca="1" si="755"/>
        <v>30.185625000000005</v>
      </c>
      <c r="AI251" s="120"/>
      <c r="AJ251" s="120">
        <f t="shared" ca="1" si="756"/>
        <v>0</v>
      </c>
      <c r="AK251" s="120"/>
      <c r="AL251" s="147"/>
      <c r="AM251" s="160"/>
      <c r="AN251" s="160"/>
      <c r="AO251" s="160"/>
      <c r="AP251" s="160"/>
      <c r="AQ251" s="160"/>
      <c r="AR251" s="160"/>
      <c r="AS251" s="160"/>
      <c r="AT251" s="160"/>
      <c r="AU251" s="160"/>
      <c r="AV251" s="160"/>
      <c r="AW251" s="160"/>
      <c r="AX251" s="160"/>
      <c r="AY251" s="160"/>
      <c r="AZ251" s="160"/>
      <c r="BA251" s="160"/>
      <c r="BB251" s="160"/>
      <c r="BC251" s="160"/>
      <c r="BD251" s="160"/>
      <c r="BE251" s="160"/>
      <c r="BF251" s="160"/>
      <c r="BG251" s="160"/>
      <c r="BS251" s="13">
        <v>2</v>
      </c>
      <c r="BT251" s="128">
        <v>44491</v>
      </c>
      <c r="BU251" s="121" t="s">
        <v>8</v>
      </c>
      <c r="BV251" s="120" t="s">
        <v>482</v>
      </c>
      <c r="BW251" s="121" t="s">
        <v>502</v>
      </c>
      <c r="BX251" s="120">
        <v>18400</v>
      </c>
      <c r="BY251" s="120">
        <v>41.7</v>
      </c>
      <c r="BZ251" s="120">
        <v>47.945</v>
      </c>
      <c r="CA251" s="124">
        <v>-3216.6708800000001</v>
      </c>
      <c r="CB251" s="120">
        <v>1.1497601918465228</v>
      </c>
      <c r="CC251" s="120">
        <v>500</v>
      </c>
      <c r="CD251" s="120">
        <v>50</v>
      </c>
      <c r="CE251" s="124">
        <v>20850</v>
      </c>
    </row>
    <row r="252" spans="1:83" hidden="1">
      <c r="A252" s="13">
        <f t="shared" ca="1" si="753"/>
        <v>245</v>
      </c>
      <c r="B252" s="128">
        <v>44704</v>
      </c>
      <c r="C252" s="121" t="s">
        <v>8</v>
      </c>
      <c r="D252" s="121">
        <v>1</v>
      </c>
      <c r="E252" s="120" t="s">
        <v>481</v>
      </c>
      <c r="F252" s="121" t="s">
        <v>90</v>
      </c>
      <c r="G252" s="120">
        <v>3500</v>
      </c>
      <c r="H252" s="122">
        <v>44742</v>
      </c>
      <c r="I252" s="120">
        <v>150</v>
      </c>
      <c r="J252" s="120">
        <v>41.8</v>
      </c>
      <c r="K252" s="120">
        <v>1.25</v>
      </c>
      <c r="L252" s="124">
        <f t="shared" ref="L252:L253" ca="1" si="811">IF(AND(K252&lt;&gt;0,I252&lt;&gt;0),(IF(C252="B",1,-1))*(K252-J252)*I252-AK252*2,0)*$D252*IF(MONTH($B$2)=MONTH($H252),1,0)</f>
        <v>0</v>
      </c>
      <c r="M252" s="124">
        <f t="shared" ref="M252:M253" ca="1" si="812">IF(AND(K252&lt;&gt;0,I252&lt;&gt;0),(IF(C252="B",1,-1))*(K252-J252)*I252-AK252*2,0)*$D252</f>
        <v>6082.5</v>
      </c>
      <c r="N252" s="120">
        <f t="shared" ref="N252:N253" ca="1" si="813">K252/$J252</f>
        <v>2.9904306220095697E-2</v>
      </c>
      <c r="O252" s="164">
        <f t="shared" ref="O252:O253" ca="1" si="814">J252*(1+$O$6*IF(C252="B",-1,1))</f>
        <v>52.25</v>
      </c>
      <c r="P252" s="168">
        <f t="shared" ca="1" si="754"/>
        <v>6270</v>
      </c>
      <c r="Q252" s="168" t="e">
        <f t="shared" ref="Q252:Q253" ca="1" si="815">(W252-J252)*I252*IF(C252="B",1,-1)*IF(K252=0,1,0)</f>
        <v>#N/A</v>
      </c>
      <c r="R252" s="184">
        <f t="shared" ca="1" si="683"/>
        <v>0</v>
      </c>
      <c r="S252" s="124">
        <f t="shared" ref="S252:S253" ca="1" si="816">(1-$S$6)*J252</f>
        <v>4.1799999999999988</v>
      </c>
      <c r="T252" s="120">
        <f ca="1">VLOOKUP(TRIM($F252),Reference!B:C,2,0)</f>
        <v>3003</v>
      </c>
      <c r="U252" s="181">
        <f t="shared" ref="U252:U253" ca="1" si="817">AC252</f>
        <v>0</v>
      </c>
      <c r="V252" s="125" t="str">
        <f t="shared" ca="1" si="670"/>
        <v>TCS22JUN3500CE</v>
      </c>
      <c r="W252" s="166" t="e">
        <f ca="1">VLOOKUP($V252,Reference!BA:BD,4,0)</f>
        <v>#N/A</v>
      </c>
      <c r="X252" s="168">
        <f t="shared" ca="1" si="671"/>
        <v>0</v>
      </c>
      <c r="Y252" s="168">
        <f t="shared" ca="1" si="672"/>
        <v>0</v>
      </c>
      <c r="Z252" s="168">
        <f t="shared" ca="1" si="686"/>
        <v>0</v>
      </c>
      <c r="AA252" s="168">
        <f t="shared" ca="1" si="673"/>
        <v>0</v>
      </c>
      <c r="AB252" s="168">
        <f t="shared" ca="1" si="674"/>
        <v>0</v>
      </c>
      <c r="AC252" s="124">
        <f t="shared" ca="1" si="675"/>
        <v>0</v>
      </c>
      <c r="AD252" s="120">
        <f t="shared" ref="AD252:AD253" ca="1" si="818">(H252-TODAY())/365</f>
        <v>-4.1095890410958902E-2</v>
      </c>
      <c r="AE252" s="120">
        <f t="shared" ref="AE252:AE253" ca="1" si="819">IF(I252&lt;&gt;0,20,0)</f>
        <v>20</v>
      </c>
      <c r="AF252" s="120"/>
      <c r="AG252" s="120"/>
      <c r="AH252" s="120">
        <f t="shared" ca="1" si="755"/>
        <v>3.1350000000000002</v>
      </c>
      <c r="AI252" s="120"/>
      <c r="AJ252" s="120">
        <f t="shared" ca="1" si="756"/>
        <v>0</v>
      </c>
      <c r="AK252" s="120"/>
      <c r="AL252" s="147"/>
      <c r="AM252" s="160"/>
      <c r="AN252" s="160"/>
      <c r="AO252" s="160"/>
      <c r="AP252" s="160"/>
      <c r="AQ252" s="160"/>
      <c r="AR252" s="160"/>
      <c r="AS252" s="160"/>
      <c r="AT252" s="160"/>
      <c r="AU252" s="160"/>
      <c r="AV252" s="160"/>
      <c r="AW252" s="160"/>
      <c r="AX252" s="160"/>
      <c r="AY252" s="160"/>
      <c r="AZ252" s="160"/>
      <c r="BA252" s="160"/>
      <c r="BB252" s="160"/>
      <c r="BC252" s="160"/>
      <c r="BD252" s="160"/>
      <c r="BE252" s="160"/>
      <c r="BF252" s="160"/>
      <c r="BG252" s="160"/>
      <c r="BS252" s="13">
        <v>2</v>
      </c>
      <c r="BT252" s="128">
        <v>44491</v>
      </c>
      <c r="BU252" s="121" t="s">
        <v>8</v>
      </c>
      <c r="BV252" s="120" t="s">
        <v>482</v>
      </c>
      <c r="BW252" s="121" t="s">
        <v>502</v>
      </c>
      <c r="BX252" s="120">
        <v>18400</v>
      </c>
      <c r="BY252" s="120">
        <v>41.7</v>
      </c>
      <c r="BZ252" s="120">
        <v>47.945</v>
      </c>
      <c r="CA252" s="124">
        <v>-3216.6708800000001</v>
      </c>
      <c r="CB252" s="120">
        <v>1.1497601918465228</v>
      </c>
      <c r="CC252" s="120">
        <v>500</v>
      </c>
      <c r="CD252" s="120">
        <v>50</v>
      </c>
      <c r="CE252" s="124">
        <v>20850</v>
      </c>
    </row>
    <row r="253" spans="1:83" hidden="1">
      <c r="A253" s="13">
        <f t="shared" ca="1" si="753"/>
        <v>246</v>
      </c>
      <c r="B253" s="128">
        <v>44704</v>
      </c>
      <c r="C253" s="121" t="s">
        <v>6</v>
      </c>
      <c r="D253" s="121">
        <v>1</v>
      </c>
      <c r="E253" s="120" t="s">
        <v>632</v>
      </c>
      <c r="F253" s="121" t="s">
        <v>284</v>
      </c>
      <c r="G253" s="120"/>
      <c r="H253" s="122">
        <v>44742</v>
      </c>
      <c r="I253" s="120">
        <v>1425</v>
      </c>
      <c r="J253" s="120">
        <v>426</v>
      </c>
      <c r="K253" s="120">
        <v>441.15</v>
      </c>
      <c r="L253" s="124">
        <f t="shared" ca="1" si="811"/>
        <v>0</v>
      </c>
      <c r="M253" s="124">
        <f t="shared" ca="1" si="812"/>
        <v>21588.749999999967</v>
      </c>
      <c r="N253" s="120">
        <f t="shared" ca="1" si="813"/>
        <v>1.0355633802816901</v>
      </c>
      <c r="O253" s="164">
        <f t="shared" ca="1" si="814"/>
        <v>319.5</v>
      </c>
      <c r="P253" s="168">
        <f t="shared" ca="1" si="754"/>
        <v>607050</v>
      </c>
      <c r="Q253" s="168" t="e">
        <f t="shared" ca="1" si="815"/>
        <v>#N/A</v>
      </c>
      <c r="R253" s="184">
        <f t="shared" ca="1" si="683"/>
        <v>0</v>
      </c>
      <c r="S253" s="124">
        <f t="shared" ca="1" si="816"/>
        <v>42.599999999999987</v>
      </c>
      <c r="T253" s="120">
        <f ca="1">VLOOKUP(TRIM($F253),Reference!B:C,2,0)</f>
        <v>428</v>
      </c>
      <c r="U253" s="181">
        <f t="shared" ca="1" si="817"/>
        <v>0</v>
      </c>
      <c r="V253" s="125" t="str">
        <f t="shared" ca="1" si="670"/>
        <v>TATAMOTORS22JUNFUT</v>
      </c>
      <c r="W253" s="166" t="e">
        <f ca="1">VLOOKUP($V253,Reference!BA:BD,4,0)</f>
        <v>#N/A</v>
      </c>
      <c r="X253" s="168">
        <f t="shared" ca="1" si="671"/>
        <v>0</v>
      </c>
      <c r="Y253" s="168">
        <f t="shared" ca="1" si="672"/>
        <v>0</v>
      </c>
      <c r="Z253" s="168">
        <f t="shared" ca="1" si="686"/>
        <v>0</v>
      </c>
      <c r="AA253" s="168">
        <f t="shared" ca="1" si="673"/>
        <v>0</v>
      </c>
      <c r="AB253" s="168">
        <f t="shared" ca="1" si="674"/>
        <v>0</v>
      </c>
      <c r="AC253" s="124">
        <f t="shared" ca="1" si="675"/>
        <v>0</v>
      </c>
      <c r="AD253" s="120">
        <f t="shared" ca="1" si="818"/>
        <v>-4.1095890410958902E-2</v>
      </c>
      <c r="AE253" s="120">
        <f t="shared" ca="1" si="819"/>
        <v>20</v>
      </c>
      <c r="AF253" s="120"/>
      <c r="AG253" s="120"/>
      <c r="AH253" s="120">
        <f t="shared" ca="1" si="755"/>
        <v>0</v>
      </c>
      <c r="AI253" s="120"/>
      <c r="AJ253" s="120">
        <f t="shared" ca="1" si="756"/>
        <v>18.211500000000001</v>
      </c>
      <c r="AK253" s="120"/>
      <c r="AL253" s="147"/>
      <c r="AM253" s="160"/>
      <c r="AN253" s="160"/>
      <c r="AO253" s="160"/>
      <c r="AP253" s="160"/>
      <c r="AQ253" s="160"/>
      <c r="AR253" s="160"/>
      <c r="AS253" s="160"/>
      <c r="AT253" s="160"/>
      <c r="AU253" s="160"/>
      <c r="AV253" s="160"/>
      <c r="AW253" s="160"/>
      <c r="AX253" s="160"/>
      <c r="AY253" s="160"/>
      <c r="AZ253" s="160"/>
      <c r="BA253" s="160"/>
      <c r="BB253" s="160"/>
      <c r="BC253" s="160"/>
      <c r="BD253" s="160"/>
      <c r="BE253" s="160"/>
      <c r="BF253" s="160"/>
      <c r="BG253" s="160"/>
      <c r="BS253" s="13">
        <v>2</v>
      </c>
      <c r="BT253" s="128">
        <v>44491</v>
      </c>
      <c r="BU253" s="121" t="s">
        <v>8</v>
      </c>
      <c r="BV253" s="120" t="s">
        <v>482</v>
      </c>
      <c r="BW253" s="121" t="s">
        <v>502</v>
      </c>
      <c r="BX253" s="120">
        <v>18400</v>
      </c>
      <c r="BY253" s="120">
        <v>41.7</v>
      </c>
      <c r="BZ253" s="120">
        <v>47.945</v>
      </c>
      <c r="CA253" s="124">
        <v>-3216.6708800000001</v>
      </c>
      <c r="CB253" s="120">
        <v>1.1497601918465228</v>
      </c>
      <c r="CC253" s="120">
        <v>500</v>
      </c>
      <c r="CD253" s="120">
        <v>50</v>
      </c>
      <c r="CE253" s="124">
        <v>20850</v>
      </c>
    </row>
    <row r="254" spans="1:83" hidden="1">
      <c r="A254" s="13">
        <f t="shared" ca="1" si="753"/>
        <v>247</v>
      </c>
      <c r="B254" s="128">
        <v>44704</v>
      </c>
      <c r="C254" s="121" t="s">
        <v>6</v>
      </c>
      <c r="D254" s="121">
        <v>1</v>
      </c>
      <c r="E254" s="120" t="s">
        <v>632</v>
      </c>
      <c r="F254" s="121" t="s">
        <v>90</v>
      </c>
      <c r="G254" s="120"/>
      <c r="H254" s="122">
        <v>44742</v>
      </c>
      <c r="I254" s="120">
        <v>300</v>
      </c>
      <c r="J254" s="120">
        <v>3325.9</v>
      </c>
      <c r="K254" s="120">
        <v>3331.1</v>
      </c>
      <c r="L254" s="124">
        <f t="shared" ref="L254:L255" ca="1" si="820">IF(AND(K254&lt;&gt;0,I254&lt;&gt;0),(IF(C254="B",1,-1))*(K254-J254)*I254-AK254*2,0)*$D254*IF(MONTH($B$2)=MONTH($H254),1,0)</f>
        <v>0</v>
      </c>
      <c r="M254" s="124">
        <f t="shared" ref="M254:M255" ca="1" si="821">IF(AND(K254&lt;&gt;0,I254&lt;&gt;0),(IF(C254="B",1,-1))*(K254-J254)*I254-AK254*2,0)*$D254</f>
        <v>1559.9999999999454</v>
      </c>
      <c r="N254" s="120">
        <f t="shared" ref="N254:N255" ca="1" si="822">K254/$J254</f>
        <v>1.0015634865750624</v>
      </c>
      <c r="O254" s="164">
        <f t="shared" ref="O254:O255" ca="1" si="823">J254*(1+$O$6*IF(C254="B",-1,1))</f>
        <v>2494.4250000000002</v>
      </c>
      <c r="P254" s="168">
        <f t="shared" ca="1" si="754"/>
        <v>997770</v>
      </c>
      <c r="Q254" s="168" t="e">
        <f t="shared" ref="Q254:Q255" ca="1" si="824">(W254-J254)*I254*IF(C254="B",1,-1)*IF(K254=0,1,0)</f>
        <v>#N/A</v>
      </c>
      <c r="R254" s="184">
        <f t="shared" ca="1" si="683"/>
        <v>0</v>
      </c>
      <c r="S254" s="124">
        <f t="shared" ref="S254:S255" ca="1" si="825">(1-$S$6)*J254</f>
        <v>332.58999999999992</v>
      </c>
      <c r="T254" s="120">
        <f ca="1">VLOOKUP(TRIM($F254),Reference!B:C,2,0)</f>
        <v>3003</v>
      </c>
      <c r="U254" s="181">
        <f t="shared" ref="U254:U255" ca="1" si="826">AC254</f>
        <v>0</v>
      </c>
      <c r="V254" s="125" t="str">
        <f t="shared" ca="1" si="670"/>
        <v>TCS22JUNFUT</v>
      </c>
      <c r="W254" s="166" t="e">
        <f ca="1">VLOOKUP($V254,Reference!BA:BD,4,0)</f>
        <v>#N/A</v>
      </c>
      <c r="X254" s="168">
        <f t="shared" ca="1" si="671"/>
        <v>0</v>
      </c>
      <c r="Y254" s="168">
        <f t="shared" ca="1" si="672"/>
        <v>0</v>
      </c>
      <c r="Z254" s="168">
        <f t="shared" ca="1" si="686"/>
        <v>0</v>
      </c>
      <c r="AA254" s="168">
        <f t="shared" ca="1" si="673"/>
        <v>0</v>
      </c>
      <c r="AB254" s="168">
        <f t="shared" ca="1" si="674"/>
        <v>0</v>
      </c>
      <c r="AC254" s="124">
        <f t="shared" ca="1" si="675"/>
        <v>0</v>
      </c>
      <c r="AD254" s="120">
        <f t="shared" ref="AD254:AD255" ca="1" si="827">(H254-TODAY())/365</f>
        <v>-4.1095890410958902E-2</v>
      </c>
      <c r="AE254" s="120">
        <f t="shared" ref="AE254:AE255" ca="1" si="828">IF(I254&lt;&gt;0,20,0)</f>
        <v>20</v>
      </c>
      <c r="AF254" s="120"/>
      <c r="AG254" s="120"/>
      <c r="AH254" s="120">
        <f t="shared" ca="1" si="755"/>
        <v>0</v>
      </c>
      <c r="AI254" s="120"/>
      <c r="AJ254" s="120">
        <f t="shared" ca="1" si="756"/>
        <v>29.9331</v>
      </c>
      <c r="AK254" s="120"/>
      <c r="AL254" s="147"/>
      <c r="AM254" s="160"/>
      <c r="AN254" s="160"/>
      <c r="AO254" s="160"/>
      <c r="AP254" s="160"/>
      <c r="AQ254" s="160"/>
      <c r="AR254" s="160"/>
      <c r="AS254" s="160"/>
      <c r="AT254" s="160"/>
      <c r="AU254" s="160"/>
      <c r="AV254" s="160"/>
      <c r="AW254" s="160"/>
      <c r="AX254" s="160"/>
      <c r="AY254" s="160"/>
      <c r="AZ254" s="160"/>
      <c r="BA254" s="160"/>
      <c r="BB254" s="160"/>
      <c r="BC254" s="160"/>
      <c r="BD254" s="160"/>
      <c r="BE254" s="160"/>
      <c r="BF254" s="160"/>
      <c r="BG254" s="160"/>
      <c r="BS254" s="13">
        <v>2</v>
      </c>
      <c r="BT254" s="128">
        <v>44491</v>
      </c>
      <c r="BU254" s="121" t="s">
        <v>8</v>
      </c>
      <c r="BV254" s="120" t="s">
        <v>482</v>
      </c>
      <c r="BW254" s="121" t="s">
        <v>502</v>
      </c>
      <c r="BX254" s="120">
        <v>18400</v>
      </c>
      <c r="BY254" s="120">
        <v>41.7</v>
      </c>
      <c r="BZ254" s="120">
        <v>47.945</v>
      </c>
      <c r="CA254" s="124">
        <v>-3216.6708800000001</v>
      </c>
      <c r="CB254" s="120">
        <v>1.1497601918465228</v>
      </c>
      <c r="CC254" s="120">
        <v>500</v>
      </c>
      <c r="CD254" s="120">
        <v>50</v>
      </c>
      <c r="CE254" s="124">
        <v>20850</v>
      </c>
    </row>
    <row r="255" spans="1:83" hidden="1">
      <c r="A255" s="13">
        <f t="shared" ca="1" si="753"/>
        <v>248</v>
      </c>
      <c r="B255" s="128">
        <v>44704</v>
      </c>
      <c r="C255" s="121" t="s">
        <v>8</v>
      </c>
      <c r="D255" s="121">
        <v>1</v>
      </c>
      <c r="E255" s="120" t="s">
        <v>481</v>
      </c>
      <c r="F255" s="121" t="s">
        <v>506</v>
      </c>
      <c r="G255" s="120">
        <v>37000</v>
      </c>
      <c r="H255" s="122">
        <v>44742</v>
      </c>
      <c r="I255" s="120">
        <v>25</v>
      </c>
      <c r="J255" s="120">
        <v>300.60000000000002</v>
      </c>
      <c r="K255" s="120">
        <v>3.1</v>
      </c>
      <c r="L255" s="124">
        <f t="shared" ca="1" si="820"/>
        <v>0</v>
      </c>
      <c r="M255" s="124">
        <f t="shared" ca="1" si="821"/>
        <v>7437.5</v>
      </c>
      <c r="N255" s="120">
        <f t="shared" ca="1" si="822"/>
        <v>1.0312707917498337E-2</v>
      </c>
      <c r="O255" s="164">
        <f t="shared" ca="1" si="823"/>
        <v>375.75</v>
      </c>
      <c r="P255" s="168">
        <f t="shared" ca="1" si="754"/>
        <v>7515.0000000000009</v>
      </c>
      <c r="Q255" s="168" t="e">
        <f t="shared" ca="1" si="824"/>
        <v>#N/A</v>
      </c>
      <c r="R255" s="184">
        <f t="shared" ca="1" si="683"/>
        <v>0</v>
      </c>
      <c r="S255" s="124">
        <f t="shared" ca="1" si="825"/>
        <v>30.059999999999995</v>
      </c>
      <c r="T255" s="120">
        <f ca="1">VLOOKUP(TRIM($F255),Reference!B:C,2,0)</f>
        <v>34651.199999999997</v>
      </c>
      <c r="U255" s="181">
        <f t="shared" ca="1" si="826"/>
        <v>0</v>
      </c>
      <c r="V255" s="125" t="str">
        <f t="shared" ca="1" si="670"/>
        <v>BANKNIFTY22JUN37000CE</v>
      </c>
      <c r="W255" s="166" t="e">
        <f ca="1">VLOOKUP($V255,Reference!BA:BD,4,0)</f>
        <v>#N/A</v>
      </c>
      <c r="X255" s="168">
        <f t="shared" ca="1" si="671"/>
        <v>0</v>
      </c>
      <c r="Y255" s="168">
        <f t="shared" ca="1" si="672"/>
        <v>0</v>
      </c>
      <c r="Z255" s="168">
        <f t="shared" ca="1" si="686"/>
        <v>0</v>
      </c>
      <c r="AA255" s="168">
        <f t="shared" ca="1" si="673"/>
        <v>0</v>
      </c>
      <c r="AB255" s="168">
        <f t="shared" ca="1" si="674"/>
        <v>0</v>
      </c>
      <c r="AC255" s="124">
        <f t="shared" ca="1" si="675"/>
        <v>0</v>
      </c>
      <c r="AD255" s="120">
        <f t="shared" ca="1" si="827"/>
        <v>-4.1095890410958902E-2</v>
      </c>
      <c r="AE255" s="120">
        <f t="shared" ca="1" si="828"/>
        <v>20</v>
      </c>
      <c r="AF255" s="120"/>
      <c r="AG255" s="120"/>
      <c r="AH255" s="120">
        <f t="shared" ca="1" si="755"/>
        <v>3.7575000000000007</v>
      </c>
      <c r="AI255" s="120"/>
      <c r="AJ255" s="120">
        <f t="shared" ca="1" si="756"/>
        <v>0</v>
      </c>
      <c r="AK255" s="120"/>
      <c r="AL255" s="147"/>
      <c r="AM255" s="160"/>
      <c r="AN255" s="160"/>
      <c r="AO255" s="160"/>
      <c r="AP255" s="160"/>
      <c r="AQ255" s="160"/>
      <c r="AR255" s="160"/>
      <c r="AS255" s="160"/>
      <c r="AT255" s="160"/>
      <c r="AU255" s="160"/>
      <c r="AV255" s="160"/>
      <c r="AW255" s="160"/>
      <c r="AX255" s="160"/>
      <c r="AY255" s="160"/>
      <c r="AZ255" s="160"/>
      <c r="BA255" s="160"/>
      <c r="BB255" s="160"/>
      <c r="BC255" s="160"/>
      <c r="BD255" s="160"/>
      <c r="BE255" s="160"/>
      <c r="BF255" s="160"/>
      <c r="BG255" s="160"/>
      <c r="BS255" s="13">
        <v>2</v>
      </c>
      <c r="BT255" s="128">
        <v>44491</v>
      </c>
      <c r="BU255" s="121" t="s">
        <v>8</v>
      </c>
      <c r="BV255" s="120" t="s">
        <v>482</v>
      </c>
      <c r="BW255" s="121" t="s">
        <v>502</v>
      </c>
      <c r="BX255" s="120">
        <v>18400</v>
      </c>
      <c r="BY255" s="120">
        <v>41.7</v>
      </c>
      <c r="BZ255" s="120">
        <v>47.945</v>
      </c>
      <c r="CA255" s="124">
        <v>-3216.6708800000001</v>
      </c>
      <c r="CB255" s="120">
        <v>1.1497601918465228</v>
      </c>
      <c r="CC255" s="120">
        <v>500</v>
      </c>
      <c r="CD255" s="120">
        <v>50</v>
      </c>
      <c r="CE255" s="124">
        <v>20850</v>
      </c>
    </row>
    <row r="256" spans="1:83" hidden="1">
      <c r="A256" s="13">
        <f t="shared" ca="1" si="753"/>
        <v>249</v>
      </c>
      <c r="B256" s="128">
        <v>44704</v>
      </c>
      <c r="C256" s="121" t="s">
        <v>8</v>
      </c>
      <c r="D256" s="121">
        <v>1</v>
      </c>
      <c r="E256" s="120" t="s">
        <v>481</v>
      </c>
      <c r="F256" s="121" t="s">
        <v>399</v>
      </c>
      <c r="G256" s="120">
        <v>1740</v>
      </c>
      <c r="H256" s="122">
        <v>44742</v>
      </c>
      <c r="I256" s="120">
        <v>575</v>
      </c>
      <c r="J256" s="120">
        <v>20.5</v>
      </c>
      <c r="K256" s="120">
        <v>0.1</v>
      </c>
      <c r="L256" s="124">
        <f t="shared" ref="L256" ca="1" si="829">IF(AND(K256&lt;&gt;0,I256&lt;&gt;0),(IF(C256="B",1,-1))*(K256-J256)*I256-AK256*2,0)*$D256*IF(MONTH($B$2)=MONTH($H256),1,0)</f>
        <v>0</v>
      </c>
      <c r="M256" s="124">
        <f t="shared" ref="M256" ca="1" si="830">IF(AND(K256&lt;&gt;0,I256&lt;&gt;0),(IF(C256="B",1,-1))*(K256-J256)*I256-AK256*2,0)*$D256</f>
        <v>11730</v>
      </c>
      <c r="N256" s="120">
        <f t="shared" ref="N256" ca="1" si="831">K256/$J256</f>
        <v>4.8780487804878049E-3</v>
      </c>
      <c r="O256" s="164">
        <f t="shared" ref="O256" ca="1" si="832">J256*(1+$O$6*IF(C256="B",-1,1))</f>
        <v>25.625</v>
      </c>
      <c r="P256" s="168">
        <f t="shared" ca="1" si="754"/>
        <v>11787.5</v>
      </c>
      <c r="Q256" s="168" t="e">
        <f t="shared" ref="Q256" ca="1" si="833">(W256-J256)*I256*IF(C256="B",1,-1)*IF(K256=0,1,0)</f>
        <v>#N/A</v>
      </c>
      <c r="R256" s="184">
        <f t="shared" ca="1" si="683"/>
        <v>0</v>
      </c>
      <c r="S256" s="124">
        <f t="shared" ref="S256" ca="1" si="834">(1-$S$6)*J256</f>
        <v>2.0499999999999994</v>
      </c>
      <c r="T256" s="120">
        <f ca="1">VLOOKUP(TRIM($F256),Reference!B:C,2,0)</f>
        <v>1646</v>
      </c>
      <c r="U256" s="181">
        <f t="shared" ref="U256" ca="1" si="835">AC256</f>
        <v>0</v>
      </c>
      <c r="V256" s="125" t="str">
        <f t="shared" ca="1" si="670"/>
        <v>LT22JUN1740CE</v>
      </c>
      <c r="W256" s="166" t="e">
        <f ca="1">VLOOKUP($V256,Reference!BA:BD,4,0)</f>
        <v>#N/A</v>
      </c>
      <c r="X256" s="168">
        <f t="shared" ca="1" si="671"/>
        <v>0</v>
      </c>
      <c r="Y256" s="168">
        <f t="shared" ca="1" si="672"/>
        <v>0</v>
      </c>
      <c r="Z256" s="168">
        <f t="shared" ca="1" si="686"/>
        <v>0</v>
      </c>
      <c r="AA256" s="168">
        <f t="shared" ca="1" si="673"/>
        <v>0</v>
      </c>
      <c r="AB256" s="168">
        <f t="shared" ca="1" si="674"/>
        <v>0</v>
      </c>
      <c r="AC256" s="124">
        <f t="shared" ca="1" si="675"/>
        <v>0</v>
      </c>
      <c r="AD256" s="120">
        <f t="shared" ref="AD256" ca="1" si="836">(H256-TODAY())/365</f>
        <v>-4.1095890410958902E-2</v>
      </c>
      <c r="AE256" s="120">
        <f t="shared" ref="AE256" ca="1" si="837">IF(I256&lt;&gt;0,20,0)</f>
        <v>20</v>
      </c>
      <c r="AF256" s="120"/>
      <c r="AG256" s="120"/>
      <c r="AH256" s="120">
        <f t="shared" ca="1" si="755"/>
        <v>5.8937499999999998</v>
      </c>
      <c r="AI256" s="120"/>
      <c r="AJ256" s="120">
        <f t="shared" ca="1" si="756"/>
        <v>0</v>
      </c>
      <c r="AK256" s="120"/>
      <c r="AL256" s="147"/>
      <c r="AM256" s="160"/>
      <c r="AN256" s="160"/>
      <c r="AO256" s="160"/>
      <c r="AP256" s="160"/>
      <c r="AQ256" s="160"/>
      <c r="AR256" s="160"/>
      <c r="AS256" s="160"/>
      <c r="AT256" s="160"/>
      <c r="AU256" s="160"/>
      <c r="AV256" s="160"/>
      <c r="AW256" s="160"/>
      <c r="AX256" s="160"/>
      <c r="AY256" s="160"/>
      <c r="AZ256" s="160"/>
      <c r="BA256" s="160"/>
      <c r="BB256" s="160"/>
      <c r="BC256" s="160"/>
      <c r="BD256" s="160"/>
      <c r="BE256" s="160"/>
      <c r="BF256" s="160"/>
      <c r="BG256" s="160"/>
      <c r="BS256" s="13">
        <v>2</v>
      </c>
      <c r="BT256" s="128">
        <v>44491</v>
      </c>
      <c r="BU256" s="121" t="s">
        <v>8</v>
      </c>
      <c r="BV256" s="120" t="s">
        <v>482</v>
      </c>
      <c r="BW256" s="121" t="s">
        <v>502</v>
      </c>
      <c r="BX256" s="120">
        <v>18400</v>
      </c>
      <c r="BY256" s="120">
        <v>41.7</v>
      </c>
      <c r="BZ256" s="120">
        <v>47.945</v>
      </c>
      <c r="CA256" s="124">
        <v>-3216.6708800000001</v>
      </c>
      <c r="CB256" s="120">
        <v>1.1497601918465228</v>
      </c>
      <c r="CC256" s="120">
        <v>500</v>
      </c>
      <c r="CD256" s="120">
        <v>50</v>
      </c>
      <c r="CE256" s="124">
        <v>20850</v>
      </c>
    </row>
    <row r="257" spans="1:83" hidden="1">
      <c r="A257" s="13">
        <f t="shared" ca="1" si="753"/>
        <v>250</v>
      </c>
      <c r="B257" s="128">
        <v>44704</v>
      </c>
      <c r="C257" s="121" t="s">
        <v>8</v>
      </c>
      <c r="D257" s="121">
        <v>1</v>
      </c>
      <c r="E257" s="120" t="s">
        <v>481</v>
      </c>
      <c r="F257" s="121" t="s">
        <v>126</v>
      </c>
      <c r="G257" s="120">
        <v>220</v>
      </c>
      <c r="H257" s="122">
        <v>44742</v>
      </c>
      <c r="I257" s="120">
        <v>3750</v>
      </c>
      <c r="J257" s="120">
        <v>3.1</v>
      </c>
      <c r="K257" s="120">
        <v>0.65</v>
      </c>
      <c r="L257" s="124">
        <f t="shared" ref="L257:L258" ca="1" si="838">IF(AND(K257&lt;&gt;0,I257&lt;&gt;0),(IF(C257="B",1,-1))*(K257-J257)*I257-AK257*2,0)*$D257*IF(MONTH($B$2)=MONTH($H257),1,0)</f>
        <v>0</v>
      </c>
      <c r="M257" s="124">
        <f t="shared" ref="M257:M258" ca="1" si="839">IF(AND(K257&lt;&gt;0,I257&lt;&gt;0),(IF(C257="B",1,-1))*(K257-J257)*I257-AK257*2,0)*$D257</f>
        <v>9187.5</v>
      </c>
      <c r="N257" s="120">
        <f t="shared" ref="N257:N258" ca="1" si="840">K257/$J257</f>
        <v>0.20967741935483872</v>
      </c>
      <c r="O257" s="164">
        <f t="shared" ref="O257:O258" ca="1" si="841">J257*(1+$O$6*IF(C257="B",-1,1))</f>
        <v>3.875</v>
      </c>
      <c r="P257" s="168">
        <f t="shared" ca="1" si="754"/>
        <v>11625</v>
      </c>
      <c r="Q257" s="168" t="e">
        <f t="shared" ref="Q257:Q258" ca="1" si="842">(W257-J257)*I257*IF(C257="B",1,-1)*IF(K257=0,1,0)</f>
        <v>#N/A</v>
      </c>
      <c r="R257" s="184">
        <f t="shared" ca="1" si="683"/>
        <v>0</v>
      </c>
      <c r="S257" s="124">
        <f t="shared" ref="S257:S258" ca="1" si="843">(1-$S$6)*J257</f>
        <v>0.30999999999999994</v>
      </c>
      <c r="T257" s="120">
        <f ca="1">VLOOKUP(TRIM($F257),Reference!B:C,2,0)</f>
        <v>162.15</v>
      </c>
      <c r="U257" s="181">
        <f t="shared" ref="U257:U258" ca="1" si="844">AC257</f>
        <v>0</v>
      </c>
      <c r="V257" s="125" t="str">
        <f t="shared" ca="1" si="670"/>
        <v>IEX22JUN220CE</v>
      </c>
      <c r="W257" s="166" t="e">
        <f ca="1">VLOOKUP($V257,Reference!BA:BD,4,0)</f>
        <v>#N/A</v>
      </c>
      <c r="X257" s="168">
        <f t="shared" ca="1" si="671"/>
        <v>0</v>
      </c>
      <c r="Y257" s="168">
        <f t="shared" ca="1" si="672"/>
        <v>0</v>
      </c>
      <c r="Z257" s="168">
        <f t="shared" ca="1" si="686"/>
        <v>0</v>
      </c>
      <c r="AA257" s="168">
        <f t="shared" ca="1" si="673"/>
        <v>0</v>
      </c>
      <c r="AB257" s="168">
        <f t="shared" ca="1" si="674"/>
        <v>0</v>
      </c>
      <c r="AC257" s="124">
        <f t="shared" ca="1" si="675"/>
        <v>0</v>
      </c>
      <c r="AD257" s="120">
        <f t="shared" ref="AD257:AD258" ca="1" si="845">(H257-TODAY())/365</f>
        <v>-4.1095890410958902E-2</v>
      </c>
      <c r="AE257" s="120">
        <f t="shared" ref="AE257:AE258" ca="1" si="846">IF(I257&lt;&gt;0,20,0)</f>
        <v>20</v>
      </c>
      <c r="AF257" s="120"/>
      <c r="AG257" s="120"/>
      <c r="AH257" s="120">
        <f t="shared" ca="1" si="755"/>
        <v>5.8125</v>
      </c>
      <c r="AI257" s="120"/>
      <c r="AJ257" s="120">
        <f t="shared" ca="1" si="756"/>
        <v>0</v>
      </c>
      <c r="AK257" s="120"/>
      <c r="AL257" s="147"/>
      <c r="AM257" s="160"/>
      <c r="AN257" s="160"/>
      <c r="AO257" s="160"/>
      <c r="AP257" s="160"/>
      <c r="AQ257" s="160"/>
      <c r="AR257" s="160"/>
      <c r="AS257" s="160"/>
      <c r="AT257" s="160"/>
      <c r="AU257" s="160"/>
      <c r="AV257" s="160"/>
      <c r="AW257" s="160"/>
      <c r="AX257" s="160"/>
      <c r="AY257" s="160"/>
      <c r="AZ257" s="160"/>
      <c r="BA257" s="160"/>
      <c r="BB257" s="160"/>
      <c r="BC257" s="160"/>
      <c r="BD257" s="160"/>
      <c r="BE257" s="160"/>
      <c r="BF257" s="160"/>
      <c r="BG257" s="160"/>
      <c r="BS257" s="13">
        <v>2</v>
      </c>
      <c r="BT257" s="128">
        <v>44491</v>
      </c>
      <c r="BU257" s="121" t="s">
        <v>8</v>
      </c>
      <c r="BV257" s="120" t="s">
        <v>482</v>
      </c>
      <c r="BW257" s="121" t="s">
        <v>502</v>
      </c>
      <c r="BX257" s="120">
        <v>18400</v>
      </c>
      <c r="BY257" s="120">
        <v>41.7</v>
      </c>
      <c r="BZ257" s="120">
        <v>47.945</v>
      </c>
      <c r="CA257" s="124">
        <v>-3216.6708800000001</v>
      </c>
      <c r="CB257" s="120">
        <v>1.1497601918465228</v>
      </c>
      <c r="CC257" s="120">
        <v>500</v>
      </c>
      <c r="CD257" s="120">
        <v>50</v>
      </c>
      <c r="CE257" s="124">
        <v>20850</v>
      </c>
    </row>
    <row r="258" spans="1:83" hidden="1">
      <c r="A258" s="13">
        <f t="shared" ca="1" si="753"/>
        <v>251</v>
      </c>
      <c r="B258" s="128">
        <v>44704</v>
      </c>
      <c r="C258" s="121" t="s">
        <v>6</v>
      </c>
      <c r="D258" s="121">
        <v>1</v>
      </c>
      <c r="E258" s="120" t="s">
        <v>632</v>
      </c>
      <c r="F258" s="121" t="s">
        <v>399</v>
      </c>
      <c r="G258" s="120"/>
      <c r="H258" s="122">
        <v>44770</v>
      </c>
      <c r="I258" s="120">
        <v>300</v>
      </c>
      <c r="J258" s="120">
        <v>1636.5</v>
      </c>
      <c r="K258" s="120">
        <v>1643.9</v>
      </c>
      <c r="L258" s="124">
        <f t="shared" ca="1" si="838"/>
        <v>2220.0000000000273</v>
      </c>
      <c r="M258" s="124">
        <f t="shared" ca="1" si="839"/>
        <v>2220.0000000000273</v>
      </c>
      <c r="N258" s="120">
        <f t="shared" ca="1" si="840"/>
        <v>1.0045218454017721</v>
      </c>
      <c r="O258" s="164">
        <f t="shared" ca="1" si="841"/>
        <v>1227.375</v>
      </c>
      <c r="P258" s="168">
        <f t="shared" ca="1" si="754"/>
        <v>490950</v>
      </c>
      <c r="Q258" s="168" t="e">
        <f t="shared" ca="1" si="842"/>
        <v>#N/A</v>
      </c>
      <c r="R258" s="184">
        <f t="shared" ca="1" si="683"/>
        <v>0</v>
      </c>
      <c r="S258" s="124">
        <f t="shared" ca="1" si="843"/>
        <v>163.64999999999998</v>
      </c>
      <c r="T258" s="120">
        <f ca="1">VLOOKUP(TRIM($F258),Reference!B:C,2,0)</f>
        <v>1646</v>
      </c>
      <c r="U258" s="181">
        <f t="shared" ca="1" si="844"/>
        <v>0</v>
      </c>
      <c r="V258" s="125" t="str">
        <f t="shared" ca="1" si="670"/>
        <v>LT22JULFUT</v>
      </c>
      <c r="W258" s="166" t="e">
        <f ca="1">VLOOKUP($V258,Reference!BA:BD,4,0)</f>
        <v>#N/A</v>
      </c>
      <c r="X258" s="168">
        <f t="shared" ca="1" si="671"/>
        <v>0</v>
      </c>
      <c r="Y258" s="168">
        <f t="shared" ca="1" si="672"/>
        <v>0</v>
      </c>
      <c r="Z258" s="168">
        <f t="shared" ca="1" si="686"/>
        <v>0</v>
      </c>
      <c r="AA258" s="168">
        <f t="shared" ca="1" si="673"/>
        <v>0</v>
      </c>
      <c r="AB258" s="168">
        <f t="shared" ca="1" si="674"/>
        <v>0</v>
      </c>
      <c r="AC258" s="124">
        <f t="shared" ca="1" si="675"/>
        <v>0</v>
      </c>
      <c r="AD258" s="120">
        <f t="shared" ca="1" si="845"/>
        <v>3.5616438356164383E-2</v>
      </c>
      <c r="AE258" s="120">
        <f t="shared" ca="1" si="846"/>
        <v>20</v>
      </c>
      <c r="AF258" s="120"/>
      <c r="AG258" s="120"/>
      <c r="AH258" s="120">
        <f t="shared" ca="1" si="755"/>
        <v>0</v>
      </c>
      <c r="AI258" s="120"/>
      <c r="AJ258" s="120">
        <f t="shared" ca="1" si="756"/>
        <v>14.7285</v>
      </c>
      <c r="AK258" s="120"/>
      <c r="AL258" s="147"/>
      <c r="AM258" s="160"/>
      <c r="AN258" s="160"/>
      <c r="AO258" s="160"/>
      <c r="AP258" s="160"/>
      <c r="AQ258" s="160"/>
      <c r="AR258" s="160"/>
      <c r="AS258" s="160"/>
      <c r="AT258" s="160"/>
      <c r="AU258" s="160"/>
      <c r="AV258" s="160"/>
      <c r="AW258" s="160"/>
      <c r="AX258" s="160"/>
      <c r="AY258" s="160"/>
      <c r="AZ258" s="160"/>
      <c r="BA258" s="160"/>
      <c r="BB258" s="160"/>
      <c r="BC258" s="160"/>
      <c r="BD258" s="160"/>
      <c r="BE258" s="160"/>
      <c r="BF258" s="160"/>
      <c r="BG258" s="160"/>
      <c r="BS258" s="13">
        <v>2</v>
      </c>
      <c r="BT258" s="128">
        <v>44491</v>
      </c>
      <c r="BU258" s="121" t="s">
        <v>8</v>
      </c>
      <c r="BV258" s="120" t="s">
        <v>482</v>
      </c>
      <c r="BW258" s="121" t="s">
        <v>502</v>
      </c>
      <c r="BX258" s="120">
        <v>18400</v>
      </c>
      <c r="BY258" s="120">
        <v>41.7</v>
      </c>
      <c r="BZ258" s="120">
        <v>47.945</v>
      </c>
      <c r="CA258" s="124">
        <v>-3216.6708800000001</v>
      </c>
      <c r="CB258" s="120">
        <v>1.1497601918465228</v>
      </c>
      <c r="CC258" s="120">
        <v>500</v>
      </c>
      <c r="CD258" s="120">
        <v>50</v>
      </c>
      <c r="CE258" s="124">
        <v>20850</v>
      </c>
    </row>
    <row r="259" spans="1:83" hidden="1">
      <c r="A259" s="13">
        <f t="shared" ca="1" si="753"/>
        <v>252</v>
      </c>
      <c r="B259" s="128">
        <v>44704</v>
      </c>
      <c r="C259" s="121" t="s">
        <v>6</v>
      </c>
      <c r="D259" s="121">
        <v>1</v>
      </c>
      <c r="E259" s="120" t="s">
        <v>632</v>
      </c>
      <c r="F259" s="121" t="s">
        <v>399</v>
      </c>
      <c r="G259" s="120"/>
      <c r="H259" s="122">
        <v>44770</v>
      </c>
      <c r="I259" s="120">
        <v>300</v>
      </c>
      <c r="J259" s="120">
        <v>1634</v>
      </c>
      <c r="K259" s="120">
        <v>1655.6</v>
      </c>
      <c r="L259" s="124">
        <f t="shared" ref="L259:L262" ca="1" si="847">IF(AND(K259&lt;&gt;0,I259&lt;&gt;0),(IF(C259="B",1,-1))*(K259-J259)*I259-AK259*2,0)*$D259*IF(MONTH($B$2)=MONTH($H259),1,0)</f>
        <v>6479.9999999999727</v>
      </c>
      <c r="M259" s="124">
        <f t="shared" ref="M259:M262" ca="1" si="848">IF(AND(K259&lt;&gt;0,I259&lt;&gt;0),(IF(C259="B",1,-1))*(K259-J259)*I259-AK259*2,0)*$D259</f>
        <v>6479.9999999999727</v>
      </c>
      <c r="N259" s="120">
        <f t="shared" ref="N259:N262" ca="1" si="849">K259/$J259</f>
        <v>1.0132190942472459</v>
      </c>
      <c r="O259" s="164">
        <f t="shared" ref="O259:O262" ca="1" si="850">J259*(1+$O$6*IF(C259="B",-1,1))</f>
        <v>1225.5</v>
      </c>
      <c r="P259" s="168">
        <f t="shared" ca="1" si="754"/>
        <v>490200</v>
      </c>
      <c r="Q259" s="168" t="e">
        <f t="shared" ref="Q259:Q262" ca="1" si="851">(W259-J259)*I259*IF(C259="B",1,-1)*IF(K259=0,1,0)</f>
        <v>#N/A</v>
      </c>
      <c r="R259" s="184">
        <f t="shared" ca="1" si="683"/>
        <v>0</v>
      </c>
      <c r="S259" s="124">
        <f t="shared" ref="S259:S262" ca="1" si="852">(1-$S$6)*J259</f>
        <v>163.39999999999998</v>
      </c>
      <c r="T259" s="120">
        <f ca="1">VLOOKUP(TRIM($F259),Reference!B:C,2,0)</f>
        <v>1646</v>
      </c>
      <c r="U259" s="181">
        <f t="shared" ref="U259:U262" ca="1" si="853">AC259</f>
        <v>0</v>
      </c>
      <c r="V259" s="125" t="str">
        <f t="shared" ca="1" si="670"/>
        <v>LT22JULFUT</v>
      </c>
      <c r="W259" s="166" t="e">
        <f ca="1">VLOOKUP($V259,Reference!BA:BD,4,0)</f>
        <v>#N/A</v>
      </c>
      <c r="X259" s="168">
        <f t="shared" ca="1" si="671"/>
        <v>0</v>
      </c>
      <c r="Y259" s="168">
        <f t="shared" ca="1" si="672"/>
        <v>0</v>
      </c>
      <c r="Z259" s="168">
        <f t="shared" ca="1" si="686"/>
        <v>0</v>
      </c>
      <c r="AA259" s="168">
        <f t="shared" ca="1" si="673"/>
        <v>0</v>
      </c>
      <c r="AB259" s="168">
        <f t="shared" ca="1" si="674"/>
        <v>0</v>
      </c>
      <c r="AC259" s="124">
        <f t="shared" ca="1" si="675"/>
        <v>0</v>
      </c>
      <c r="AD259" s="120">
        <f t="shared" ref="AD259:AD262" ca="1" si="854">(H259-TODAY())/365</f>
        <v>3.5616438356164383E-2</v>
      </c>
      <c r="AE259" s="120">
        <f t="shared" ref="AE259:AE262" ca="1" si="855">IF(I259&lt;&gt;0,20,0)</f>
        <v>20</v>
      </c>
      <c r="AF259" s="120"/>
      <c r="AG259" s="120"/>
      <c r="AH259" s="120">
        <f t="shared" ca="1" si="755"/>
        <v>0</v>
      </c>
      <c r="AI259" s="120"/>
      <c r="AJ259" s="120">
        <f t="shared" ca="1" si="756"/>
        <v>14.706</v>
      </c>
      <c r="AK259" s="120"/>
      <c r="AL259" s="147"/>
      <c r="AM259" s="160"/>
      <c r="AN259" s="160"/>
      <c r="AO259" s="160"/>
      <c r="AP259" s="160"/>
      <c r="AQ259" s="160"/>
      <c r="AR259" s="160"/>
      <c r="AS259" s="160"/>
      <c r="AT259" s="160"/>
      <c r="AU259" s="160"/>
      <c r="AV259" s="160"/>
      <c r="AW259" s="160"/>
      <c r="AX259" s="160"/>
      <c r="AY259" s="160"/>
      <c r="AZ259" s="160"/>
      <c r="BA259" s="160"/>
      <c r="BB259" s="160"/>
      <c r="BC259" s="160"/>
      <c r="BD259" s="160"/>
      <c r="BE259" s="160"/>
      <c r="BF259" s="160"/>
      <c r="BG259" s="160"/>
      <c r="BS259" s="13">
        <v>2</v>
      </c>
      <c r="BT259" s="128">
        <v>44491</v>
      </c>
      <c r="BU259" s="121" t="s">
        <v>8</v>
      </c>
      <c r="BV259" s="120" t="s">
        <v>482</v>
      </c>
      <c r="BW259" s="121" t="s">
        <v>502</v>
      </c>
      <c r="BX259" s="120">
        <v>18400</v>
      </c>
      <c r="BY259" s="120">
        <v>41.7</v>
      </c>
      <c r="BZ259" s="120">
        <v>47.945</v>
      </c>
      <c r="CA259" s="124">
        <v>-3216.6708800000001</v>
      </c>
      <c r="CB259" s="120">
        <v>1.1497601918465228</v>
      </c>
      <c r="CC259" s="120">
        <v>500</v>
      </c>
      <c r="CD259" s="120">
        <v>50</v>
      </c>
      <c r="CE259" s="124">
        <v>20850</v>
      </c>
    </row>
    <row r="260" spans="1:83" hidden="1">
      <c r="A260" s="13">
        <f t="shared" ca="1" si="753"/>
        <v>253</v>
      </c>
      <c r="B260" s="128">
        <v>44704</v>
      </c>
      <c r="C260" s="121" t="s">
        <v>6</v>
      </c>
      <c r="D260" s="121">
        <v>1</v>
      </c>
      <c r="E260" s="120" t="s">
        <v>632</v>
      </c>
      <c r="F260" s="121" t="s">
        <v>399</v>
      </c>
      <c r="G260" s="120"/>
      <c r="H260" s="122">
        <v>44770</v>
      </c>
      <c r="I260" s="120">
        <v>300</v>
      </c>
      <c r="J260" s="120">
        <v>1640</v>
      </c>
      <c r="K260" s="120">
        <v>1655.6</v>
      </c>
      <c r="L260" s="124">
        <f t="shared" ca="1" si="847"/>
        <v>4679.9999999999727</v>
      </c>
      <c r="M260" s="124">
        <f t="shared" ca="1" si="848"/>
        <v>4679.9999999999727</v>
      </c>
      <c r="N260" s="120">
        <f t="shared" ca="1" si="849"/>
        <v>1.0095121951219512</v>
      </c>
      <c r="O260" s="164">
        <f t="shared" ca="1" si="850"/>
        <v>1230</v>
      </c>
      <c r="P260" s="168">
        <f t="shared" ca="1" si="754"/>
        <v>492000</v>
      </c>
      <c r="Q260" s="168" t="e">
        <f t="shared" ca="1" si="851"/>
        <v>#N/A</v>
      </c>
      <c r="R260" s="184">
        <f t="shared" ca="1" si="683"/>
        <v>0</v>
      </c>
      <c r="S260" s="124">
        <f t="shared" ca="1" si="852"/>
        <v>163.99999999999997</v>
      </c>
      <c r="T260" s="120">
        <f ca="1">VLOOKUP(TRIM($F260),Reference!B:C,2,0)</f>
        <v>1646</v>
      </c>
      <c r="U260" s="181">
        <f t="shared" ca="1" si="853"/>
        <v>0</v>
      </c>
      <c r="V260" s="125" t="str">
        <f t="shared" ca="1" si="670"/>
        <v>LT22JULFUT</v>
      </c>
      <c r="W260" s="166" t="e">
        <f ca="1">VLOOKUP($V260,Reference!BA:BD,4,0)</f>
        <v>#N/A</v>
      </c>
      <c r="X260" s="168">
        <f t="shared" ca="1" si="671"/>
        <v>0</v>
      </c>
      <c r="Y260" s="168">
        <f t="shared" ca="1" si="672"/>
        <v>0</v>
      </c>
      <c r="Z260" s="168">
        <f t="shared" ca="1" si="686"/>
        <v>0</v>
      </c>
      <c r="AA260" s="168">
        <f t="shared" ca="1" si="673"/>
        <v>0</v>
      </c>
      <c r="AB260" s="168">
        <f t="shared" ca="1" si="674"/>
        <v>0</v>
      </c>
      <c r="AC260" s="124">
        <f t="shared" ca="1" si="675"/>
        <v>0</v>
      </c>
      <c r="AD260" s="120">
        <f t="shared" ca="1" si="854"/>
        <v>3.5616438356164383E-2</v>
      </c>
      <c r="AE260" s="120">
        <f t="shared" ca="1" si="855"/>
        <v>20</v>
      </c>
      <c r="AF260" s="120"/>
      <c r="AG260" s="120"/>
      <c r="AH260" s="120">
        <f t="shared" ca="1" si="755"/>
        <v>0</v>
      </c>
      <c r="AI260" s="120"/>
      <c r="AJ260" s="120">
        <f t="shared" ca="1" si="756"/>
        <v>14.76</v>
      </c>
      <c r="AK260" s="120"/>
      <c r="AL260" s="147"/>
      <c r="AM260" s="160"/>
      <c r="AN260" s="160"/>
      <c r="AO260" s="160"/>
      <c r="AP260" s="160"/>
      <c r="AQ260" s="160"/>
      <c r="AR260" s="160"/>
      <c r="AS260" s="160"/>
      <c r="AT260" s="160"/>
      <c r="AU260" s="160"/>
      <c r="AV260" s="160"/>
      <c r="AW260" s="160"/>
      <c r="AX260" s="160"/>
      <c r="AY260" s="160"/>
      <c r="AZ260" s="160"/>
      <c r="BA260" s="160"/>
      <c r="BB260" s="160"/>
      <c r="BC260" s="160"/>
      <c r="BD260" s="160"/>
      <c r="BE260" s="160"/>
      <c r="BF260" s="160"/>
      <c r="BG260" s="160"/>
      <c r="BS260" s="13">
        <v>2</v>
      </c>
      <c r="BT260" s="128">
        <v>44491</v>
      </c>
      <c r="BU260" s="121" t="s">
        <v>8</v>
      </c>
      <c r="BV260" s="120" t="s">
        <v>482</v>
      </c>
      <c r="BW260" s="121" t="s">
        <v>502</v>
      </c>
      <c r="BX260" s="120">
        <v>18400</v>
      </c>
      <c r="BY260" s="120">
        <v>41.7</v>
      </c>
      <c r="BZ260" s="120">
        <v>47.945</v>
      </c>
      <c r="CA260" s="124">
        <v>-3216.6708800000001</v>
      </c>
      <c r="CB260" s="120">
        <v>1.1497601918465228</v>
      </c>
      <c r="CC260" s="120">
        <v>500</v>
      </c>
      <c r="CD260" s="120">
        <v>50</v>
      </c>
      <c r="CE260" s="124">
        <v>20850</v>
      </c>
    </row>
    <row r="261" spans="1:83" hidden="1">
      <c r="A261" s="13">
        <f t="shared" ca="1" si="753"/>
        <v>254</v>
      </c>
      <c r="B261" s="128">
        <v>44704</v>
      </c>
      <c r="C261" s="121" t="s">
        <v>6</v>
      </c>
      <c r="D261" s="121">
        <v>1</v>
      </c>
      <c r="E261" s="120" t="s">
        <v>632</v>
      </c>
      <c r="F261" s="121" t="s">
        <v>399</v>
      </c>
      <c r="G261" s="120"/>
      <c r="H261" s="122">
        <v>44770</v>
      </c>
      <c r="I261" s="120">
        <v>300</v>
      </c>
      <c r="J261" s="120">
        <v>1640</v>
      </c>
      <c r="K261" s="120">
        <v>1655.6</v>
      </c>
      <c r="L261" s="124">
        <f t="shared" ca="1" si="847"/>
        <v>4679.9999999999727</v>
      </c>
      <c r="M261" s="124">
        <f t="shared" ca="1" si="848"/>
        <v>4679.9999999999727</v>
      </c>
      <c r="N261" s="120">
        <f t="shared" ca="1" si="849"/>
        <v>1.0095121951219512</v>
      </c>
      <c r="O261" s="164">
        <f t="shared" ca="1" si="850"/>
        <v>1230</v>
      </c>
      <c r="P261" s="168">
        <f t="shared" ca="1" si="754"/>
        <v>492000</v>
      </c>
      <c r="Q261" s="168" t="e">
        <f t="shared" ca="1" si="851"/>
        <v>#N/A</v>
      </c>
      <c r="R261" s="184">
        <f t="shared" ca="1" si="683"/>
        <v>0</v>
      </c>
      <c r="S261" s="124">
        <f t="shared" ca="1" si="852"/>
        <v>163.99999999999997</v>
      </c>
      <c r="T261" s="120">
        <f ca="1">VLOOKUP(TRIM($F261),Reference!B:C,2,0)</f>
        <v>1646</v>
      </c>
      <c r="U261" s="181">
        <f t="shared" ca="1" si="853"/>
        <v>0</v>
      </c>
      <c r="V261" s="125" t="str">
        <f t="shared" ca="1" si="670"/>
        <v>LT22JULFUT</v>
      </c>
      <c r="W261" s="166" t="e">
        <f ca="1">VLOOKUP($V261,Reference!BA:BD,4,0)</f>
        <v>#N/A</v>
      </c>
      <c r="X261" s="168">
        <f t="shared" ca="1" si="671"/>
        <v>0</v>
      </c>
      <c r="Y261" s="168">
        <f t="shared" ca="1" si="672"/>
        <v>0</v>
      </c>
      <c r="Z261" s="168">
        <f t="shared" ca="1" si="686"/>
        <v>0</v>
      </c>
      <c r="AA261" s="168">
        <f t="shared" ca="1" si="673"/>
        <v>0</v>
      </c>
      <c r="AB261" s="168">
        <f t="shared" ca="1" si="674"/>
        <v>0</v>
      </c>
      <c r="AC261" s="124">
        <f t="shared" ca="1" si="675"/>
        <v>0</v>
      </c>
      <c r="AD261" s="120">
        <f t="shared" ca="1" si="854"/>
        <v>3.5616438356164383E-2</v>
      </c>
      <c r="AE261" s="120">
        <f t="shared" ca="1" si="855"/>
        <v>20</v>
      </c>
      <c r="AF261" s="120"/>
      <c r="AG261" s="120"/>
      <c r="AH261" s="120">
        <f t="shared" ca="1" si="755"/>
        <v>0</v>
      </c>
      <c r="AI261" s="120"/>
      <c r="AJ261" s="120">
        <f t="shared" ca="1" si="756"/>
        <v>14.76</v>
      </c>
      <c r="AK261" s="120"/>
      <c r="AL261" s="147"/>
      <c r="AM261" s="160"/>
      <c r="AN261" s="160"/>
      <c r="AO261" s="160"/>
      <c r="AP261" s="160"/>
      <c r="AQ261" s="160"/>
      <c r="AR261" s="160"/>
      <c r="AS261" s="160"/>
      <c r="AT261" s="160"/>
      <c r="AU261" s="160"/>
      <c r="AV261" s="160"/>
      <c r="AW261" s="160"/>
      <c r="AX261" s="160"/>
      <c r="AY261" s="160"/>
      <c r="AZ261" s="160"/>
      <c r="BA261" s="160"/>
      <c r="BB261" s="160"/>
      <c r="BC261" s="160"/>
      <c r="BD261" s="160"/>
      <c r="BE261" s="160"/>
      <c r="BF261" s="160"/>
      <c r="BG261" s="160"/>
      <c r="BS261" s="13">
        <v>2</v>
      </c>
      <c r="BT261" s="128">
        <v>44491</v>
      </c>
      <c r="BU261" s="121" t="s">
        <v>8</v>
      </c>
      <c r="BV261" s="120" t="s">
        <v>482</v>
      </c>
      <c r="BW261" s="121" t="s">
        <v>502</v>
      </c>
      <c r="BX261" s="120">
        <v>18400</v>
      </c>
      <c r="BY261" s="120">
        <v>41.7</v>
      </c>
      <c r="BZ261" s="120">
        <v>47.945</v>
      </c>
      <c r="CA261" s="124">
        <v>-3216.6708800000001</v>
      </c>
      <c r="CB261" s="120">
        <v>1.1497601918465228</v>
      </c>
      <c r="CC261" s="120">
        <v>500</v>
      </c>
      <c r="CD261" s="120">
        <v>50</v>
      </c>
      <c r="CE261" s="124">
        <v>20850</v>
      </c>
    </row>
    <row r="262" spans="1:83" hidden="1">
      <c r="A262" s="13">
        <f t="shared" ca="1" si="753"/>
        <v>255</v>
      </c>
      <c r="B262" s="128">
        <v>44705</v>
      </c>
      <c r="C262" s="121" t="s">
        <v>8</v>
      </c>
      <c r="D262" s="121">
        <v>1</v>
      </c>
      <c r="E262" s="120" t="s">
        <v>481</v>
      </c>
      <c r="F262" s="121" t="s">
        <v>506</v>
      </c>
      <c r="G262" s="120">
        <v>37000</v>
      </c>
      <c r="H262" s="122">
        <v>44742</v>
      </c>
      <c r="I262" s="120">
        <v>25</v>
      </c>
      <c r="J262" s="120">
        <v>241.45</v>
      </c>
      <c r="K262" s="120">
        <v>3.1</v>
      </c>
      <c r="L262" s="124">
        <f t="shared" ca="1" si="847"/>
        <v>0</v>
      </c>
      <c r="M262" s="124">
        <f t="shared" ca="1" si="848"/>
        <v>5958.75</v>
      </c>
      <c r="N262" s="120">
        <f t="shared" ca="1" si="849"/>
        <v>1.283909712155726E-2</v>
      </c>
      <c r="O262" s="164">
        <f t="shared" ca="1" si="850"/>
        <v>301.8125</v>
      </c>
      <c r="P262" s="168">
        <f t="shared" ca="1" si="754"/>
        <v>6036.25</v>
      </c>
      <c r="Q262" s="168" t="e">
        <f t="shared" ca="1" si="851"/>
        <v>#N/A</v>
      </c>
      <c r="R262" s="184">
        <f t="shared" ca="1" si="683"/>
        <v>0</v>
      </c>
      <c r="S262" s="124">
        <f t="shared" ca="1" si="852"/>
        <v>24.144999999999992</v>
      </c>
      <c r="T262" s="120">
        <f ca="1">VLOOKUP(TRIM($F262),Reference!B:C,2,0)</f>
        <v>34651.199999999997</v>
      </c>
      <c r="U262" s="181">
        <f t="shared" ca="1" si="853"/>
        <v>0</v>
      </c>
      <c r="V262" s="125" t="str">
        <f t="shared" ca="1" si="670"/>
        <v>BANKNIFTY22JUN37000CE</v>
      </c>
      <c r="W262" s="166" t="e">
        <f ca="1">VLOOKUP($V262,Reference!BA:BD,4,0)</f>
        <v>#N/A</v>
      </c>
      <c r="X262" s="168">
        <f t="shared" ca="1" si="671"/>
        <v>0</v>
      </c>
      <c r="Y262" s="168">
        <f t="shared" ca="1" si="672"/>
        <v>0</v>
      </c>
      <c r="Z262" s="168">
        <f t="shared" ca="1" si="686"/>
        <v>0</v>
      </c>
      <c r="AA262" s="168">
        <f t="shared" ca="1" si="673"/>
        <v>0</v>
      </c>
      <c r="AB262" s="168">
        <f t="shared" ca="1" si="674"/>
        <v>0</v>
      </c>
      <c r="AC262" s="124">
        <f t="shared" ca="1" si="675"/>
        <v>0</v>
      </c>
      <c r="AD262" s="120">
        <f t="shared" ca="1" si="854"/>
        <v>-4.1095890410958902E-2</v>
      </c>
      <c r="AE262" s="120">
        <f t="shared" ca="1" si="855"/>
        <v>20</v>
      </c>
      <c r="AF262" s="120"/>
      <c r="AG262" s="120"/>
      <c r="AH262" s="120">
        <f t="shared" ca="1" si="755"/>
        <v>3.0181249999999999</v>
      </c>
      <c r="AI262" s="120"/>
      <c r="AJ262" s="120">
        <f t="shared" ca="1" si="756"/>
        <v>0</v>
      </c>
      <c r="AK262" s="120"/>
      <c r="AL262" s="147"/>
      <c r="AM262" s="160"/>
      <c r="AN262" s="160"/>
      <c r="AO262" s="160"/>
      <c r="AP262" s="160"/>
      <c r="AQ262" s="160"/>
      <c r="AR262" s="160"/>
      <c r="AS262" s="160"/>
      <c r="AT262" s="160"/>
      <c r="AU262" s="160"/>
      <c r="AV262" s="160"/>
      <c r="AW262" s="160"/>
      <c r="AX262" s="160"/>
      <c r="AY262" s="160"/>
      <c r="AZ262" s="160"/>
      <c r="BA262" s="160"/>
      <c r="BB262" s="160"/>
      <c r="BC262" s="160"/>
      <c r="BD262" s="160"/>
      <c r="BE262" s="160"/>
      <c r="BF262" s="160"/>
      <c r="BG262" s="160"/>
      <c r="BS262" s="13">
        <v>2</v>
      </c>
      <c r="BT262" s="128">
        <v>44491</v>
      </c>
      <c r="BU262" s="121" t="s">
        <v>8</v>
      </c>
      <c r="BV262" s="120" t="s">
        <v>482</v>
      </c>
      <c r="BW262" s="121" t="s">
        <v>502</v>
      </c>
      <c r="BX262" s="120">
        <v>18400</v>
      </c>
      <c r="BY262" s="120">
        <v>41.7</v>
      </c>
      <c r="BZ262" s="120">
        <v>47.945</v>
      </c>
      <c r="CA262" s="124">
        <v>-3216.6708800000001</v>
      </c>
      <c r="CB262" s="120">
        <v>1.1497601918465228</v>
      </c>
      <c r="CC262" s="120">
        <v>500</v>
      </c>
      <c r="CD262" s="120">
        <v>50</v>
      </c>
      <c r="CE262" s="124">
        <v>20850</v>
      </c>
    </row>
    <row r="263" spans="1:83" hidden="1">
      <c r="A263" s="13">
        <f t="shared" ca="1" si="753"/>
        <v>256</v>
      </c>
      <c r="B263" s="128">
        <v>44705</v>
      </c>
      <c r="C263" s="121" t="s">
        <v>8</v>
      </c>
      <c r="D263" s="121">
        <v>1</v>
      </c>
      <c r="E263" s="120" t="s">
        <v>481</v>
      </c>
      <c r="F263" s="121" t="s">
        <v>506</v>
      </c>
      <c r="G263" s="120">
        <v>37000</v>
      </c>
      <c r="H263" s="122">
        <v>44742</v>
      </c>
      <c r="I263" s="120">
        <v>25</v>
      </c>
      <c r="J263" s="120">
        <v>216.05</v>
      </c>
      <c r="K263" s="120">
        <v>3.1</v>
      </c>
      <c r="L263" s="124">
        <f t="shared" ref="L263:L264" ca="1" si="856">IF(AND(K263&lt;&gt;0,I263&lt;&gt;0),(IF(C263="B",1,-1))*(K263-J263)*I263-AK263*2,0)*$D263*IF(MONTH($B$2)=MONTH($H263),1,0)</f>
        <v>0</v>
      </c>
      <c r="M263" s="124">
        <f t="shared" ref="M263:M264" ca="1" si="857">IF(AND(K263&lt;&gt;0,I263&lt;&gt;0),(IF(C263="B",1,-1))*(K263-J263)*I263-AK263*2,0)*$D263</f>
        <v>5323.75</v>
      </c>
      <c r="N263" s="120">
        <f t="shared" ref="N263:N264" ca="1" si="858">K263/$J263</f>
        <v>1.4348530432770191E-2</v>
      </c>
      <c r="O263" s="164">
        <f t="shared" ref="O263:O264" ca="1" si="859">J263*(1+$O$6*IF(C263="B",-1,1))</f>
        <v>270.0625</v>
      </c>
      <c r="P263" s="168">
        <f t="shared" ca="1" si="754"/>
        <v>5401.25</v>
      </c>
      <c r="Q263" s="168" t="e">
        <f t="shared" ref="Q263:Q264" ca="1" si="860">(W263-J263)*I263*IF(C263="B",1,-1)*IF(K263=0,1,0)</f>
        <v>#N/A</v>
      </c>
      <c r="R263" s="184">
        <f t="shared" ca="1" si="683"/>
        <v>0</v>
      </c>
      <c r="S263" s="124">
        <f t="shared" ref="S263:S264" ca="1" si="861">(1-$S$6)*J263</f>
        <v>21.604999999999997</v>
      </c>
      <c r="T263" s="120">
        <f ca="1">VLOOKUP(TRIM($F263),Reference!B:C,2,0)</f>
        <v>34651.199999999997</v>
      </c>
      <c r="U263" s="181">
        <f t="shared" ref="U263:U264" ca="1" si="862">AC263</f>
        <v>0</v>
      </c>
      <c r="V263" s="125" t="str">
        <f t="shared" ca="1" si="670"/>
        <v>BANKNIFTY22JUN37000CE</v>
      </c>
      <c r="W263" s="166" t="e">
        <f ca="1">VLOOKUP($V263,Reference!BA:BD,4,0)</f>
        <v>#N/A</v>
      </c>
      <c r="X263" s="168">
        <f t="shared" ca="1" si="671"/>
        <v>0</v>
      </c>
      <c r="Y263" s="168">
        <f t="shared" ca="1" si="672"/>
        <v>0</v>
      </c>
      <c r="Z263" s="168">
        <f t="shared" ca="1" si="686"/>
        <v>0</v>
      </c>
      <c r="AA263" s="168">
        <f t="shared" ca="1" si="673"/>
        <v>0</v>
      </c>
      <c r="AB263" s="168">
        <f t="shared" ca="1" si="674"/>
        <v>0</v>
      </c>
      <c r="AC263" s="124">
        <f t="shared" ca="1" si="675"/>
        <v>0</v>
      </c>
      <c r="AD263" s="120">
        <f t="shared" ref="AD263:AD264" ca="1" si="863">(H263-TODAY())/365</f>
        <v>-4.1095890410958902E-2</v>
      </c>
      <c r="AE263" s="120">
        <f t="shared" ref="AE263:AE264" ca="1" si="864">IF(I263&lt;&gt;0,20,0)</f>
        <v>20</v>
      </c>
      <c r="AF263" s="120"/>
      <c r="AG263" s="120"/>
      <c r="AH263" s="120">
        <f t="shared" ca="1" si="755"/>
        <v>2.7006250000000001</v>
      </c>
      <c r="AI263" s="120"/>
      <c r="AJ263" s="120">
        <f t="shared" ca="1" si="756"/>
        <v>0</v>
      </c>
      <c r="AK263" s="120"/>
      <c r="AL263" s="147"/>
      <c r="AM263" s="160"/>
      <c r="AN263" s="160"/>
      <c r="AO263" s="160"/>
      <c r="AP263" s="160"/>
      <c r="AQ263" s="160"/>
      <c r="AR263" s="160"/>
      <c r="AS263" s="160"/>
      <c r="AT263" s="160"/>
      <c r="AU263" s="160"/>
      <c r="AV263" s="160"/>
      <c r="AW263" s="160"/>
      <c r="AX263" s="160"/>
      <c r="AY263" s="160"/>
      <c r="AZ263" s="160"/>
      <c r="BA263" s="160"/>
      <c r="BB263" s="160"/>
      <c r="BC263" s="160"/>
      <c r="BD263" s="160"/>
      <c r="BE263" s="160"/>
      <c r="BF263" s="160"/>
      <c r="BG263" s="160"/>
      <c r="BS263" s="13">
        <v>2</v>
      </c>
      <c r="BT263" s="128">
        <v>44491</v>
      </c>
      <c r="BU263" s="121" t="s">
        <v>8</v>
      </c>
      <c r="BV263" s="120" t="s">
        <v>482</v>
      </c>
      <c r="BW263" s="121" t="s">
        <v>502</v>
      </c>
      <c r="BX263" s="120">
        <v>18400</v>
      </c>
      <c r="BY263" s="120">
        <v>41.7</v>
      </c>
      <c r="BZ263" s="120">
        <v>47.945</v>
      </c>
      <c r="CA263" s="124">
        <v>-3216.6708800000001</v>
      </c>
      <c r="CB263" s="120">
        <v>1.1497601918465228</v>
      </c>
      <c r="CC263" s="120">
        <v>500</v>
      </c>
      <c r="CD263" s="120">
        <v>50</v>
      </c>
      <c r="CE263" s="124">
        <v>20850</v>
      </c>
    </row>
    <row r="264" spans="1:83" hidden="1">
      <c r="A264" s="13">
        <f t="shared" ca="1" si="753"/>
        <v>257</v>
      </c>
      <c r="B264" s="128">
        <v>44705</v>
      </c>
      <c r="C264" s="121" t="s">
        <v>8</v>
      </c>
      <c r="D264" s="121">
        <v>1</v>
      </c>
      <c r="E264" s="120" t="s">
        <v>481</v>
      </c>
      <c r="F264" s="121" t="s">
        <v>502</v>
      </c>
      <c r="G264" s="120">
        <v>16650</v>
      </c>
      <c r="H264" s="122">
        <v>44742</v>
      </c>
      <c r="I264" s="120">
        <v>150</v>
      </c>
      <c r="J264" s="120">
        <v>213.8</v>
      </c>
      <c r="K264" s="120">
        <v>2.5</v>
      </c>
      <c r="L264" s="124">
        <f t="shared" ca="1" si="856"/>
        <v>0</v>
      </c>
      <c r="M264" s="124">
        <f t="shared" ca="1" si="857"/>
        <v>31695</v>
      </c>
      <c r="N264" s="120">
        <f t="shared" ca="1" si="858"/>
        <v>1.1693171188026192E-2</v>
      </c>
      <c r="O264" s="164">
        <f t="shared" ca="1" si="859"/>
        <v>267.25</v>
      </c>
      <c r="P264" s="168">
        <f t="shared" ca="1" si="754"/>
        <v>32070</v>
      </c>
      <c r="Q264" s="168" t="e">
        <f t="shared" ca="1" si="860"/>
        <v>#N/A</v>
      </c>
      <c r="R264" s="184">
        <f t="shared" ca="1" si="683"/>
        <v>0</v>
      </c>
      <c r="S264" s="124">
        <f t="shared" ca="1" si="861"/>
        <v>21.379999999999995</v>
      </c>
      <c r="T264" s="120">
        <f ca="1">VLOOKUP(TRIM($F264),Reference!B:C,2,0)</f>
        <v>15938.65</v>
      </c>
      <c r="U264" s="181">
        <f t="shared" ca="1" si="862"/>
        <v>0</v>
      </c>
      <c r="V264" s="125" t="str">
        <f t="shared" ref="V264:V327" ca="1" si="865">TRIM(F264)&amp;TEXT(H264,"YY")&amp;UPPER(TEXT(H264,"MMM"))&amp;TRIM(G264)&amp;TRIM(E264)</f>
        <v>NIFTY22JUN16650CE</v>
      </c>
      <c r="W264" s="166" t="e">
        <f ca="1">VLOOKUP($V264,Reference!BA:BD,4,0)</f>
        <v>#N/A</v>
      </c>
      <c r="X264" s="168">
        <f t="shared" ref="X264:X327" ca="1" si="866">IF(OR($AD264&lt;0,$K264&lt;&gt;0),0,IF($E264="FUT",W264,OptionPrice(LEFT($E264),$T264,$G264,$AD264,RISKFREE_RATE,$U264,NIFTY_DIVYLD))*IF(C264="B",1,-1)*IF(I264=0,0,1)*IF(K264=0,1,0)*I264)</f>
        <v>0</v>
      </c>
      <c r="Y264" s="168">
        <f t="shared" ref="Y264:Y327" ca="1" si="867">IF(OR($AD264&lt;0,$K264&lt;&gt;0),0,IF($E264="FUT",1,OptionDelta(LEFT(E264),T264,G264,AD264,RISKFREE_RATE,U264,NIFTY_DIVYLD)))</f>
        <v>0</v>
      </c>
      <c r="Z264" s="168">
        <f t="shared" ca="1" si="686"/>
        <v>0</v>
      </c>
      <c r="AA264" s="168">
        <f t="shared" ref="AA264:AA327" ca="1" si="868">IF(OR($AD264&lt;0,$K264&lt;&gt;0),0,IF($E264="FUT",0,OptionTheta(LEFT(E264),T264,G264,AD264,RISKFREE_RATE,U264,NIFTY_DIVYLD))*IF(C264="B",1,-1)*IF(I264=0,0,1)*IF(K264=0,1,0)*I264)</f>
        <v>0</v>
      </c>
      <c r="AB264" s="168">
        <f t="shared" ref="AB264:AB327" ca="1" si="869">IF(OR($AD264&lt;0,$K264&lt;&gt;0),0,IF($E264="FUT",0,OptionGamma(T264,G264,AD264,RISKFREE_RATE,U264,NIFTY_DIVYLD))*IF(C264="B",1,-1)*IF(I264=0,0,1)*IF(K264=0,1,0))</f>
        <v>0</v>
      </c>
      <c r="AC264" s="124">
        <f t="shared" ref="AC264:AC327" ca="1" si="870">IF(OR($AD264&lt;0,$K264&lt;&gt;0),0,IF($E264="FUT",0,ImpliedVolatility(LEFT(E264),T264,G264,RISKFREE_RATE,AD264,NIFTY_DIVYLD,W264,$AC$6)))</f>
        <v>0</v>
      </c>
      <c r="AD264" s="120">
        <f t="shared" ca="1" si="863"/>
        <v>-4.1095890410958902E-2</v>
      </c>
      <c r="AE264" s="120">
        <f t="shared" ca="1" si="864"/>
        <v>20</v>
      </c>
      <c r="AF264" s="120"/>
      <c r="AG264" s="120"/>
      <c r="AH264" s="120">
        <f t="shared" ca="1" si="755"/>
        <v>16.035</v>
      </c>
      <c r="AI264" s="120"/>
      <c r="AJ264" s="120">
        <f t="shared" ca="1" si="756"/>
        <v>0</v>
      </c>
      <c r="AK264" s="120"/>
      <c r="AL264" s="147"/>
      <c r="AM264" s="160"/>
      <c r="AN264" s="160"/>
      <c r="AO264" s="160"/>
      <c r="AP264" s="160"/>
      <c r="AQ264" s="160"/>
      <c r="AR264" s="160"/>
      <c r="AS264" s="160"/>
      <c r="AT264" s="160"/>
      <c r="AU264" s="160"/>
      <c r="AV264" s="160"/>
      <c r="AW264" s="160"/>
      <c r="AX264" s="160"/>
      <c r="AY264" s="160"/>
      <c r="AZ264" s="160"/>
      <c r="BA264" s="160"/>
      <c r="BB264" s="160"/>
      <c r="BC264" s="160"/>
      <c r="BD264" s="160"/>
      <c r="BE264" s="160"/>
      <c r="BF264" s="160"/>
      <c r="BG264" s="160"/>
      <c r="BS264" s="13">
        <v>2</v>
      </c>
      <c r="BT264" s="128">
        <v>44491</v>
      </c>
      <c r="BU264" s="121" t="s">
        <v>8</v>
      </c>
      <c r="BV264" s="120" t="s">
        <v>482</v>
      </c>
      <c r="BW264" s="121" t="s">
        <v>502</v>
      </c>
      <c r="BX264" s="120">
        <v>18400</v>
      </c>
      <c r="BY264" s="120">
        <v>41.7</v>
      </c>
      <c r="BZ264" s="120">
        <v>47.945</v>
      </c>
      <c r="CA264" s="124">
        <v>-3216.6708800000001</v>
      </c>
      <c r="CB264" s="120">
        <v>1.1497601918465228</v>
      </c>
      <c r="CC264" s="120">
        <v>500</v>
      </c>
      <c r="CD264" s="120">
        <v>50</v>
      </c>
      <c r="CE264" s="124">
        <v>20850</v>
      </c>
    </row>
    <row r="265" spans="1:83" hidden="1">
      <c r="A265" s="13">
        <f t="shared" ca="1" si="753"/>
        <v>258</v>
      </c>
      <c r="B265" s="128">
        <v>44705</v>
      </c>
      <c r="C265" s="121" t="s">
        <v>8</v>
      </c>
      <c r="D265" s="121">
        <v>1</v>
      </c>
      <c r="E265" s="120" t="s">
        <v>482</v>
      </c>
      <c r="F265" s="121" t="s">
        <v>502</v>
      </c>
      <c r="G265" s="120">
        <v>15500</v>
      </c>
      <c r="H265" s="122">
        <v>44742</v>
      </c>
      <c r="I265" s="120">
        <v>150</v>
      </c>
      <c r="J265" s="120">
        <v>244.25</v>
      </c>
      <c r="K265" s="120">
        <v>132.5</v>
      </c>
      <c r="L265" s="124">
        <f t="shared" ref="L265:L266" ca="1" si="871">IF(AND(K265&lt;&gt;0,I265&lt;&gt;0),(IF(C265="B",1,-1))*(K265-J265)*I265-AK265*2,0)*$D265*IF(MONTH($B$2)=MONTH($H265),1,0)</f>
        <v>0</v>
      </c>
      <c r="M265" s="124">
        <f t="shared" ref="M265:M266" ca="1" si="872">IF(AND(K265&lt;&gt;0,I265&lt;&gt;0),(IF(C265="B",1,-1))*(K265-J265)*I265-AK265*2,0)*$D265</f>
        <v>16762.5</v>
      </c>
      <c r="N265" s="120">
        <f t="shared" ref="N265:N266" ca="1" si="873">K265/$J265</f>
        <v>0.5424769703172978</v>
      </c>
      <c r="O265" s="164">
        <f t="shared" ref="O265:O266" ca="1" si="874">J265*(1+$O$6*IF(C265="B",-1,1))</f>
        <v>305.3125</v>
      </c>
      <c r="P265" s="168">
        <f t="shared" ca="1" si="754"/>
        <v>36637.5</v>
      </c>
      <c r="Q265" s="168" t="e">
        <f t="shared" ref="Q265:Q266" ca="1" si="875">(W265-J265)*I265*IF(C265="B",1,-1)*IF(K265=0,1,0)</f>
        <v>#N/A</v>
      </c>
      <c r="R265" s="184">
        <f t="shared" ref="R265:R328" ca="1" si="876">Z265*T265</f>
        <v>0</v>
      </c>
      <c r="S265" s="124">
        <f t="shared" ref="S265:S266" ca="1" si="877">(1-$S$6)*J265</f>
        <v>24.424999999999994</v>
      </c>
      <c r="T265" s="120">
        <f ca="1">VLOOKUP(TRIM($F265),Reference!B:C,2,0)</f>
        <v>15938.65</v>
      </c>
      <c r="U265" s="181">
        <f t="shared" ref="U265:U266" ca="1" si="878">AC265</f>
        <v>0</v>
      </c>
      <c r="V265" s="125" t="str">
        <f t="shared" ca="1" si="865"/>
        <v>NIFTY22JUN15500PE</v>
      </c>
      <c r="W265" s="166" t="e">
        <f ca="1">VLOOKUP($V265,Reference!BA:BD,4,0)</f>
        <v>#N/A</v>
      </c>
      <c r="X265" s="168">
        <f t="shared" ca="1" si="866"/>
        <v>0</v>
      </c>
      <c r="Y265" s="168">
        <f t="shared" ca="1" si="867"/>
        <v>0</v>
      </c>
      <c r="Z265" s="168">
        <f t="shared" ref="Z265:Z328" ca="1" si="879">Y265*IF(C265="B",1,-1)*IF(I265=0,0,1)*IF(K265=0,1,0)*I265</f>
        <v>0</v>
      </c>
      <c r="AA265" s="168">
        <f t="shared" ca="1" si="868"/>
        <v>0</v>
      </c>
      <c r="AB265" s="168">
        <f t="shared" ca="1" si="869"/>
        <v>0</v>
      </c>
      <c r="AC265" s="124">
        <f t="shared" ca="1" si="870"/>
        <v>0</v>
      </c>
      <c r="AD265" s="120">
        <f t="shared" ref="AD265:AD266" ca="1" si="880">(H265-TODAY())/365</f>
        <v>-4.1095890410958902E-2</v>
      </c>
      <c r="AE265" s="120">
        <f t="shared" ref="AE265:AE266" ca="1" si="881">IF(I265&lt;&gt;0,20,0)</f>
        <v>20</v>
      </c>
      <c r="AF265" s="120"/>
      <c r="AG265" s="120"/>
      <c r="AH265" s="120">
        <f t="shared" ca="1" si="755"/>
        <v>18.318750000000001</v>
      </c>
      <c r="AI265" s="120"/>
      <c r="AJ265" s="120">
        <f t="shared" ca="1" si="756"/>
        <v>0</v>
      </c>
      <c r="AK265" s="120"/>
      <c r="AL265" s="147"/>
      <c r="AM265" s="160"/>
      <c r="AN265" s="160"/>
      <c r="AO265" s="160"/>
      <c r="AP265" s="160"/>
      <c r="AQ265" s="160"/>
      <c r="AR265" s="160"/>
      <c r="AS265" s="160"/>
      <c r="AT265" s="160"/>
      <c r="AU265" s="160"/>
      <c r="AV265" s="160"/>
      <c r="AW265" s="160"/>
      <c r="AX265" s="160"/>
      <c r="AY265" s="160"/>
      <c r="AZ265" s="160"/>
      <c r="BA265" s="160"/>
      <c r="BB265" s="160"/>
      <c r="BC265" s="160"/>
      <c r="BD265" s="160"/>
      <c r="BE265" s="160"/>
      <c r="BF265" s="160"/>
      <c r="BG265" s="160"/>
      <c r="BS265" s="13">
        <v>2</v>
      </c>
      <c r="BT265" s="128">
        <v>44491</v>
      </c>
      <c r="BU265" s="121" t="s">
        <v>8</v>
      </c>
      <c r="BV265" s="120" t="s">
        <v>482</v>
      </c>
      <c r="BW265" s="121" t="s">
        <v>502</v>
      </c>
      <c r="BX265" s="120">
        <v>18400</v>
      </c>
      <c r="BY265" s="120">
        <v>41.7</v>
      </c>
      <c r="BZ265" s="120">
        <v>47.945</v>
      </c>
      <c r="CA265" s="124">
        <v>-3216.6708800000001</v>
      </c>
      <c r="CB265" s="120">
        <v>1.1497601918465228</v>
      </c>
      <c r="CC265" s="120">
        <v>500</v>
      </c>
      <c r="CD265" s="120">
        <v>50</v>
      </c>
      <c r="CE265" s="124">
        <v>20850</v>
      </c>
    </row>
    <row r="266" spans="1:83" hidden="1">
      <c r="A266" s="13">
        <f t="shared" ca="1" si="753"/>
        <v>259</v>
      </c>
      <c r="B266" s="128">
        <v>44705</v>
      </c>
      <c r="C266" s="121" t="s">
        <v>8</v>
      </c>
      <c r="D266" s="121">
        <v>1</v>
      </c>
      <c r="E266" s="120" t="s">
        <v>481</v>
      </c>
      <c r="F266" s="121" t="s">
        <v>502</v>
      </c>
      <c r="G266" s="120">
        <v>17000</v>
      </c>
      <c r="H266" s="122">
        <v>44742</v>
      </c>
      <c r="I266" s="120">
        <v>100</v>
      </c>
      <c r="J266" s="120">
        <v>119</v>
      </c>
      <c r="K266" s="120">
        <v>1.35</v>
      </c>
      <c r="L266" s="124">
        <f t="shared" ca="1" si="871"/>
        <v>0</v>
      </c>
      <c r="M266" s="124">
        <f t="shared" ca="1" si="872"/>
        <v>11765</v>
      </c>
      <c r="N266" s="120">
        <f t="shared" ca="1" si="873"/>
        <v>1.1344537815126052E-2</v>
      </c>
      <c r="O266" s="164">
        <f t="shared" ca="1" si="874"/>
        <v>148.75</v>
      </c>
      <c r="P266" s="168">
        <f t="shared" ca="1" si="754"/>
        <v>11900</v>
      </c>
      <c r="Q266" s="168" t="e">
        <f t="shared" ca="1" si="875"/>
        <v>#N/A</v>
      </c>
      <c r="R266" s="184">
        <f t="shared" ca="1" si="876"/>
        <v>0</v>
      </c>
      <c r="S266" s="124">
        <f t="shared" ca="1" si="877"/>
        <v>11.899999999999997</v>
      </c>
      <c r="T266" s="120">
        <f ca="1">VLOOKUP(TRIM($F266),Reference!B:C,2,0)</f>
        <v>15938.65</v>
      </c>
      <c r="U266" s="181">
        <f t="shared" ca="1" si="878"/>
        <v>0</v>
      </c>
      <c r="V266" s="125" t="str">
        <f t="shared" ca="1" si="865"/>
        <v>NIFTY22JUN17000CE</v>
      </c>
      <c r="W266" s="166" t="e">
        <f ca="1">VLOOKUP($V266,Reference!BA:BD,4,0)</f>
        <v>#N/A</v>
      </c>
      <c r="X266" s="168">
        <f t="shared" ca="1" si="866"/>
        <v>0</v>
      </c>
      <c r="Y266" s="168">
        <f t="shared" ca="1" si="867"/>
        <v>0</v>
      </c>
      <c r="Z266" s="168">
        <f t="shared" ca="1" si="879"/>
        <v>0</v>
      </c>
      <c r="AA266" s="168">
        <f t="shared" ca="1" si="868"/>
        <v>0</v>
      </c>
      <c r="AB266" s="168">
        <f t="shared" ca="1" si="869"/>
        <v>0</v>
      </c>
      <c r="AC266" s="124">
        <f t="shared" ca="1" si="870"/>
        <v>0</v>
      </c>
      <c r="AD266" s="120">
        <f t="shared" ca="1" si="880"/>
        <v>-4.1095890410958902E-2</v>
      </c>
      <c r="AE266" s="120">
        <f t="shared" ca="1" si="881"/>
        <v>20</v>
      </c>
      <c r="AF266" s="120"/>
      <c r="AG266" s="120"/>
      <c r="AH266" s="120">
        <f t="shared" ca="1" si="755"/>
        <v>5.95</v>
      </c>
      <c r="AI266" s="120"/>
      <c r="AJ266" s="120">
        <f t="shared" ca="1" si="756"/>
        <v>0</v>
      </c>
      <c r="AK266" s="120"/>
      <c r="AL266" s="147"/>
      <c r="AM266" s="160"/>
      <c r="AN266" s="160"/>
      <c r="AO266" s="160"/>
      <c r="AP266" s="160"/>
      <c r="AQ266" s="160"/>
      <c r="AR266" s="160"/>
      <c r="AS266" s="160"/>
      <c r="AT266" s="160"/>
      <c r="AU266" s="160"/>
      <c r="AV266" s="160"/>
      <c r="AW266" s="160"/>
      <c r="AX266" s="160"/>
      <c r="AY266" s="160"/>
      <c r="AZ266" s="160"/>
      <c r="BA266" s="160"/>
      <c r="BB266" s="160"/>
      <c r="BC266" s="160"/>
      <c r="BD266" s="160"/>
      <c r="BE266" s="160"/>
      <c r="BF266" s="160"/>
      <c r="BG266" s="160"/>
      <c r="BS266" s="13">
        <v>2</v>
      </c>
      <c r="BT266" s="128">
        <v>44491</v>
      </c>
      <c r="BU266" s="121" t="s">
        <v>8</v>
      </c>
      <c r="BV266" s="120" t="s">
        <v>482</v>
      </c>
      <c r="BW266" s="121" t="s">
        <v>502</v>
      </c>
      <c r="BX266" s="120">
        <v>18400</v>
      </c>
      <c r="BY266" s="120">
        <v>41.7</v>
      </c>
      <c r="BZ266" s="120">
        <v>47.945</v>
      </c>
      <c r="CA266" s="124">
        <v>-3216.6708800000001</v>
      </c>
      <c r="CB266" s="120">
        <v>1.1497601918465228</v>
      </c>
      <c r="CC266" s="120">
        <v>500</v>
      </c>
      <c r="CD266" s="120">
        <v>50</v>
      </c>
      <c r="CE266" s="124">
        <v>20850</v>
      </c>
    </row>
    <row r="267" spans="1:83" hidden="1">
      <c r="A267" s="13">
        <f t="shared" ca="1" si="753"/>
        <v>260</v>
      </c>
      <c r="B267" s="128">
        <v>44705</v>
      </c>
      <c r="C267" s="121" t="s">
        <v>8</v>
      </c>
      <c r="D267" s="121">
        <v>1</v>
      </c>
      <c r="E267" s="120" t="s">
        <v>481</v>
      </c>
      <c r="F267" s="121" t="s">
        <v>502</v>
      </c>
      <c r="G267" s="120">
        <v>17000</v>
      </c>
      <c r="H267" s="122">
        <v>44742</v>
      </c>
      <c r="I267" s="120">
        <v>50</v>
      </c>
      <c r="J267" s="120">
        <v>123.5</v>
      </c>
      <c r="K267" s="120">
        <v>1.35</v>
      </c>
      <c r="L267" s="124">
        <f t="shared" ref="L267:L270" ca="1" si="882">IF(AND(K267&lt;&gt;0,I267&lt;&gt;0),(IF(C267="B",1,-1))*(K267-J267)*I267-AK267*2,0)*$D267*IF(MONTH($B$2)=MONTH($H267),1,0)</f>
        <v>0</v>
      </c>
      <c r="M267" s="124">
        <f t="shared" ref="M267:M270" ca="1" si="883">IF(AND(K267&lt;&gt;0,I267&lt;&gt;0),(IF(C267="B",1,-1))*(K267-J267)*I267-AK267*2,0)*$D267</f>
        <v>6107.5</v>
      </c>
      <c r="N267" s="120">
        <f t="shared" ref="N267:N270" ca="1" si="884">K267/$J267</f>
        <v>1.0931174089068827E-2</v>
      </c>
      <c r="O267" s="164">
        <f t="shared" ref="O267:O270" ca="1" si="885">J267*(1+$O$6*IF(C267="B",-1,1))</f>
        <v>154.375</v>
      </c>
      <c r="P267" s="168">
        <f t="shared" ca="1" si="754"/>
        <v>6175</v>
      </c>
      <c r="Q267" s="168" t="e">
        <f t="shared" ref="Q267:Q270" ca="1" si="886">(W267-J267)*I267*IF(C267="B",1,-1)*IF(K267=0,1,0)</f>
        <v>#N/A</v>
      </c>
      <c r="R267" s="184">
        <f t="shared" ca="1" si="876"/>
        <v>0</v>
      </c>
      <c r="S267" s="124">
        <f t="shared" ref="S267:S270" ca="1" si="887">(1-$S$6)*J267</f>
        <v>12.349999999999998</v>
      </c>
      <c r="T267" s="120">
        <f ca="1">VLOOKUP(TRIM($F267),Reference!B:C,2,0)</f>
        <v>15938.65</v>
      </c>
      <c r="U267" s="181">
        <f t="shared" ref="U267:U270" ca="1" si="888">AC267</f>
        <v>0</v>
      </c>
      <c r="V267" s="125" t="str">
        <f t="shared" ca="1" si="865"/>
        <v>NIFTY22JUN17000CE</v>
      </c>
      <c r="W267" s="166" t="e">
        <f ca="1">VLOOKUP($V267,Reference!BA:BD,4,0)</f>
        <v>#N/A</v>
      </c>
      <c r="X267" s="168">
        <f t="shared" ca="1" si="866"/>
        <v>0</v>
      </c>
      <c r="Y267" s="168">
        <f t="shared" ca="1" si="867"/>
        <v>0</v>
      </c>
      <c r="Z267" s="168">
        <f t="shared" ca="1" si="879"/>
        <v>0</v>
      </c>
      <c r="AA267" s="168">
        <f t="shared" ca="1" si="868"/>
        <v>0</v>
      </c>
      <c r="AB267" s="168">
        <f t="shared" ca="1" si="869"/>
        <v>0</v>
      </c>
      <c r="AC267" s="124">
        <f t="shared" ca="1" si="870"/>
        <v>0</v>
      </c>
      <c r="AD267" s="120">
        <f t="shared" ref="AD267:AD270" ca="1" si="889">(H267-TODAY())/365</f>
        <v>-4.1095890410958902E-2</v>
      </c>
      <c r="AE267" s="120">
        <f t="shared" ref="AE267:AE270" ca="1" si="890">IF(I267&lt;&gt;0,20,0)</f>
        <v>20</v>
      </c>
      <c r="AF267" s="120"/>
      <c r="AG267" s="120"/>
      <c r="AH267" s="120">
        <f t="shared" ca="1" si="755"/>
        <v>3.0874999999999999</v>
      </c>
      <c r="AI267" s="120"/>
      <c r="AJ267" s="120">
        <f t="shared" ca="1" si="756"/>
        <v>0</v>
      </c>
      <c r="AK267" s="120"/>
      <c r="AL267" s="147"/>
      <c r="AM267" s="160"/>
      <c r="AN267" s="160"/>
      <c r="AO267" s="160"/>
      <c r="AP267" s="160"/>
      <c r="AQ267" s="160"/>
      <c r="AR267" s="160"/>
      <c r="AS267" s="160"/>
      <c r="AT267" s="160"/>
      <c r="AU267" s="160"/>
      <c r="AV267" s="160"/>
      <c r="AW267" s="160"/>
      <c r="AX267" s="160"/>
      <c r="AY267" s="160"/>
      <c r="AZ267" s="160"/>
      <c r="BA267" s="160"/>
      <c r="BB267" s="160"/>
      <c r="BC267" s="160"/>
      <c r="BD267" s="160"/>
      <c r="BE267" s="160"/>
      <c r="BF267" s="160"/>
      <c r="BG267" s="160"/>
      <c r="BS267" s="13">
        <v>2</v>
      </c>
      <c r="BT267" s="128">
        <v>44491</v>
      </c>
      <c r="BU267" s="121" t="s">
        <v>8</v>
      </c>
      <c r="BV267" s="120" t="s">
        <v>482</v>
      </c>
      <c r="BW267" s="121" t="s">
        <v>502</v>
      </c>
      <c r="BX267" s="120">
        <v>18400</v>
      </c>
      <c r="BY267" s="120">
        <v>41.7</v>
      </c>
      <c r="BZ267" s="120">
        <v>47.945</v>
      </c>
      <c r="CA267" s="124">
        <v>-3216.6708800000001</v>
      </c>
      <c r="CB267" s="120">
        <v>1.1497601918465228</v>
      </c>
      <c r="CC267" s="120">
        <v>500</v>
      </c>
      <c r="CD267" s="120">
        <v>50</v>
      </c>
      <c r="CE267" s="124">
        <v>20850</v>
      </c>
    </row>
    <row r="268" spans="1:83" hidden="1">
      <c r="A268" s="13">
        <f t="shared" ca="1" si="753"/>
        <v>261</v>
      </c>
      <c r="B268" s="128">
        <v>44705</v>
      </c>
      <c r="C268" s="121" t="s">
        <v>6</v>
      </c>
      <c r="D268" s="121">
        <v>1</v>
      </c>
      <c r="E268" s="120" t="s">
        <v>632</v>
      </c>
      <c r="F268" s="121" t="s">
        <v>284</v>
      </c>
      <c r="G268" s="120"/>
      <c r="H268" s="122">
        <v>44770</v>
      </c>
      <c r="I268" s="120">
        <v>1425</v>
      </c>
      <c r="J268" s="120">
        <v>428</v>
      </c>
      <c r="K268" s="120">
        <v>437.6</v>
      </c>
      <c r="L268" s="124">
        <f t="shared" ca="1" si="882"/>
        <v>13680.000000000033</v>
      </c>
      <c r="M268" s="124">
        <f t="shared" ca="1" si="883"/>
        <v>13680.000000000033</v>
      </c>
      <c r="N268" s="120">
        <f t="shared" ca="1" si="884"/>
        <v>1.0224299065420561</v>
      </c>
      <c r="O268" s="164">
        <f t="shared" ca="1" si="885"/>
        <v>321</v>
      </c>
      <c r="P268" s="168">
        <f t="shared" ca="1" si="754"/>
        <v>609900</v>
      </c>
      <c r="Q268" s="168" t="e">
        <f t="shared" ca="1" si="886"/>
        <v>#N/A</v>
      </c>
      <c r="R268" s="184">
        <f t="shared" ca="1" si="876"/>
        <v>0</v>
      </c>
      <c r="S268" s="124">
        <f t="shared" ca="1" si="887"/>
        <v>42.79999999999999</v>
      </c>
      <c r="T268" s="120">
        <f ca="1">VLOOKUP(TRIM($F268),Reference!B:C,2,0)</f>
        <v>428</v>
      </c>
      <c r="U268" s="181">
        <f t="shared" ca="1" si="888"/>
        <v>0</v>
      </c>
      <c r="V268" s="125" t="str">
        <f t="shared" ca="1" si="865"/>
        <v>TATAMOTORS22JULFUT</v>
      </c>
      <c r="W268" s="166" t="e">
        <f ca="1">VLOOKUP($V268,Reference!BA:BD,4,0)</f>
        <v>#N/A</v>
      </c>
      <c r="X268" s="168">
        <f t="shared" ca="1" si="866"/>
        <v>0</v>
      </c>
      <c r="Y268" s="168">
        <f t="shared" ca="1" si="867"/>
        <v>0</v>
      </c>
      <c r="Z268" s="168">
        <f t="shared" ca="1" si="879"/>
        <v>0</v>
      </c>
      <c r="AA268" s="168">
        <f t="shared" ca="1" si="868"/>
        <v>0</v>
      </c>
      <c r="AB268" s="168">
        <f t="shared" ca="1" si="869"/>
        <v>0</v>
      </c>
      <c r="AC268" s="124">
        <f t="shared" ca="1" si="870"/>
        <v>0</v>
      </c>
      <c r="AD268" s="120">
        <f t="shared" ca="1" si="889"/>
        <v>3.5616438356164383E-2</v>
      </c>
      <c r="AE268" s="120">
        <f t="shared" ca="1" si="890"/>
        <v>20</v>
      </c>
      <c r="AF268" s="120"/>
      <c r="AG268" s="120"/>
      <c r="AH268" s="120">
        <f t="shared" ca="1" si="755"/>
        <v>0</v>
      </c>
      <c r="AI268" s="120"/>
      <c r="AJ268" s="120">
        <f t="shared" ca="1" si="756"/>
        <v>18.297000000000001</v>
      </c>
      <c r="AK268" s="120"/>
      <c r="AL268" s="147"/>
      <c r="AM268" s="160"/>
      <c r="AN268" s="160"/>
      <c r="AO268" s="160"/>
      <c r="AP268" s="160"/>
      <c r="AQ268" s="160"/>
      <c r="AR268" s="160"/>
      <c r="AS268" s="160"/>
      <c r="AT268" s="160"/>
      <c r="AU268" s="160"/>
      <c r="AV268" s="160"/>
      <c r="AW268" s="160"/>
      <c r="AX268" s="160"/>
      <c r="AY268" s="160"/>
      <c r="AZ268" s="160"/>
      <c r="BA268" s="160"/>
      <c r="BB268" s="160"/>
      <c r="BC268" s="160"/>
      <c r="BD268" s="160"/>
      <c r="BE268" s="160"/>
      <c r="BF268" s="160"/>
      <c r="BG268" s="160"/>
      <c r="BS268" s="13">
        <v>2</v>
      </c>
      <c r="BT268" s="128">
        <v>44491</v>
      </c>
      <c r="BU268" s="121" t="s">
        <v>8</v>
      </c>
      <c r="BV268" s="120" t="s">
        <v>482</v>
      </c>
      <c r="BW268" s="121" t="s">
        <v>502</v>
      </c>
      <c r="BX268" s="120">
        <v>18400</v>
      </c>
      <c r="BY268" s="120">
        <v>41.7</v>
      </c>
      <c r="BZ268" s="120">
        <v>47.945</v>
      </c>
      <c r="CA268" s="124">
        <v>-3216.6708800000001</v>
      </c>
      <c r="CB268" s="120">
        <v>1.1497601918465228</v>
      </c>
      <c r="CC268" s="120">
        <v>500</v>
      </c>
      <c r="CD268" s="120">
        <v>50</v>
      </c>
      <c r="CE268" s="124">
        <v>20850</v>
      </c>
    </row>
    <row r="269" spans="1:83" hidden="1">
      <c r="A269" s="13">
        <f t="shared" ca="1" si="753"/>
        <v>262</v>
      </c>
      <c r="B269" s="128">
        <v>44705</v>
      </c>
      <c r="C269" s="121" t="s">
        <v>8</v>
      </c>
      <c r="D269" s="121">
        <v>1</v>
      </c>
      <c r="E269" s="120" t="s">
        <v>481</v>
      </c>
      <c r="F269" s="121" t="s">
        <v>132</v>
      </c>
      <c r="G269" s="120">
        <v>620</v>
      </c>
      <c r="H269" s="122">
        <v>44742</v>
      </c>
      <c r="I269" s="120">
        <v>1350</v>
      </c>
      <c r="J269" s="120">
        <v>10.4</v>
      </c>
      <c r="K269" s="120">
        <v>3.85</v>
      </c>
      <c r="L269" s="124">
        <f t="shared" ca="1" si="882"/>
        <v>0</v>
      </c>
      <c r="M269" s="124">
        <f t="shared" ca="1" si="883"/>
        <v>8842.5000000000018</v>
      </c>
      <c r="N269" s="120">
        <f t="shared" ca="1" si="884"/>
        <v>0.37019230769230771</v>
      </c>
      <c r="O269" s="164">
        <f t="shared" ca="1" si="885"/>
        <v>13</v>
      </c>
      <c r="P269" s="168">
        <f t="shared" ca="1" si="754"/>
        <v>14040</v>
      </c>
      <c r="Q269" s="168" t="e">
        <f t="shared" ca="1" si="886"/>
        <v>#N/A</v>
      </c>
      <c r="R269" s="184" t="e">
        <f t="shared" ca="1" si="876"/>
        <v>#N/A</v>
      </c>
      <c r="S269" s="124">
        <f t="shared" ca="1" si="887"/>
        <v>1.0399999999999998</v>
      </c>
      <c r="T269" s="120" t="e">
        <f ca="1">VLOOKUP(TRIM($F269),Reference!B:C,2,0)</f>
        <v>#N/A</v>
      </c>
      <c r="U269" s="181">
        <f t="shared" ca="1" si="888"/>
        <v>0</v>
      </c>
      <c r="V269" s="125" t="str">
        <f t="shared" ca="1" si="865"/>
        <v>JSWSTEEL22JUN620CE</v>
      </c>
      <c r="W269" s="166" t="e">
        <f ca="1">VLOOKUP($V269,Reference!BA:BD,4,0)</f>
        <v>#N/A</v>
      </c>
      <c r="X269" s="168">
        <f t="shared" ca="1" si="866"/>
        <v>0</v>
      </c>
      <c r="Y269" s="168">
        <f t="shared" ca="1" si="867"/>
        <v>0</v>
      </c>
      <c r="Z269" s="168">
        <f t="shared" ca="1" si="879"/>
        <v>0</v>
      </c>
      <c r="AA269" s="168">
        <f t="shared" ca="1" si="868"/>
        <v>0</v>
      </c>
      <c r="AB269" s="168">
        <f t="shared" ca="1" si="869"/>
        <v>0</v>
      </c>
      <c r="AC269" s="124">
        <f t="shared" ca="1" si="870"/>
        <v>0</v>
      </c>
      <c r="AD269" s="120">
        <f t="shared" ca="1" si="889"/>
        <v>-4.1095890410958902E-2</v>
      </c>
      <c r="AE269" s="120">
        <f t="shared" ca="1" si="890"/>
        <v>20</v>
      </c>
      <c r="AF269" s="120"/>
      <c r="AG269" s="120"/>
      <c r="AH269" s="120">
        <f t="shared" ca="1" si="755"/>
        <v>7.0200000000000005</v>
      </c>
      <c r="AI269" s="120"/>
      <c r="AJ269" s="120">
        <f t="shared" ca="1" si="756"/>
        <v>0</v>
      </c>
      <c r="AK269" s="120"/>
      <c r="AL269" s="147"/>
      <c r="AM269" s="160"/>
      <c r="AN269" s="160"/>
      <c r="AO269" s="160"/>
      <c r="AP269" s="160"/>
      <c r="AQ269" s="160"/>
      <c r="AR269" s="160"/>
      <c r="AS269" s="160"/>
      <c r="AT269" s="160"/>
      <c r="AU269" s="160"/>
      <c r="AV269" s="160"/>
      <c r="AW269" s="160"/>
      <c r="AX269" s="160"/>
      <c r="AY269" s="160"/>
      <c r="AZ269" s="160"/>
      <c r="BA269" s="160"/>
      <c r="BB269" s="160"/>
      <c r="BC269" s="160"/>
      <c r="BD269" s="160"/>
      <c r="BE269" s="160"/>
      <c r="BF269" s="160"/>
      <c r="BG269" s="160"/>
      <c r="BS269" s="13">
        <v>2</v>
      </c>
      <c r="BT269" s="128">
        <v>44491</v>
      </c>
      <c r="BU269" s="121" t="s">
        <v>8</v>
      </c>
      <c r="BV269" s="120" t="s">
        <v>482</v>
      </c>
      <c r="BW269" s="121" t="s">
        <v>502</v>
      </c>
      <c r="BX269" s="120">
        <v>18400</v>
      </c>
      <c r="BY269" s="120">
        <v>41.7</v>
      </c>
      <c r="BZ269" s="120">
        <v>47.945</v>
      </c>
      <c r="CA269" s="124">
        <v>-3216.6708800000001</v>
      </c>
      <c r="CB269" s="120">
        <v>1.1497601918465228</v>
      </c>
      <c r="CC269" s="120">
        <v>500</v>
      </c>
      <c r="CD269" s="120">
        <v>50</v>
      </c>
      <c r="CE269" s="124">
        <v>20850</v>
      </c>
    </row>
    <row r="270" spans="1:83" hidden="1">
      <c r="A270" s="13">
        <f t="shared" ca="1" si="753"/>
        <v>263</v>
      </c>
      <c r="B270" s="128">
        <v>44705</v>
      </c>
      <c r="C270" s="121" t="s">
        <v>8</v>
      </c>
      <c r="D270" s="121">
        <v>1</v>
      </c>
      <c r="E270" s="120" t="s">
        <v>482</v>
      </c>
      <c r="F270" s="121" t="s">
        <v>132</v>
      </c>
      <c r="G270" s="120">
        <v>450</v>
      </c>
      <c r="H270" s="122">
        <v>44742</v>
      </c>
      <c r="I270" s="120">
        <v>1350</v>
      </c>
      <c r="J270" s="120">
        <v>8.15</v>
      </c>
      <c r="K270" s="120">
        <v>0.85</v>
      </c>
      <c r="L270" s="124">
        <f t="shared" ca="1" si="882"/>
        <v>0</v>
      </c>
      <c r="M270" s="124">
        <f t="shared" ca="1" si="883"/>
        <v>9855.0000000000018</v>
      </c>
      <c r="N270" s="120">
        <f t="shared" ca="1" si="884"/>
        <v>0.10429447852760736</v>
      </c>
      <c r="O270" s="164">
        <f t="shared" ca="1" si="885"/>
        <v>10.1875</v>
      </c>
      <c r="P270" s="168">
        <f t="shared" ca="1" si="754"/>
        <v>11002.5</v>
      </c>
      <c r="Q270" s="168" t="e">
        <f t="shared" ca="1" si="886"/>
        <v>#N/A</v>
      </c>
      <c r="R270" s="184" t="e">
        <f t="shared" ca="1" si="876"/>
        <v>#N/A</v>
      </c>
      <c r="S270" s="124">
        <f t="shared" ca="1" si="887"/>
        <v>0.81499999999999984</v>
      </c>
      <c r="T270" s="120" t="e">
        <f ca="1">VLOOKUP(TRIM($F270),Reference!B:C,2,0)</f>
        <v>#N/A</v>
      </c>
      <c r="U270" s="181">
        <f t="shared" ca="1" si="888"/>
        <v>0</v>
      </c>
      <c r="V270" s="125" t="str">
        <f t="shared" ca="1" si="865"/>
        <v>JSWSTEEL22JUN450PE</v>
      </c>
      <c r="W270" s="166" t="e">
        <f ca="1">VLOOKUP($V270,Reference!BA:BD,4,0)</f>
        <v>#N/A</v>
      </c>
      <c r="X270" s="168">
        <f t="shared" ca="1" si="866"/>
        <v>0</v>
      </c>
      <c r="Y270" s="168">
        <f t="shared" ca="1" si="867"/>
        <v>0</v>
      </c>
      <c r="Z270" s="168">
        <f t="shared" ca="1" si="879"/>
        <v>0</v>
      </c>
      <c r="AA270" s="168">
        <f t="shared" ca="1" si="868"/>
        <v>0</v>
      </c>
      <c r="AB270" s="168">
        <f t="shared" ca="1" si="869"/>
        <v>0</v>
      </c>
      <c r="AC270" s="124">
        <f t="shared" ca="1" si="870"/>
        <v>0</v>
      </c>
      <c r="AD270" s="120">
        <f t="shared" ca="1" si="889"/>
        <v>-4.1095890410958902E-2</v>
      </c>
      <c r="AE270" s="120">
        <f t="shared" ca="1" si="890"/>
        <v>20</v>
      </c>
      <c r="AF270" s="120"/>
      <c r="AG270" s="120"/>
      <c r="AH270" s="120">
        <f t="shared" ca="1" si="755"/>
        <v>5.5012499999999998</v>
      </c>
      <c r="AI270" s="120"/>
      <c r="AJ270" s="120">
        <f t="shared" ca="1" si="756"/>
        <v>0</v>
      </c>
      <c r="AK270" s="120"/>
      <c r="AL270" s="147"/>
      <c r="AM270" s="160"/>
      <c r="AN270" s="160"/>
      <c r="AO270" s="160"/>
      <c r="AP270" s="160"/>
      <c r="AQ270" s="160"/>
      <c r="AR270" s="160"/>
      <c r="AS270" s="160"/>
      <c r="AT270" s="160"/>
      <c r="AU270" s="160"/>
      <c r="AV270" s="160"/>
      <c r="AW270" s="160"/>
      <c r="AX270" s="160"/>
      <c r="AY270" s="160"/>
      <c r="AZ270" s="160"/>
      <c r="BA270" s="160"/>
      <c r="BB270" s="160"/>
      <c r="BC270" s="160"/>
      <c r="BD270" s="160"/>
      <c r="BE270" s="160"/>
      <c r="BF270" s="160"/>
      <c r="BG270" s="160"/>
      <c r="BS270" s="13">
        <v>2</v>
      </c>
      <c r="BT270" s="128">
        <v>44491</v>
      </c>
      <c r="BU270" s="121" t="s">
        <v>8</v>
      </c>
      <c r="BV270" s="120" t="s">
        <v>482</v>
      </c>
      <c r="BW270" s="121" t="s">
        <v>502</v>
      </c>
      <c r="BX270" s="120">
        <v>18400</v>
      </c>
      <c r="BY270" s="120">
        <v>41.7</v>
      </c>
      <c r="BZ270" s="120">
        <v>47.945</v>
      </c>
      <c r="CA270" s="124">
        <v>-3216.6708800000001</v>
      </c>
      <c r="CB270" s="120">
        <v>1.1497601918465228</v>
      </c>
      <c r="CC270" s="120">
        <v>500</v>
      </c>
      <c r="CD270" s="120">
        <v>50</v>
      </c>
      <c r="CE270" s="124">
        <v>20850</v>
      </c>
    </row>
    <row r="271" spans="1:83" hidden="1">
      <c r="A271" s="13">
        <f t="shared" ca="1" si="753"/>
        <v>264</v>
      </c>
      <c r="B271" s="128">
        <v>44706</v>
      </c>
      <c r="C271" s="121" t="s">
        <v>8</v>
      </c>
      <c r="D271" s="121">
        <v>1</v>
      </c>
      <c r="E271" s="120" t="s">
        <v>482</v>
      </c>
      <c r="F271" s="121" t="s">
        <v>381</v>
      </c>
      <c r="G271" s="120">
        <v>3200</v>
      </c>
      <c r="H271" s="122">
        <v>44742</v>
      </c>
      <c r="I271" s="120">
        <v>200</v>
      </c>
      <c r="J271" s="120">
        <v>447.45</v>
      </c>
      <c r="K271" s="120">
        <v>251</v>
      </c>
      <c r="L271" s="124">
        <f t="shared" ref="L271" ca="1" si="891">IF(AND(K271&lt;&gt;0,I271&lt;&gt;0),(IF(C271="B",1,-1))*(K271-J271)*I271-AK271*2,0)*$D271*IF(MONTH($B$2)=MONTH($H271),1,0)</f>
        <v>0</v>
      </c>
      <c r="M271" s="124">
        <f t="shared" ref="M271" ca="1" si="892">IF(AND(K271&lt;&gt;0,I271&lt;&gt;0),(IF(C271="B",1,-1))*(K271-J271)*I271-AK271*2,0)*$D271</f>
        <v>39290</v>
      </c>
      <c r="N271" s="120">
        <f t="shared" ref="N271" ca="1" si="893">K271/$J271</f>
        <v>0.56095653145602864</v>
      </c>
      <c r="O271" s="164">
        <f t="shared" ref="O271" ca="1" si="894">J271*(1+$O$6*IF(C271="B",-1,1))</f>
        <v>559.3125</v>
      </c>
      <c r="P271" s="168">
        <f t="shared" ca="1" si="754"/>
        <v>89490</v>
      </c>
      <c r="Q271" s="168" t="e">
        <f t="shared" ref="Q271" ca="1" si="895">(W271-J271)*I271*IF(C271="B",1,-1)*IF(K271=0,1,0)</f>
        <v>#N/A</v>
      </c>
      <c r="R271" s="184">
        <f t="shared" ca="1" si="876"/>
        <v>0</v>
      </c>
      <c r="S271" s="124">
        <f t="shared" ref="S271" ca="1" si="896">(1-$S$6)*J271</f>
        <v>44.74499999999999</v>
      </c>
      <c r="T271" s="120">
        <f ca="1">VLOOKUP(TRIM($F271),Reference!B:C,2,0)</f>
        <v>2788</v>
      </c>
      <c r="U271" s="181">
        <f t="shared" ref="U271" ca="1" si="897">AC271</f>
        <v>0</v>
      </c>
      <c r="V271" s="125" t="str">
        <f t="shared" ca="1" si="865"/>
        <v>MINDTREE22JUN3200PE</v>
      </c>
      <c r="W271" s="166" t="e">
        <f ca="1">VLOOKUP($V271,Reference!BA:BD,4,0)</f>
        <v>#N/A</v>
      </c>
      <c r="X271" s="168">
        <f t="shared" ca="1" si="866"/>
        <v>0</v>
      </c>
      <c r="Y271" s="168">
        <f t="shared" ca="1" si="867"/>
        <v>0</v>
      </c>
      <c r="Z271" s="168">
        <f t="shared" ca="1" si="879"/>
        <v>0</v>
      </c>
      <c r="AA271" s="168">
        <f t="shared" ca="1" si="868"/>
        <v>0</v>
      </c>
      <c r="AB271" s="168">
        <f t="shared" ca="1" si="869"/>
        <v>0</v>
      </c>
      <c r="AC271" s="124">
        <f t="shared" ca="1" si="870"/>
        <v>0</v>
      </c>
      <c r="AD271" s="120">
        <f t="shared" ref="AD271" ca="1" si="898">(H271-TODAY())/365</f>
        <v>-4.1095890410958902E-2</v>
      </c>
      <c r="AE271" s="120">
        <f t="shared" ref="AE271" ca="1" si="899">IF(I271&lt;&gt;0,20,0)</f>
        <v>20</v>
      </c>
      <c r="AF271" s="120"/>
      <c r="AG271" s="120"/>
      <c r="AH271" s="120">
        <f t="shared" ca="1" si="755"/>
        <v>44.744999999999997</v>
      </c>
      <c r="AI271" s="120"/>
      <c r="AJ271" s="120">
        <f t="shared" ca="1" si="756"/>
        <v>0</v>
      </c>
      <c r="AK271" s="120"/>
      <c r="AL271" s="147"/>
      <c r="AM271" s="160"/>
      <c r="AN271" s="160"/>
      <c r="AO271" s="160"/>
      <c r="AP271" s="160"/>
      <c r="AQ271" s="160"/>
      <c r="AR271" s="160"/>
      <c r="AS271" s="160"/>
      <c r="AT271" s="160"/>
      <c r="AU271" s="160"/>
      <c r="AV271" s="160"/>
      <c r="AW271" s="160"/>
      <c r="AX271" s="160"/>
      <c r="AY271" s="160"/>
      <c r="AZ271" s="160"/>
      <c r="BA271" s="160"/>
      <c r="BB271" s="160"/>
      <c r="BC271" s="160"/>
      <c r="BD271" s="160"/>
      <c r="BE271" s="160"/>
      <c r="BF271" s="160"/>
      <c r="BG271" s="160"/>
      <c r="BS271" s="13">
        <v>2</v>
      </c>
      <c r="BT271" s="128">
        <v>44491</v>
      </c>
      <c r="BU271" s="121" t="s">
        <v>8</v>
      </c>
      <c r="BV271" s="120" t="s">
        <v>482</v>
      </c>
      <c r="BW271" s="121" t="s">
        <v>502</v>
      </c>
      <c r="BX271" s="120">
        <v>18400</v>
      </c>
      <c r="BY271" s="120">
        <v>41.7</v>
      </c>
      <c r="BZ271" s="120">
        <v>47.945</v>
      </c>
      <c r="CA271" s="124">
        <v>-3216.6708800000001</v>
      </c>
      <c r="CB271" s="120">
        <v>1.1497601918465228</v>
      </c>
      <c r="CC271" s="120">
        <v>500</v>
      </c>
      <c r="CD271" s="120">
        <v>50</v>
      </c>
      <c r="CE271" s="124">
        <v>20850</v>
      </c>
    </row>
    <row r="272" spans="1:83" hidden="1">
      <c r="A272" s="13">
        <f t="shared" ca="1" si="753"/>
        <v>265</v>
      </c>
      <c r="B272" s="128">
        <v>44706</v>
      </c>
      <c r="C272" s="121" t="s">
        <v>6</v>
      </c>
      <c r="D272" s="121">
        <v>1</v>
      </c>
      <c r="E272" s="120" t="s">
        <v>482</v>
      </c>
      <c r="F272" s="121" t="s">
        <v>381</v>
      </c>
      <c r="G272" s="120">
        <v>2800</v>
      </c>
      <c r="H272" s="122">
        <v>44742</v>
      </c>
      <c r="I272" s="120">
        <v>200</v>
      </c>
      <c r="J272" s="120">
        <v>184.75</v>
      </c>
      <c r="K272" s="120">
        <v>4.7</v>
      </c>
      <c r="L272" s="124">
        <f t="shared" ref="L272:L273" ca="1" si="900">IF(AND(K272&lt;&gt;0,I272&lt;&gt;0),(IF(C272="B",1,-1))*(K272-J272)*I272-AK272*2,0)*$D272*IF(MONTH($B$2)=MONTH($H272),1,0)</f>
        <v>0</v>
      </c>
      <c r="M272" s="124">
        <f t="shared" ref="M272:M273" ca="1" si="901">IF(AND(K272&lt;&gt;0,I272&lt;&gt;0),(IF(C272="B",1,-1))*(K272-J272)*I272-AK272*2,0)*$D272</f>
        <v>-36010</v>
      </c>
      <c r="N272" s="120">
        <f t="shared" ref="N272:N273" ca="1" si="902">K272/$J272</f>
        <v>2.5439783491204331E-2</v>
      </c>
      <c r="O272" s="164">
        <f t="shared" ref="O272:O273" ca="1" si="903">J272*(1+$O$6*IF(C272="B",-1,1))</f>
        <v>138.5625</v>
      </c>
      <c r="P272" s="168">
        <f t="shared" ca="1" si="754"/>
        <v>36950</v>
      </c>
      <c r="Q272" s="168" t="e">
        <f t="shared" ref="Q272:Q273" ca="1" si="904">(W272-J272)*I272*IF(C272="B",1,-1)*IF(K272=0,1,0)</f>
        <v>#N/A</v>
      </c>
      <c r="R272" s="184">
        <f t="shared" ca="1" si="876"/>
        <v>0</v>
      </c>
      <c r="S272" s="124">
        <f t="shared" ref="S272:S273" ca="1" si="905">(1-$S$6)*J272</f>
        <v>18.474999999999994</v>
      </c>
      <c r="T272" s="120">
        <f ca="1">VLOOKUP(TRIM($F272),Reference!B:C,2,0)</f>
        <v>2788</v>
      </c>
      <c r="U272" s="181">
        <f t="shared" ref="U272:U273" ca="1" si="906">AC272</f>
        <v>0</v>
      </c>
      <c r="V272" s="125" t="str">
        <f t="shared" ca="1" si="865"/>
        <v>MINDTREE22JUN2800PE</v>
      </c>
      <c r="W272" s="166" t="e">
        <f ca="1">VLOOKUP($V272,Reference!BA:BD,4,0)</f>
        <v>#N/A</v>
      </c>
      <c r="X272" s="168">
        <f t="shared" ca="1" si="866"/>
        <v>0</v>
      </c>
      <c r="Y272" s="168">
        <f t="shared" ca="1" si="867"/>
        <v>0</v>
      </c>
      <c r="Z272" s="168">
        <f t="shared" ca="1" si="879"/>
        <v>0</v>
      </c>
      <c r="AA272" s="168">
        <f t="shared" ca="1" si="868"/>
        <v>0</v>
      </c>
      <c r="AB272" s="168">
        <f t="shared" ca="1" si="869"/>
        <v>0</v>
      </c>
      <c r="AC272" s="124">
        <f t="shared" ca="1" si="870"/>
        <v>0</v>
      </c>
      <c r="AD272" s="120">
        <f t="shared" ref="AD272:AD273" ca="1" si="907">(H272-TODAY())/365</f>
        <v>-4.1095890410958902E-2</v>
      </c>
      <c r="AE272" s="120">
        <f t="shared" ref="AE272:AE273" ca="1" si="908">IF(I272&lt;&gt;0,20,0)</f>
        <v>20</v>
      </c>
      <c r="AF272" s="120"/>
      <c r="AG272" s="120"/>
      <c r="AH272" s="120">
        <f t="shared" ca="1" si="755"/>
        <v>0</v>
      </c>
      <c r="AI272" s="120"/>
      <c r="AJ272" s="120">
        <f t="shared" ca="1" si="756"/>
        <v>1.1085</v>
      </c>
      <c r="AK272" s="120"/>
      <c r="AL272" s="147"/>
      <c r="AM272" s="160"/>
      <c r="AN272" s="160"/>
      <c r="AO272" s="160"/>
      <c r="AP272" s="160"/>
      <c r="AQ272" s="160"/>
      <c r="AR272" s="160"/>
      <c r="AS272" s="160"/>
      <c r="AT272" s="160"/>
      <c r="AU272" s="160"/>
      <c r="AV272" s="160"/>
      <c r="AW272" s="160"/>
      <c r="AX272" s="160"/>
      <c r="AY272" s="160"/>
      <c r="AZ272" s="160"/>
      <c r="BA272" s="160"/>
      <c r="BB272" s="160"/>
      <c r="BC272" s="160"/>
      <c r="BD272" s="160"/>
      <c r="BE272" s="160"/>
      <c r="BF272" s="160"/>
      <c r="BG272" s="160"/>
      <c r="BS272" s="13">
        <v>2</v>
      </c>
      <c r="BT272" s="128">
        <v>44491</v>
      </c>
      <c r="BU272" s="121" t="s">
        <v>8</v>
      </c>
      <c r="BV272" s="120" t="s">
        <v>482</v>
      </c>
      <c r="BW272" s="121" t="s">
        <v>502</v>
      </c>
      <c r="BX272" s="120">
        <v>18400</v>
      </c>
      <c r="BY272" s="120">
        <v>41.7</v>
      </c>
      <c r="BZ272" s="120">
        <v>47.945</v>
      </c>
      <c r="CA272" s="124">
        <v>-3216.6708800000001</v>
      </c>
      <c r="CB272" s="120">
        <v>1.1497601918465228</v>
      </c>
      <c r="CC272" s="120">
        <v>500</v>
      </c>
      <c r="CD272" s="120">
        <v>50</v>
      </c>
      <c r="CE272" s="124">
        <v>20850</v>
      </c>
    </row>
    <row r="273" spans="1:83" hidden="1">
      <c r="A273" s="13">
        <f t="shared" ca="1" si="753"/>
        <v>266</v>
      </c>
      <c r="B273" s="128">
        <v>44706</v>
      </c>
      <c r="C273" s="121" t="s">
        <v>8</v>
      </c>
      <c r="D273" s="121">
        <v>1</v>
      </c>
      <c r="E273" s="120" t="s">
        <v>482</v>
      </c>
      <c r="F273" s="121" t="s">
        <v>90</v>
      </c>
      <c r="G273" s="120">
        <v>3300</v>
      </c>
      <c r="H273" s="122">
        <v>44742</v>
      </c>
      <c r="I273" s="120">
        <v>150</v>
      </c>
      <c r="J273" s="120">
        <v>157.9</v>
      </c>
      <c r="K273" s="120">
        <v>175</v>
      </c>
      <c r="L273" s="124">
        <f t="shared" ca="1" si="900"/>
        <v>0</v>
      </c>
      <c r="M273" s="124">
        <f t="shared" ca="1" si="901"/>
        <v>-2564.9999999999991</v>
      </c>
      <c r="N273" s="120">
        <f t="shared" ca="1" si="902"/>
        <v>1.1082963901203293</v>
      </c>
      <c r="O273" s="164">
        <f t="shared" ca="1" si="903"/>
        <v>197.375</v>
      </c>
      <c r="P273" s="168">
        <f t="shared" ca="1" si="754"/>
        <v>23685</v>
      </c>
      <c r="Q273" s="168" t="e">
        <f t="shared" ca="1" si="904"/>
        <v>#N/A</v>
      </c>
      <c r="R273" s="184">
        <f t="shared" ca="1" si="876"/>
        <v>0</v>
      </c>
      <c r="S273" s="124">
        <f t="shared" ca="1" si="905"/>
        <v>15.789999999999997</v>
      </c>
      <c r="T273" s="120">
        <f ca="1">VLOOKUP(TRIM($F273),Reference!B:C,2,0)</f>
        <v>3003</v>
      </c>
      <c r="U273" s="181">
        <f t="shared" ca="1" si="906"/>
        <v>0</v>
      </c>
      <c r="V273" s="125" t="str">
        <f t="shared" ca="1" si="865"/>
        <v>TCS22JUN3300PE</v>
      </c>
      <c r="W273" s="166" t="e">
        <f ca="1">VLOOKUP($V273,Reference!BA:BD,4,0)</f>
        <v>#N/A</v>
      </c>
      <c r="X273" s="168">
        <f t="shared" ca="1" si="866"/>
        <v>0</v>
      </c>
      <c r="Y273" s="168">
        <f t="shared" ca="1" si="867"/>
        <v>0</v>
      </c>
      <c r="Z273" s="168">
        <f t="shared" ca="1" si="879"/>
        <v>0</v>
      </c>
      <c r="AA273" s="168">
        <f t="shared" ca="1" si="868"/>
        <v>0</v>
      </c>
      <c r="AB273" s="168">
        <f t="shared" ca="1" si="869"/>
        <v>0</v>
      </c>
      <c r="AC273" s="124">
        <f t="shared" ca="1" si="870"/>
        <v>0</v>
      </c>
      <c r="AD273" s="120">
        <f t="shared" ca="1" si="907"/>
        <v>-4.1095890410958902E-2</v>
      </c>
      <c r="AE273" s="120">
        <f t="shared" ca="1" si="908"/>
        <v>20</v>
      </c>
      <c r="AF273" s="120"/>
      <c r="AG273" s="120"/>
      <c r="AH273" s="120">
        <f t="shared" ca="1" si="755"/>
        <v>11.842499999999999</v>
      </c>
      <c r="AI273" s="120"/>
      <c r="AJ273" s="120">
        <f t="shared" ca="1" si="756"/>
        <v>0</v>
      </c>
      <c r="AK273" s="120"/>
      <c r="AL273" s="147"/>
      <c r="AM273" s="160"/>
      <c r="AN273" s="160"/>
      <c r="AO273" s="160"/>
      <c r="AP273" s="160"/>
      <c r="AQ273" s="160"/>
      <c r="AR273" s="160"/>
      <c r="AS273" s="160"/>
      <c r="AT273" s="160"/>
      <c r="AU273" s="160"/>
      <c r="AV273" s="160"/>
      <c r="AW273" s="160"/>
      <c r="AX273" s="160"/>
      <c r="AY273" s="160"/>
      <c r="AZ273" s="160"/>
      <c r="BA273" s="160"/>
      <c r="BB273" s="160"/>
      <c r="BC273" s="160"/>
      <c r="BD273" s="160"/>
      <c r="BE273" s="160"/>
      <c r="BF273" s="160"/>
      <c r="BG273" s="160"/>
      <c r="BS273" s="13">
        <v>2</v>
      </c>
      <c r="BT273" s="128">
        <v>44491</v>
      </c>
      <c r="BU273" s="121" t="s">
        <v>8</v>
      </c>
      <c r="BV273" s="120" t="s">
        <v>482</v>
      </c>
      <c r="BW273" s="121" t="s">
        <v>502</v>
      </c>
      <c r="BX273" s="120">
        <v>18400</v>
      </c>
      <c r="BY273" s="120">
        <v>41.7</v>
      </c>
      <c r="BZ273" s="120">
        <v>47.945</v>
      </c>
      <c r="CA273" s="124">
        <v>-3216.6708800000001</v>
      </c>
      <c r="CB273" s="120">
        <v>1.1497601918465228</v>
      </c>
      <c r="CC273" s="120">
        <v>500</v>
      </c>
      <c r="CD273" s="120">
        <v>50</v>
      </c>
      <c r="CE273" s="124">
        <v>20850</v>
      </c>
    </row>
    <row r="274" spans="1:83" hidden="1">
      <c r="A274" s="13">
        <f t="shared" ca="1" si="753"/>
        <v>267</v>
      </c>
      <c r="B274" s="128">
        <v>44706</v>
      </c>
      <c r="C274" s="121" t="s">
        <v>6</v>
      </c>
      <c r="D274" s="121">
        <v>1</v>
      </c>
      <c r="E274" s="120" t="s">
        <v>482</v>
      </c>
      <c r="F274" s="121" t="s">
        <v>90</v>
      </c>
      <c r="G274" s="120">
        <v>3150</v>
      </c>
      <c r="H274" s="122">
        <v>44742</v>
      </c>
      <c r="I274" s="120">
        <v>150</v>
      </c>
      <c r="J274" s="120">
        <v>86.75</v>
      </c>
      <c r="K274" s="120">
        <v>2.4500000000000002</v>
      </c>
      <c r="L274" s="124">
        <f t="shared" ref="L274:L275" ca="1" si="909">IF(AND(K274&lt;&gt;0,I274&lt;&gt;0),(IF(C274="B",1,-1))*(K274-J274)*I274-AK274*2,0)*$D274*IF(MONTH($B$2)=MONTH($H274),1,0)</f>
        <v>0</v>
      </c>
      <c r="M274" s="124">
        <f t="shared" ref="M274:M275" ca="1" si="910">IF(AND(K274&lt;&gt;0,I274&lt;&gt;0),(IF(C274="B",1,-1))*(K274-J274)*I274-AK274*2,0)*$D274</f>
        <v>-12645</v>
      </c>
      <c r="N274" s="120">
        <f t="shared" ref="N274:N275" ca="1" si="911">K274/$J274</f>
        <v>2.8242074927953893E-2</v>
      </c>
      <c r="O274" s="164">
        <f t="shared" ref="O274:O275" ca="1" si="912">J274*(1+$O$6*IF(C274="B",-1,1))</f>
        <v>65.0625</v>
      </c>
      <c r="P274" s="168">
        <f t="shared" ca="1" si="754"/>
        <v>13012.5</v>
      </c>
      <c r="Q274" s="168" t="e">
        <f t="shared" ref="Q274:Q275" ca="1" si="913">(W274-J274)*I274*IF(C274="B",1,-1)*IF(K274=0,1,0)</f>
        <v>#N/A</v>
      </c>
      <c r="R274" s="184">
        <f t="shared" ca="1" si="876"/>
        <v>0</v>
      </c>
      <c r="S274" s="124">
        <f t="shared" ref="S274:S275" ca="1" si="914">(1-$S$6)*J274</f>
        <v>8.6749999999999989</v>
      </c>
      <c r="T274" s="120">
        <f ca="1">VLOOKUP(TRIM($F274),Reference!B:C,2,0)</f>
        <v>3003</v>
      </c>
      <c r="U274" s="181">
        <f t="shared" ref="U274:U275" ca="1" si="915">AC274</f>
        <v>0</v>
      </c>
      <c r="V274" s="125" t="str">
        <f t="shared" ca="1" si="865"/>
        <v>TCS22JUN3150PE</v>
      </c>
      <c r="W274" s="166" t="e">
        <f ca="1">VLOOKUP($V274,Reference!BA:BD,4,0)</f>
        <v>#N/A</v>
      </c>
      <c r="X274" s="168">
        <f t="shared" ca="1" si="866"/>
        <v>0</v>
      </c>
      <c r="Y274" s="168">
        <f t="shared" ca="1" si="867"/>
        <v>0</v>
      </c>
      <c r="Z274" s="168">
        <f t="shared" ca="1" si="879"/>
        <v>0</v>
      </c>
      <c r="AA274" s="168">
        <f t="shared" ca="1" si="868"/>
        <v>0</v>
      </c>
      <c r="AB274" s="168">
        <f t="shared" ca="1" si="869"/>
        <v>0</v>
      </c>
      <c r="AC274" s="124">
        <f t="shared" ca="1" si="870"/>
        <v>0</v>
      </c>
      <c r="AD274" s="120">
        <f t="shared" ref="AD274:AD275" ca="1" si="916">(H274-TODAY())/365</f>
        <v>-4.1095890410958902E-2</v>
      </c>
      <c r="AE274" s="120">
        <f t="shared" ref="AE274:AE275" ca="1" si="917">IF(I274&lt;&gt;0,20,0)</f>
        <v>20</v>
      </c>
      <c r="AF274" s="120"/>
      <c r="AG274" s="120"/>
      <c r="AH274" s="120">
        <f t="shared" ca="1" si="755"/>
        <v>0</v>
      </c>
      <c r="AI274" s="120"/>
      <c r="AJ274" s="120">
        <f t="shared" ca="1" si="756"/>
        <v>0.39037500000000003</v>
      </c>
      <c r="AK274" s="120"/>
      <c r="AL274" s="147"/>
      <c r="AM274" s="160"/>
      <c r="AN274" s="160"/>
      <c r="AO274" s="160"/>
      <c r="AP274" s="160"/>
      <c r="AQ274" s="160"/>
      <c r="AR274" s="160"/>
      <c r="AS274" s="160"/>
      <c r="AT274" s="160"/>
      <c r="AU274" s="160"/>
      <c r="AV274" s="160"/>
      <c r="AW274" s="160"/>
      <c r="AX274" s="160"/>
      <c r="AY274" s="160"/>
      <c r="AZ274" s="160"/>
      <c r="BA274" s="160"/>
      <c r="BB274" s="160"/>
      <c r="BC274" s="160"/>
      <c r="BD274" s="160"/>
      <c r="BE274" s="160"/>
      <c r="BF274" s="160"/>
      <c r="BG274" s="160"/>
      <c r="BS274" s="13">
        <v>2</v>
      </c>
      <c r="BT274" s="128">
        <v>44491</v>
      </c>
      <c r="BU274" s="121" t="s">
        <v>8</v>
      </c>
      <c r="BV274" s="120" t="s">
        <v>482</v>
      </c>
      <c r="BW274" s="121" t="s">
        <v>502</v>
      </c>
      <c r="BX274" s="120">
        <v>18400</v>
      </c>
      <c r="BY274" s="120">
        <v>41.7</v>
      </c>
      <c r="BZ274" s="120">
        <v>47.945</v>
      </c>
      <c r="CA274" s="124">
        <v>-3216.6708800000001</v>
      </c>
      <c r="CB274" s="120">
        <v>1.1497601918465228</v>
      </c>
      <c r="CC274" s="120">
        <v>500</v>
      </c>
      <c r="CD274" s="120">
        <v>50</v>
      </c>
      <c r="CE274" s="124">
        <v>20850</v>
      </c>
    </row>
    <row r="275" spans="1:83" hidden="1">
      <c r="A275" s="13">
        <f t="shared" ca="1" si="753"/>
        <v>268</v>
      </c>
      <c r="B275" s="128">
        <v>44706</v>
      </c>
      <c r="C275" s="121" t="s">
        <v>8</v>
      </c>
      <c r="D275" s="121">
        <v>1</v>
      </c>
      <c r="E275" s="120" t="s">
        <v>482</v>
      </c>
      <c r="F275" s="121" t="s">
        <v>390</v>
      </c>
      <c r="G275" s="120">
        <v>2400</v>
      </c>
      <c r="H275" s="122">
        <v>44742</v>
      </c>
      <c r="I275" s="120">
        <v>375</v>
      </c>
      <c r="J275" s="120">
        <v>164</v>
      </c>
      <c r="K275" s="120">
        <v>134.9</v>
      </c>
      <c r="L275" s="124">
        <f t="shared" ca="1" si="909"/>
        <v>0</v>
      </c>
      <c r="M275" s="124">
        <f t="shared" ca="1" si="910"/>
        <v>10912.499999999998</v>
      </c>
      <c r="N275" s="120">
        <f t="shared" ca="1" si="911"/>
        <v>0.82256097560975616</v>
      </c>
      <c r="O275" s="164">
        <f t="shared" ca="1" si="912"/>
        <v>205</v>
      </c>
      <c r="P275" s="168">
        <f t="shared" ca="1" si="754"/>
        <v>61500</v>
      </c>
      <c r="Q275" s="168" t="e">
        <f t="shared" ca="1" si="913"/>
        <v>#N/A</v>
      </c>
      <c r="R275" s="184">
        <f t="shared" ca="1" si="876"/>
        <v>0</v>
      </c>
      <c r="S275" s="124">
        <f t="shared" ca="1" si="914"/>
        <v>16.399999999999995</v>
      </c>
      <c r="T275" s="120">
        <f ca="1">VLOOKUP(TRIM($F275),Reference!B:C,2,0)</f>
        <v>2214</v>
      </c>
      <c r="U275" s="181">
        <f t="shared" ca="1" si="915"/>
        <v>0</v>
      </c>
      <c r="V275" s="125" t="str">
        <f t="shared" ca="1" si="865"/>
        <v>SRF22JUN2400PE</v>
      </c>
      <c r="W275" s="166" t="e">
        <f ca="1">VLOOKUP($V275,Reference!BA:BD,4,0)</f>
        <v>#N/A</v>
      </c>
      <c r="X275" s="168">
        <f t="shared" ca="1" si="866"/>
        <v>0</v>
      </c>
      <c r="Y275" s="168">
        <f t="shared" ca="1" si="867"/>
        <v>0</v>
      </c>
      <c r="Z275" s="168">
        <f t="shared" ca="1" si="879"/>
        <v>0</v>
      </c>
      <c r="AA275" s="168">
        <f t="shared" ca="1" si="868"/>
        <v>0</v>
      </c>
      <c r="AB275" s="168">
        <f t="shared" ca="1" si="869"/>
        <v>0</v>
      </c>
      <c r="AC275" s="124">
        <f t="shared" ca="1" si="870"/>
        <v>0</v>
      </c>
      <c r="AD275" s="120">
        <f t="shared" ca="1" si="916"/>
        <v>-4.1095890410958902E-2</v>
      </c>
      <c r="AE275" s="120">
        <f t="shared" ca="1" si="917"/>
        <v>20</v>
      </c>
      <c r="AF275" s="120"/>
      <c r="AG275" s="120"/>
      <c r="AH275" s="120">
        <f t="shared" ca="1" si="755"/>
        <v>30.75</v>
      </c>
      <c r="AI275" s="120"/>
      <c r="AJ275" s="120">
        <f t="shared" ca="1" si="756"/>
        <v>0</v>
      </c>
      <c r="AK275" s="120"/>
      <c r="AL275" s="147"/>
      <c r="AM275" s="160"/>
      <c r="AN275" s="160"/>
      <c r="AO275" s="160"/>
      <c r="AP275" s="160"/>
      <c r="AQ275" s="160"/>
      <c r="AR275" s="160"/>
      <c r="AS275" s="160"/>
      <c r="AT275" s="160"/>
      <c r="AU275" s="160"/>
      <c r="AV275" s="160"/>
      <c r="AW275" s="160"/>
      <c r="AX275" s="160"/>
      <c r="AY275" s="160"/>
      <c r="AZ275" s="160"/>
      <c r="BA275" s="160"/>
      <c r="BB275" s="160"/>
      <c r="BC275" s="160"/>
      <c r="BD275" s="160"/>
      <c r="BE275" s="160"/>
      <c r="BF275" s="160"/>
      <c r="BG275" s="160"/>
      <c r="BS275" s="13">
        <v>2</v>
      </c>
      <c r="BT275" s="128">
        <v>44491</v>
      </c>
      <c r="BU275" s="121" t="s">
        <v>8</v>
      </c>
      <c r="BV275" s="120" t="s">
        <v>482</v>
      </c>
      <c r="BW275" s="121" t="s">
        <v>502</v>
      </c>
      <c r="BX275" s="120">
        <v>18400</v>
      </c>
      <c r="BY275" s="120">
        <v>41.7</v>
      </c>
      <c r="BZ275" s="120">
        <v>47.945</v>
      </c>
      <c r="CA275" s="124">
        <v>-3216.6708800000001</v>
      </c>
      <c r="CB275" s="120">
        <v>1.1497601918465228</v>
      </c>
      <c r="CC275" s="120">
        <v>500</v>
      </c>
      <c r="CD275" s="120">
        <v>50</v>
      </c>
      <c r="CE275" s="124">
        <v>20850</v>
      </c>
    </row>
    <row r="276" spans="1:83" hidden="1">
      <c r="A276" s="13">
        <f t="shared" ca="1" si="753"/>
        <v>269</v>
      </c>
      <c r="B276" s="128">
        <v>44706</v>
      </c>
      <c r="C276" s="121" t="s">
        <v>8</v>
      </c>
      <c r="D276" s="121">
        <v>1</v>
      </c>
      <c r="E276" s="120" t="s">
        <v>481</v>
      </c>
      <c r="F276" s="121" t="s">
        <v>390</v>
      </c>
      <c r="G276" s="120">
        <v>2500</v>
      </c>
      <c r="H276" s="122">
        <v>44742</v>
      </c>
      <c r="I276" s="120">
        <v>375</v>
      </c>
      <c r="J276" s="120">
        <v>40</v>
      </c>
      <c r="K276" s="120">
        <v>1.75</v>
      </c>
      <c r="L276" s="124">
        <f t="shared" ref="L276" ca="1" si="918">IF(AND(K276&lt;&gt;0,I276&lt;&gt;0),(IF(C276="B",1,-1))*(K276-J276)*I276-AK276*2,0)*$D276*IF(MONTH($B$2)=MONTH($H276),1,0)</f>
        <v>0</v>
      </c>
      <c r="M276" s="124">
        <f t="shared" ref="M276" ca="1" si="919">IF(AND(K276&lt;&gt;0,I276&lt;&gt;0),(IF(C276="B",1,-1))*(K276-J276)*I276-AK276*2,0)*$D276</f>
        <v>14343.75</v>
      </c>
      <c r="N276" s="120">
        <f t="shared" ref="N276" ca="1" si="920">K276/$J276</f>
        <v>4.3749999999999997E-2</v>
      </c>
      <c r="O276" s="164">
        <f t="shared" ref="O276" ca="1" si="921">J276*(1+$O$6*IF(C276="B",-1,1))</f>
        <v>50</v>
      </c>
      <c r="P276" s="168">
        <f t="shared" ca="1" si="754"/>
        <v>15000</v>
      </c>
      <c r="Q276" s="168" t="e">
        <f t="shared" ref="Q276" ca="1" si="922">(W276-J276)*I276*IF(C276="B",1,-1)*IF(K276=0,1,0)</f>
        <v>#N/A</v>
      </c>
      <c r="R276" s="184">
        <f t="shared" ca="1" si="876"/>
        <v>0</v>
      </c>
      <c r="S276" s="124">
        <f t="shared" ref="S276" ca="1" si="923">(1-$S$6)*J276</f>
        <v>3.9999999999999991</v>
      </c>
      <c r="T276" s="120">
        <f ca="1">VLOOKUP(TRIM($F276),Reference!B:C,2,0)</f>
        <v>2214</v>
      </c>
      <c r="U276" s="181">
        <f t="shared" ref="U276" ca="1" si="924">AC276</f>
        <v>0</v>
      </c>
      <c r="V276" s="125" t="str">
        <f t="shared" ca="1" si="865"/>
        <v>SRF22JUN2500CE</v>
      </c>
      <c r="W276" s="166" t="e">
        <f ca="1">VLOOKUP($V276,Reference!BA:BD,4,0)</f>
        <v>#N/A</v>
      </c>
      <c r="X276" s="168">
        <f t="shared" ca="1" si="866"/>
        <v>0</v>
      </c>
      <c r="Y276" s="168">
        <f t="shared" ca="1" si="867"/>
        <v>0</v>
      </c>
      <c r="Z276" s="168">
        <f t="shared" ca="1" si="879"/>
        <v>0</v>
      </c>
      <c r="AA276" s="168">
        <f t="shared" ca="1" si="868"/>
        <v>0</v>
      </c>
      <c r="AB276" s="168">
        <f t="shared" ca="1" si="869"/>
        <v>0</v>
      </c>
      <c r="AC276" s="124">
        <f t="shared" ca="1" si="870"/>
        <v>0</v>
      </c>
      <c r="AD276" s="120">
        <f t="shared" ref="AD276" ca="1" si="925">(H276-TODAY())/365</f>
        <v>-4.1095890410958902E-2</v>
      </c>
      <c r="AE276" s="120">
        <f t="shared" ref="AE276" ca="1" si="926">IF(I276&lt;&gt;0,20,0)</f>
        <v>20</v>
      </c>
      <c r="AF276" s="120"/>
      <c r="AG276" s="120"/>
      <c r="AH276" s="120">
        <f t="shared" ca="1" si="755"/>
        <v>7.5</v>
      </c>
      <c r="AI276" s="120"/>
      <c r="AJ276" s="120">
        <f t="shared" ca="1" si="756"/>
        <v>0</v>
      </c>
      <c r="AK276" s="120"/>
      <c r="AL276" s="147"/>
      <c r="AM276" s="160"/>
      <c r="AN276" s="160"/>
      <c r="AO276" s="160"/>
      <c r="AP276" s="160"/>
      <c r="AQ276" s="160"/>
      <c r="AR276" s="160"/>
      <c r="AS276" s="160"/>
      <c r="AT276" s="160"/>
      <c r="AU276" s="160"/>
      <c r="AV276" s="160"/>
      <c r="AW276" s="160"/>
      <c r="AX276" s="160"/>
      <c r="AY276" s="160"/>
      <c r="AZ276" s="160"/>
      <c r="BA276" s="160"/>
      <c r="BB276" s="160"/>
      <c r="BC276" s="160"/>
      <c r="BD276" s="160"/>
      <c r="BE276" s="160"/>
      <c r="BF276" s="160"/>
      <c r="BG276" s="160"/>
      <c r="BS276" s="13">
        <v>2</v>
      </c>
      <c r="BT276" s="128">
        <v>44491</v>
      </c>
      <c r="BU276" s="121" t="s">
        <v>8</v>
      </c>
      <c r="BV276" s="120" t="s">
        <v>482</v>
      </c>
      <c r="BW276" s="121" t="s">
        <v>502</v>
      </c>
      <c r="BX276" s="120">
        <v>18400</v>
      </c>
      <c r="BY276" s="120">
        <v>41.7</v>
      </c>
      <c r="BZ276" s="120">
        <v>47.945</v>
      </c>
      <c r="CA276" s="124">
        <v>-3216.6708800000001</v>
      </c>
      <c r="CB276" s="120">
        <v>1.1497601918465228</v>
      </c>
      <c r="CC276" s="120">
        <v>500</v>
      </c>
      <c r="CD276" s="120">
        <v>50</v>
      </c>
      <c r="CE276" s="124">
        <v>20850</v>
      </c>
    </row>
    <row r="277" spans="1:83" hidden="1">
      <c r="A277" s="13">
        <f t="shared" ca="1" si="753"/>
        <v>270</v>
      </c>
      <c r="B277" s="128">
        <v>44707</v>
      </c>
      <c r="C277" s="121" t="s">
        <v>8</v>
      </c>
      <c r="D277" s="121">
        <v>1</v>
      </c>
      <c r="E277" s="120" t="s">
        <v>481</v>
      </c>
      <c r="F277" s="121" t="s">
        <v>130</v>
      </c>
      <c r="G277" s="120">
        <v>250</v>
      </c>
      <c r="H277" s="122">
        <v>44742</v>
      </c>
      <c r="I277" s="120">
        <v>3375</v>
      </c>
      <c r="J277" s="120">
        <v>3.2</v>
      </c>
      <c r="K277" s="120">
        <v>0.1</v>
      </c>
      <c r="L277" s="124">
        <f t="shared" ref="L277" ca="1" si="927">IF(AND(K277&lt;&gt;0,I277&lt;&gt;0),(IF(C277="B",1,-1))*(K277-J277)*I277-AK277*2,0)*$D277*IF(MONTH($B$2)=MONTH($H277),1,0)</f>
        <v>0</v>
      </c>
      <c r="M277" s="124">
        <f t="shared" ref="M277" ca="1" si="928">IF(AND(K277&lt;&gt;0,I277&lt;&gt;0),(IF(C277="B",1,-1))*(K277-J277)*I277-AK277*2,0)*$D277</f>
        <v>10462.5</v>
      </c>
      <c r="N277" s="120">
        <f t="shared" ref="N277" ca="1" si="929">K277/$J277</f>
        <v>3.125E-2</v>
      </c>
      <c r="O277" s="164">
        <f t="shared" ref="O277" ca="1" si="930">J277*(1+$O$6*IF(C277="B",-1,1))</f>
        <v>4</v>
      </c>
      <c r="P277" s="168">
        <f t="shared" ca="1" si="754"/>
        <v>10800</v>
      </c>
      <c r="Q277" s="168" t="e">
        <f t="shared" ref="Q277" ca="1" si="931">(W277-J277)*I277*IF(C277="B",1,-1)*IF(K277=0,1,0)</f>
        <v>#N/A</v>
      </c>
      <c r="R277" s="184">
        <f t="shared" ca="1" si="876"/>
        <v>0</v>
      </c>
      <c r="S277" s="124">
        <f t="shared" ref="S277" ca="1" si="932">(1-$S$6)*J277</f>
        <v>0.31999999999999995</v>
      </c>
      <c r="T277" s="120">
        <f ca="1">VLOOKUP(TRIM($F277),Reference!B:C,2,0)</f>
        <v>221.6</v>
      </c>
      <c r="U277" s="181">
        <f t="shared" ref="U277" ca="1" si="933">AC277</f>
        <v>0</v>
      </c>
      <c r="V277" s="125" t="str">
        <f t="shared" ca="1" si="865"/>
        <v>TATAPOWER22JUN250CE</v>
      </c>
      <c r="W277" s="166" t="e">
        <f ca="1">VLOOKUP($V277,Reference!BA:BD,4,0)</f>
        <v>#N/A</v>
      </c>
      <c r="X277" s="168">
        <f t="shared" ca="1" si="866"/>
        <v>0</v>
      </c>
      <c r="Y277" s="168">
        <f t="shared" ca="1" si="867"/>
        <v>0</v>
      </c>
      <c r="Z277" s="168">
        <f t="shared" ca="1" si="879"/>
        <v>0</v>
      </c>
      <c r="AA277" s="168">
        <f t="shared" ca="1" si="868"/>
        <v>0</v>
      </c>
      <c r="AB277" s="168">
        <f t="shared" ca="1" si="869"/>
        <v>0</v>
      </c>
      <c r="AC277" s="124">
        <f t="shared" ca="1" si="870"/>
        <v>0</v>
      </c>
      <c r="AD277" s="120">
        <f t="shared" ref="AD277" ca="1" si="934">(H277-TODAY())/365</f>
        <v>-4.1095890410958902E-2</v>
      </c>
      <c r="AE277" s="120">
        <f t="shared" ref="AE277" ca="1" si="935">IF(I277&lt;&gt;0,20,0)</f>
        <v>20</v>
      </c>
      <c r="AF277" s="120"/>
      <c r="AG277" s="120"/>
      <c r="AH277" s="120">
        <f t="shared" ca="1" si="755"/>
        <v>5.4</v>
      </c>
      <c r="AI277" s="120"/>
      <c r="AJ277" s="120">
        <f t="shared" ca="1" si="756"/>
        <v>0</v>
      </c>
      <c r="AK277" s="120"/>
      <c r="AL277" s="147"/>
      <c r="AM277" s="160"/>
      <c r="AN277" s="160"/>
      <c r="AO277" s="160"/>
      <c r="AP277" s="160"/>
      <c r="AQ277" s="160"/>
      <c r="AR277" s="160"/>
      <c r="AS277" s="160"/>
      <c r="AT277" s="160"/>
      <c r="AU277" s="160"/>
      <c r="AV277" s="160"/>
      <c r="AW277" s="160"/>
      <c r="AX277" s="160"/>
      <c r="AY277" s="160"/>
      <c r="AZ277" s="160"/>
      <c r="BA277" s="160"/>
      <c r="BB277" s="160"/>
      <c r="BC277" s="160"/>
      <c r="BD277" s="160"/>
      <c r="BE277" s="160"/>
      <c r="BF277" s="160"/>
      <c r="BG277" s="160"/>
      <c r="BS277" s="13">
        <v>2</v>
      </c>
      <c r="BT277" s="128">
        <v>44491</v>
      </c>
      <c r="BU277" s="121" t="s">
        <v>8</v>
      </c>
      <c r="BV277" s="120" t="s">
        <v>482</v>
      </c>
      <c r="BW277" s="121" t="s">
        <v>502</v>
      </c>
      <c r="BX277" s="120">
        <v>18400</v>
      </c>
      <c r="BY277" s="120">
        <v>41.7</v>
      </c>
      <c r="BZ277" s="120">
        <v>47.945</v>
      </c>
      <c r="CA277" s="124">
        <v>-3216.6708800000001</v>
      </c>
      <c r="CB277" s="120">
        <v>1.1497601918465228</v>
      </c>
      <c r="CC277" s="120">
        <v>500</v>
      </c>
      <c r="CD277" s="120">
        <v>50</v>
      </c>
      <c r="CE277" s="124">
        <v>20850</v>
      </c>
    </row>
    <row r="278" spans="1:83" hidden="1">
      <c r="A278" s="13">
        <f t="shared" ca="1" si="753"/>
        <v>271</v>
      </c>
      <c r="B278" s="128">
        <v>44707</v>
      </c>
      <c r="C278" s="121" t="s">
        <v>8</v>
      </c>
      <c r="D278" s="121">
        <v>1</v>
      </c>
      <c r="E278" s="120" t="s">
        <v>481</v>
      </c>
      <c r="F278" s="121" t="s">
        <v>126</v>
      </c>
      <c r="G278" s="120">
        <v>190</v>
      </c>
      <c r="H278" s="122">
        <v>44742</v>
      </c>
      <c r="I278" s="120">
        <v>3750</v>
      </c>
      <c r="J278" s="120">
        <v>5.4</v>
      </c>
      <c r="K278" s="120">
        <v>0</v>
      </c>
      <c r="L278" s="124">
        <f t="shared" ref="L278" ca="1" si="936">IF(AND(K278&lt;&gt;0,I278&lt;&gt;0),(IF(C278="B",1,-1))*(K278-J278)*I278-AK278*2,0)*$D278*IF(MONTH($B$2)=MONTH($H278),1,0)</f>
        <v>0</v>
      </c>
      <c r="M278" s="124">
        <f t="shared" ref="M278" ca="1" si="937">IF(AND(K278&lt;&gt;0,I278&lt;&gt;0),(IF(C278="B",1,-1))*(K278-J278)*I278-AK278*2,0)*$D278</f>
        <v>0</v>
      </c>
      <c r="N278" s="120">
        <f t="shared" ref="N278" ca="1" si="938">K278/$J278</f>
        <v>0</v>
      </c>
      <c r="O278" s="164">
        <f t="shared" ref="O278" ca="1" si="939">J278*(1+$O$6*IF(C278="B",-1,1))</f>
        <v>6.75</v>
      </c>
      <c r="P278" s="168">
        <f t="shared" ca="1" si="754"/>
        <v>20250</v>
      </c>
      <c r="Q278" s="168" t="e">
        <f t="shared" ref="Q278" ca="1" si="940">(W278-J278)*I278*IF(C278="B",1,-1)*IF(K278=0,1,0)</f>
        <v>#N/A</v>
      </c>
      <c r="R278" s="184">
        <f t="shared" ca="1" si="876"/>
        <v>0</v>
      </c>
      <c r="S278" s="124">
        <f t="shared" ref="S278" ca="1" si="941">(1-$S$6)*J278</f>
        <v>0.53999999999999992</v>
      </c>
      <c r="T278" s="120">
        <f ca="1">VLOOKUP(TRIM($F278),Reference!B:C,2,0)</f>
        <v>162.15</v>
      </c>
      <c r="U278" s="181">
        <f t="shared" ref="U278" ca="1" si="942">AC278</f>
        <v>0</v>
      </c>
      <c r="V278" s="125" t="str">
        <f t="shared" ca="1" si="865"/>
        <v>IEX22JUN190CE</v>
      </c>
      <c r="W278" s="166" t="e">
        <f ca="1">VLOOKUP($V278,Reference!BA:BD,4,0)</f>
        <v>#N/A</v>
      </c>
      <c r="X278" s="168">
        <f t="shared" ca="1" si="866"/>
        <v>0</v>
      </c>
      <c r="Y278" s="168">
        <f t="shared" ca="1" si="867"/>
        <v>0</v>
      </c>
      <c r="Z278" s="168">
        <f t="shared" ca="1" si="879"/>
        <v>0</v>
      </c>
      <c r="AA278" s="168">
        <f t="shared" ca="1" si="868"/>
        <v>0</v>
      </c>
      <c r="AB278" s="168">
        <f t="shared" ca="1" si="869"/>
        <v>0</v>
      </c>
      <c r="AC278" s="124">
        <f t="shared" ca="1" si="870"/>
        <v>0</v>
      </c>
      <c r="AD278" s="120">
        <f t="shared" ref="AD278" ca="1" si="943">(H278-TODAY())/365</f>
        <v>-4.1095890410958902E-2</v>
      </c>
      <c r="AE278" s="120">
        <f t="shared" ref="AE278" ca="1" si="944">IF(I278&lt;&gt;0,20,0)</f>
        <v>20</v>
      </c>
      <c r="AF278" s="120"/>
      <c r="AG278" s="120"/>
      <c r="AH278" s="120">
        <f t="shared" ca="1" si="755"/>
        <v>10.125</v>
      </c>
      <c r="AI278" s="120"/>
      <c r="AJ278" s="120">
        <f t="shared" ca="1" si="756"/>
        <v>0</v>
      </c>
      <c r="AK278" s="120"/>
      <c r="AL278" s="147"/>
      <c r="AM278" s="160"/>
      <c r="AN278" s="160"/>
      <c r="AO278" s="160"/>
      <c r="AP278" s="160"/>
      <c r="AQ278" s="160"/>
      <c r="AR278" s="160"/>
      <c r="AS278" s="160"/>
      <c r="AT278" s="160"/>
      <c r="AU278" s="160"/>
      <c r="AV278" s="160"/>
      <c r="AW278" s="160"/>
      <c r="AX278" s="160"/>
      <c r="AY278" s="160"/>
      <c r="AZ278" s="160"/>
      <c r="BA278" s="160"/>
      <c r="BB278" s="160"/>
      <c r="BC278" s="160"/>
      <c r="BD278" s="160"/>
      <c r="BE278" s="160"/>
      <c r="BF278" s="160"/>
      <c r="BG278" s="160"/>
      <c r="BS278" s="13">
        <v>2</v>
      </c>
      <c r="BT278" s="128">
        <v>44491</v>
      </c>
      <c r="BU278" s="121" t="s">
        <v>8</v>
      </c>
      <c r="BV278" s="120" t="s">
        <v>482</v>
      </c>
      <c r="BW278" s="121" t="s">
        <v>502</v>
      </c>
      <c r="BX278" s="120">
        <v>18400</v>
      </c>
      <c r="BY278" s="120">
        <v>41.7</v>
      </c>
      <c r="BZ278" s="120">
        <v>47.945</v>
      </c>
      <c r="CA278" s="124">
        <v>-3216.6708800000001</v>
      </c>
      <c r="CB278" s="120">
        <v>1.1497601918465228</v>
      </c>
      <c r="CC278" s="120">
        <v>500</v>
      </c>
      <c r="CD278" s="120">
        <v>50</v>
      </c>
      <c r="CE278" s="124">
        <v>20850</v>
      </c>
    </row>
    <row r="279" spans="1:83" hidden="1">
      <c r="A279" s="13">
        <f t="shared" ca="1" si="753"/>
        <v>272</v>
      </c>
      <c r="B279" s="128">
        <v>44707</v>
      </c>
      <c r="C279" s="121" t="s">
        <v>6</v>
      </c>
      <c r="D279" s="121">
        <v>1</v>
      </c>
      <c r="E279" s="120" t="s">
        <v>482</v>
      </c>
      <c r="F279" s="121" t="s">
        <v>126</v>
      </c>
      <c r="G279" s="120">
        <v>170</v>
      </c>
      <c r="H279" s="122">
        <v>44742</v>
      </c>
      <c r="I279" s="120">
        <v>3750</v>
      </c>
      <c r="J279" s="120">
        <v>5.8</v>
      </c>
      <c r="K279" s="120">
        <v>1.1000000000000001</v>
      </c>
      <c r="L279" s="124">
        <f t="shared" ref="L279:L280" ca="1" si="945">IF(AND(K279&lt;&gt;0,I279&lt;&gt;0),(IF(C279="B",1,-1))*(K279-J279)*I279-AK279*2,0)*$D279*IF(MONTH($B$2)=MONTH($H279),1,0)</f>
        <v>0</v>
      </c>
      <c r="M279" s="124">
        <f t="shared" ref="M279:M280" ca="1" si="946">IF(AND(K279&lt;&gt;0,I279&lt;&gt;0),(IF(C279="B",1,-1))*(K279-J279)*I279-AK279*2,0)*$D279</f>
        <v>-17624.999999999996</v>
      </c>
      <c r="N279" s="120">
        <f t="shared" ref="N279:N280" ca="1" si="947">K279/$J279</f>
        <v>0.18965517241379312</v>
      </c>
      <c r="O279" s="164">
        <f t="shared" ref="O279:O280" ca="1" si="948">J279*(1+$O$6*IF(C279="B",-1,1))</f>
        <v>4.3499999999999996</v>
      </c>
      <c r="P279" s="168">
        <f t="shared" ca="1" si="754"/>
        <v>21750</v>
      </c>
      <c r="Q279" s="168" t="e">
        <f t="shared" ref="Q279:Q280" ca="1" si="949">(W279-J279)*I279*IF(C279="B",1,-1)*IF(K279=0,1,0)</f>
        <v>#N/A</v>
      </c>
      <c r="R279" s="184">
        <f t="shared" ca="1" si="876"/>
        <v>0</v>
      </c>
      <c r="S279" s="124">
        <f t="shared" ref="S279:S280" ca="1" si="950">(1-$S$6)*J279</f>
        <v>0.57999999999999985</v>
      </c>
      <c r="T279" s="120">
        <f ca="1">VLOOKUP(TRIM($F279),Reference!B:C,2,0)</f>
        <v>162.15</v>
      </c>
      <c r="U279" s="181">
        <f t="shared" ref="U279:U280" ca="1" si="951">AC279</f>
        <v>0</v>
      </c>
      <c r="V279" s="125" t="str">
        <f t="shared" ca="1" si="865"/>
        <v>IEX22JUN170PE</v>
      </c>
      <c r="W279" s="166" t="e">
        <f ca="1">VLOOKUP($V279,Reference!BA:BD,4,0)</f>
        <v>#N/A</v>
      </c>
      <c r="X279" s="168">
        <f t="shared" ca="1" si="866"/>
        <v>0</v>
      </c>
      <c r="Y279" s="168">
        <f t="shared" ca="1" si="867"/>
        <v>0</v>
      </c>
      <c r="Z279" s="168">
        <f t="shared" ca="1" si="879"/>
        <v>0</v>
      </c>
      <c r="AA279" s="168">
        <f t="shared" ca="1" si="868"/>
        <v>0</v>
      </c>
      <c r="AB279" s="168">
        <f t="shared" ca="1" si="869"/>
        <v>0</v>
      </c>
      <c r="AC279" s="124">
        <f t="shared" ca="1" si="870"/>
        <v>0</v>
      </c>
      <c r="AD279" s="120">
        <f t="shared" ref="AD279:AD280" ca="1" si="952">(H279-TODAY())/365</f>
        <v>-4.1095890410958902E-2</v>
      </c>
      <c r="AE279" s="120">
        <f t="shared" ref="AE279:AE280" ca="1" si="953">IF(I279&lt;&gt;0,20,0)</f>
        <v>20</v>
      </c>
      <c r="AF279" s="120"/>
      <c r="AG279" s="120"/>
      <c r="AH279" s="120">
        <f t="shared" ca="1" si="755"/>
        <v>0</v>
      </c>
      <c r="AI279" s="120"/>
      <c r="AJ279" s="120">
        <f t="shared" ca="1" si="756"/>
        <v>0.65249999999999997</v>
      </c>
      <c r="AK279" s="120"/>
      <c r="AL279" s="147"/>
      <c r="AM279" s="160"/>
      <c r="AN279" s="160"/>
      <c r="AO279" s="160"/>
      <c r="AP279" s="160"/>
      <c r="AQ279" s="160"/>
      <c r="AR279" s="160"/>
      <c r="AS279" s="160"/>
      <c r="AT279" s="160"/>
      <c r="AU279" s="160"/>
      <c r="AV279" s="160"/>
      <c r="AW279" s="160"/>
      <c r="AX279" s="160"/>
      <c r="AY279" s="160"/>
      <c r="AZ279" s="160"/>
      <c r="BA279" s="160"/>
      <c r="BB279" s="160"/>
      <c r="BC279" s="160"/>
      <c r="BD279" s="160"/>
      <c r="BE279" s="160"/>
      <c r="BF279" s="160"/>
      <c r="BG279" s="160"/>
      <c r="BS279" s="13">
        <v>2</v>
      </c>
      <c r="BT279" s="128">
        <v>44491</v>
      </c>
      <c r="BU279" s="121" t="s">
        <v>8</v>
      </c>
      <c r="BV279" s="120" t="s">
        <v>482</v>
      </c>
      <c r="BW279" s="121" t="s">
        <v>502</v>
      </c>
      <c r="BX279" s="120">
        <v>18400</v>
      </c>
      <c r="BY279" s="120">
        <v>41.7</v>
      </c>
      <c r="BZ279" s="120">
        <v>47.945</v>
      </c>
      <c r="CA279" s="124">
        <v>-3216.6708800000001</v>
      </c>
      <c r="CB279" s="120">
        <v>1.1497601918465228</v>
      </c>
      <c r="CC279" s="120">
        <v>500</v>
      </c>
      <c r="CD279" s="120">
        <v>50</v>
      </c>
      <c r="CE279" s="124">
        <v>20850</v>
      </c>
    </row>
    <row r="280" spans="1:83" hidden="1">
      <c r="A280" s="13">
        <f t="shared" ca="1" si="753"/>
        <v>273</v>
      </c>
      <c r="B280" s="128">
        <v>44707</v>
      </c>
      <c r="C280" s="121" t="s">
        <v>8</v>
      </c>
      <c r="D280" s="121">
        <v>1</v>
      </c>
      <c r="E280" s="120" t="s">
        <v>482</v>
      </c>
      <c r="F280" s="121" t="s">
        <v>130</v>
      </c>
      <c r="G280" s="120">
        <v>220</v>
      </c>
      <c r="H280" s="122">
        <v>44742</v>
      </c>
      <c r="I280" s="120">
        <v>3375</v>
      </c>
      <c r="J280" s="120">
        <v>15.05</v>
      </c>
      <c r="K280" s="120">
        <v>5.6</v>
      </c>
      <c r="L280" s="124">
        <f t="shared" ca="1" si="945"/>
        <v>0</v>
      </c>
      <c r="M280" s="124">
        <f t="shared" ca="1" si="946"/>
        <v>31893.750000000004</v>
      </c>
      <c r="N280" s="120">
        <f t="shared" ca="1" si="947"/>
        <v>0.37209302325581389</v>
      </c>
      <c r="O280" s="164">
        <f t="shared" ca="1" si="948"/>
        <v>18.8125</v>
      </c>
      <c r="P280" s="168">
        <f t="shared" ca="1" si="754"/>
        <v>50793.75</v>
      </c>
      <c r="Q280" s="168" t="e">
        <f t="shared" ca="1" si="949"/>
        <v>#N/A</v>
      </c>
      <c r="R280" s="184">
        <f t="shared" ca="1" si="876"/>
        <v>0</v>
      </c>
      <c r="S280" s="124">
        <f t="shared" ca="1" si="950"/>
        <v>1.5049999999999997</v>
      </c>
      <c r="T280" s="120">
        <f ca="1">VLOOKUP(TRIM($F280),Reference!B:C,2,0)</f>
        <v>221.6</v>
      </c>
      <c r="U280" s="181">
        <f t="shared" ca="1" si="951"/>
        <v>0</v>
      </c>
      <c r="V280" s="125" t="str">
        <f t="shared" ca="1" si="865"/>
        <v>TATAPOWER22JUN220PE</v>
      </c>
      <c r="W280" s="166" t="e">
        <f ca="1">VLOOKUP($V280,Reference!BA:BD,4,0)</f>
        <v>#N/A</v>
      </c>
      <c r="X280" s="168">
        <f t="shared" ca="1" si="866"/>
        <v>0</v>
      </c>
      <c r="Y280" s="168">
        <f t="shared" ca="1" si="867"/>
        <v>0</v>
      </c>
      <c r="Z280" s="168">
        <f t="shared" ca="1" si="879"/>
        <v>0</v>
      </c>
      <c r="AA280" s="168">
        <f t="shared" ca="1" si="868"/>
        <v>0</v>
      </c>
      <c r="AB280" s="168">
        <f t="shared" ca="1" si="869"/>
        <v>0</v>
      </c>
      <c r="AC280" s="124">
        <f t="shared" ca="1" si="870"/>
        <v>0</v>
      </c>
      <c r="AD280" s="120">
        <f t="shared" ca="1" si="952"/>
        <v>-4.1095890410958902E-2</v>
      </c>
      <c r="AE280" s="120">
        <f t="shared" ca="1" si="953"/>
        <v>20</v>
      </c>
      <c r="AF280" s="120"/>
      <c r="AG280" s="120"/>
      <c r="AH280" s="120">
        <f t="shared" ca="1" si="755"/>
        <v>25.396875000000001</v>
      </c>
      <c r="AI280" s="120"/>
      <c r="AJ280" s="120">
        <f t="shared" ca="1" si="756"/>
        <v>0</v>
      </c>
      <c r="AK280" s="120"/>
      <c r="AL280" s="147"/>
      <c r="AM280" s="160"/>
      <c r="AN280" s="160"/>
      <c r="AO280" s="160"/>
      <c r="AP280" s="160"/>
      <c r="AQ280" s="160"/>
      <c r="AR280" s="160"/>
      <c r="AS280" s="160"/>
      <c r="AT280" s="160"/>
      <c r="AU280" s="160"/>
      <c r="AV280" s="160"/>
      <c r="AW280" s="160"/>
      <c r="AX280" s="160"/>
      <c r="AY280" s="160"/>
      <c r="AZ280" s="160"/>
      <c r="BA280" s="160"/>
      <c r="BB280" s="160"/>
      <c r="BC280" s="160"/>
      <c r="BD280" s="160"/>
      <c r="BE280" s="160"/>
      <c r="BF280" s="160"/>
      <c r="BG280" s="160"/>
      <c r="BS280" s="13">
        <v>2</v>
      </c>
      <c r="BT280" s="128">
        <v>44491</v>
      </c>
      <c r="BU280" s="121" t="s">
        <v>8</v>
      </c>
      <c r="BV280" s="120" t="s">
        <v>482</v>
      </c>
      <c r="BW280" s="121" t="s">
        <v>502</v>
      </c>
      <c r="BX280" s="120">
        <v>18400</v>
      </c>
      <c r="BY280" s="120">
        <v>41.7</v>
      </c>
      <c r="BZ280" s="120">
        <v>47.945</v>
      </c>
      <c r="CA280" s="124">
        <v>-3216.6708800000001</v>
      </c>
      <c r="CB280" s="120">
        <v>1.1497601918465228</v>
      </c>
      <c r="CC280" s="120">
        <v>500</v>
      </c>
      <c r="CD280" s="120">
        <v>50</v>
      </c>
      <c r="CE280" s="124">
        <v>20850</v>
      </c>
    </row>
    <row r="281" spans="1:83" hidden="1">
      <c r="A281" s="13">
        <f t="shared" ca="1" si="753"/>
        <v>274</v>
      </c>
      <c r="B281" s="128">
        <v>44707</v>
      </c>
      <c r="C281" s="121" t="s">
        <v>6</v>
      </c>
      <c r="D281" s="121">
        <v>1</v>
      </c>
      <c r="E281" s="120" t="s">
        <v>482</v>
      </c>
      <c r="F281" s="121" t="s">
        <v>130</v>
      </c>
      <c r="G281" s="120">
        <v>210</v>
      </c>
      <c r="H281" s="122">
        <v>44742</v>
      </c>
      <c r="I281" s="120">
        <v>3375</v>
      </c>
      <c r="J281" s="120">
        <v>10</v>
      </c>
      <c r="K281" s="120">
        <v>3.8</v>
      </c>
      <c r="L281" s="124">
        <f t="shared" ref="L281:L282" ca="1" si="954">IF(AND(K281&lt;&gt;0,I281&lt;&gt;0),(IF(C281="B",1,-1))*(K281-J281)*I281-AK281*2,0)*$D281*IF(MONTH($B$2)=MONTH($H281),1,0)</f>
        <v>0</v>
      </c>
      <c r="M281" s="124">
        <f t="shared" ref="M281:M282" ca="1" si="955">IF(AND(K281&lt;&gt;0,I281&lt;&gt;0),(IF(C281="B",1,-1))*(K281-J281)*I281-AK281*2,0)*$D281</f>
        <v>-20925</v>
      </c>
      <c r="N281" s="120">
        <f t="shared" ref="N281:N282" ca="1" si="956">K281/$J281</f>
        <v>0.38</v>
      </c>
      <c r="O281" s="164">
        <f t="shared" ref="O281:O282" ca="1" si="957">J281*(1+$O$6*IF(C281="B",-1,1))</f>
        <v>7.5</v>
      </c>
      <c r="P281" s="168">
        <f t="shared" ca="1" si="754"/>
        <v>33750</v>
      </c>
      <c r="Q281" s="168" t="e">
        <f t="shared" ref="Q281:Q282" ca="1" si="958">(W281-J281)*I281*IF(C281="B",1,-1)*IF(K281=0,1,0)</f>
        <v>#N/A</v>
      </c>
      <c r="R281" s="184">
        <f t="shared" ca="1" si="876"/>
        <v>0</v>
      </c>
      <c r="S281" s="124">
        <f t="shared" ref="S281:S282" ca="1" si="959">(1-$S$6)*J281</f>
        <v>0.99999999999999978</v>
      </c>
      <c r="T281" s="120">
        <f ca="1">VLOOKUP(TRIM($F281),Reference!B:C,2,0)</f>
        <v>221.6</v>
      </c>
      <c r="U281" s="181">
        <f t="shared" ref="U281:U282" ca="1" si="960">AC281</f>
        <v>0</v>
      </c>
      <c r="V281" s="125" t="str">
        <f t="shared" ca="1" si="865"/>
        <v>TATAPOWER22JUN210PE</v>
      </c>
      <c r="W281" s="166" t="e">
        <f ca="1">VLOOKUP($V281,Reference!BA:BD,4,0)</f>
        <v>#N/A</v>
      </c>
      <c r="X281" s="168">
        <f t="shared" ca="1" si="866"/>
        <v>0</v>
      </c>
      <c r="Y281" s="168">
        <f t="shared" ca="1" si="867"/>
        <v>0</v>
      </c>
      <c r="Z281" s="168">
        <f t="shared" ca="1" si="879"/>
        <v>0</v>
      </c>
      <c r="AA281" s="168">
        <f t="shared" ca="1" si="868"/>
        <v>0</v>
      </c>
      <c r="AB281" s="168">
        <f t="shared" ca="1" si="869"/>
        <v>0</v>
      </c>
      <c r="AC281" s="124">
        <f t="shared" ca="1" si="870"/>
        <v>0</v>
      </c>
      <c r="AD281" s="120">
        <f t="shared" ref="AD281:AD282" ca="1" si="961">(H281-TODAY())/365</f>
        <v>-4.1095890410958902E-2</v>
      </c>
      <c r="AE281" s="120">
        <f t="shared" ref="AE281:AE282" ca="1" si="962">IF(I281&lt;&gt;0,20,0)</f>
        <v>20</v>
      </c>
      <c r="AF281" s="120"/>
      <c r="AG281" s="120"/>
      <c r="AH281" s="120">
        <f t="shared" ca="1" si="755"/>
        <v>0</v>
      </c>
      <c r="AI281" s="120"/>
      <c r="AJ281" s="120">
        <f t="shared" ca="1" si="756"/>
        <v>1.0125</v>
      </c>
      <c r="AK281" s="120"/>
      <c r="AL281" s="147"/>
      <c r="AM281" s="160"/>
      <c r="AN281" s="160"/>
      <c r="AO281" s="160"/>
      <c r="AP281" s="160"/>
      <c r="AQ281" s="160"/>
      <c r="AR281" s="160"/>
      <c r="AS281" s="160"/>
      <c r="AT281" s="160"/>
      <c r="AU281" s="160"/>
      <c r="AV281" s="160"/>
      <c r="AW281" s="160"/>
      <c r="AX281" s="160"/>
      <c r="AY281" s="160"/>
      <c r="AZ281" s="160"/>
      <c r="BA281" s="160"/>
      <c r="BB281" s="160"/>
      <c r="BC281" s="160"/>
      <c r="BD281" s="160"/>
      <c r="BE281" s="160"/>
      <c r="BF281" s="160"/>
      <c r="BG281" s="160"/>
      <c r="BS281" s="13">
        <v>2</v>
      </c>
      <c r="BT281" s="128">
        <v>44491</v>
      </c>
      <c r="BU281" s="121" t="s">
        <v>8</v>
      </c>
      <c r="BV281" s="120" t="s">
        <v>482</v>
      </c>
      <c r="BW281" s="121" t="s">
        <v>502</v>
      </c>
      <c r="BX281" s="120">
        <v>18400</v>
      </c>
      <c r="BY281" s="120">
        <v>41.7</v>
      </c>
      <c r="BZ281" s="120">
        <v>47.945</v>
      </c>
      <c r="CA281" s="124">
        <v>-3216.6708800000001</v>
      </c>
      <c r="CB281" s="120">
        <v>1.1497601918465228</v>
      </c>
      <c r="CC281" s="120">
        <v>500</v>
      </c>
      <c r="CD281" s="120">
        <v>50</v>
      </c>
      <c r="CE281" s="124">
        <v>20850</v>
      </c>
    </row>
    <row r="282" spans="1:83" hidden="1">
      <c r="A282" s="13">
        <f t="shared" ca="1" si="753"/>
        <v>275</v>
      </c>
      <c r="B282" s="128">
        <v>44707</v>
      </c>
      <c r="C282" s="121" t="s">
        <v>8</v>
      </c>
      <c r="D282" s="121">
        <v>1</v>
      </c>
      <c r="E282" s="120" t="s">
        <v>482</v>
      </c>
      <c r="F282" s="121" t="s">
        <v>126</v>
      </c>
      <c r="G282" s="120">
        <v>180</v>
      </c>
      <c r="H282" s="122">
        <v>44742</v>
      </c>
      <c r="I282" s="120">
        <v>3750</v>
      </c>
      <c r="J282" s="120">
        <v>10.5</v>
      </c>
      <c r="K282" s="120">
        <v>13.6</v>
      </c>
      <c r="L282" s="124">
        <f t="shared" ca="1" si="954"/>
        <v>0</v>
      </c>
      <c r="M282" s="124">
        <f t="shared" ca="1" si="955"/>
        <v>-11624.999999999998</v>
      </c>
      <c r="N282" s="120">
        <f t="shared" ca="1" si="956"/>
        <v>1.2952380952380953</v>
      </c>
      <c r="O282" s="164">
        <f t="shared" ca="1" si="957"/>
        <v>13.125</v>
      </c>
      <c r="P282" s="168">
        <f t="shared" ca="1" si="754"/>
        <v>39375</v>
      </c>
      <c r="Q282" s="168" t="e">
        <f t="shared" ca="1" si="958"/>
        <v>#N/A</v>
      </c>
      <c r="R282" s="184">
        <f t="shared" ca="1" si="876"/>
        <v>0</v>
      </c>
      <c r="S282" s="124">
        <f t="shared" ca="1" si="959"/>
        <v>1.0499999999999998</v>
      </c>
      <c r="T282" s="120">
        <f ca="1">VLOOKUP(TRIM($F282),Reference!B:C,2,0)</f>
        <v>162.15</v>
      </c>
      <c r="U282" s="181">
        <f t="shared" ca="1" si="960"/>
        <v>0</v>
      </c>
      <c r="V282" s="125" t="str">
        <f t="shared" ca="1" si="865"/>
        <v>IEX22JUN180PE</v>
      </c>
      <c r="W282" s="166" t="e">
        <f ca="1">VLOOKUP($V282,Reference!BA:BD,4,0)</f>
        <v>#N/A</v>
      </c>
      <c r="X282" s="168">
        <f t="shared" ca="1" si="866"/>
        <v>0</v>
      </c>
      <c r="Y282" s="168">
        <f t="shared" ca="1" si="867"/>
        <v>0</v>
      </c>
      <c r="Z282" s="168">
        <f t="shared" ca="1" si="879"/>
        <v>0</v>
      </c>
      <c r="AA282" s="168">
        <f t="shared" ca="1" si="868"/>
        <v>0</v>
      </c>
      <c r="AB282" s="168">
        <f t="shared" ca="1" si="869"/>
        <v>0</v>
      </c>
      <c r="AC282" s="124">
        <f t="shared" ca="1" si="870"/>
        <v>0</v>
      </c>
      <c r="AD282" s="120">
        <f t="shared" ca="1" si="961"/>
        <v>-4.1095890410958902E-2</v>
      </c>
      <c r="AE282" s="120">
        <f t="shared" ca="1" si="962"/>
        <v>20</v>
      </c>
      <c r="AF282" s="120"/>
      <c r="AG282" s="120"/>
      <c r="AH282" s="120">
        <f t="shared" ca="1" si="755"/>
        <v>19.6875</v>
      </c>
      <c r="AI282" s="120"/>
      <c r="AJ282" s="120">
        <f t="shared" ca="1" si="756"/>
        <v>0</v>
      </c>
      <c r="AK282" s="120"/>
      <c r="AL282" s="147"/>
      <c r="AM282" s="160"/>
      <c r="AN282" s="160"/>
      <c r="AO282" s="160"/>
      <c r="AP282" s="160"/>
      <c r="AQ282" s="160"/>
      <c r="AR282" s="160"/>
      <c r="AS282" s="160"/>
      <c r="AT282" s="160"/>
      <c r="AU282" s="160"/>
      <c r="AV282" s="160"/>
      <c r="AW282" s="160"/>
      <c r="AX282" s="160"/>
      <c r="AY282" s="160"/>
      <c r="AZ282" s="160"/>
      <c r="BA282" s="160"/>
      <c r="BB282" s="160"/>
      <c r="BC282" s="160"/>
      <c r="BD282" s="160"/>
      <c r="BE282" s="160"/>
      <c r="BF282" s="160"/>
      <c r="BG282" s="160"/>
      <c r="BS282" s="13">
        <v>2</v>
      </c>
      <c r="BT282" s="128">
        <v>44491</v>
      </c>
      <c r="BU282" s="121" t="s">
        <v>8</v>
      </c>
      <c r="BV282" s="120" t="s">
        <v>482</v>
      </c>
      <c r="BW282" s="121" t="s">
        <v>502</v>
      </c>
      <c r="BX282" s="120">
        <v>18400</v>
      </c>
      <c r="BY282" s="120">
        <v>41.7</v>
      </c>
      <c r="BZ282" s="120">
        <v>47.945</v>
      </c>
      <c r="CA282" s="124">
        <v>-3216.6708800000001</v>
      </c>
      <c r="CB282" s="120">
        <v>1.1497601918465228</v>
      </c>
      <c r="CC282" s="120">
        <v>500</v>
      </c>
      <c r="CD282" s="120">
        <v>50</v>
      </c>
      <c r="CE282" s="124">
        <v>20850</v>
      </c>
    </row>
    <row r="283" spans="1:83" hidden="1">
      <c r="A283" s="13">
        <f t="shared" ca="1" si="753"/>
        <v>276</v>
      </c>
      <c r="B283" s="128">
        <v>44707</v>
      </c>
      <c r="C283" s="121" t="s">
        <v>8</v>
      </c>
      <c r="D283" s="121">
        <v>1</v>
      </c>
      <c r="E283" s="120" t="s">
        <v>482</v>
      </c>
      <c r="F283" s="121" t="s">
        <v>502</v>
      </c>
      <c r="G283" s="120">
        <v>16000</v>
      </c>
      <c r="H283" s="122">
        <v>44742</v>
      </c>
      <c r="I283" s="120">
        <v>50</v>
      </c>
      <c r="J283" s="120">
        <v>484</v>
      </c>
      <c r="K283" s="120">
        <v>440</v>
      </c>
      <c r="L283" s="124">
        <f t="shared" ref="L283:L284" ca="1" si="963">IF(AND(K283&lt;&gt;0,I283&lt;&gt;0),(IF(C283="B",1,-1))*(K283-J283)*I283-AK283*2,0)*$D283*IF(MONTH($B$2)=MONTH($H283),1,0)</f>
        <v>0</v>
      </c>
      <c r="M283" s="124">
        <f t="shared" ref="M283:M284" ca="1" si="964">IF(AND(K283&lt;&gt;0,I283&lt;&gt;0),(IF(C283="B",1,-1))*(K283-J283)*I283-AK283*2,0)*$D283</f>
        <v>2200</v>
      </c>
      <c r="N283" s="120">
        <f t="shared" ref="N283:N284" ca="1" si="965">K283/$J283</f>
        <v>0.90909090909090906</v>
      </c>
      <c r="O283" s="164">
        <f t="shared" ref="O283:O284" ca="1" si="966">J283*(1+$O$6*IF(C283="B",-1,1))</f>
        <v>605</v>
      </c>
      <c r="P283" s="168">
        <f t="shared" ca="1" si="754"/>
        <v>24200</v>
      </c>
      <c r="Q283" s="168" t="e">
        <f t="shared" ref="Q283:Q284" ca="1" si="967">(W283-J283)*I283*IF(C283="B",1,-1)*IF(K283=0,1,0)</f>
        <v>#N/A</v>
      </c>
      <c r="R283" s="184">
        <f t="shared" ca="1" si="876"/>
        <v>0</v>
      </c>
      <c r="S283" s="124">
        <f t="shared" ref="S283:S284" ca="1" si="968">(1-$S$6)*J283</f>
        <v>48.399999999999991</v>
      </c>
      <c r="T283" s="120">
        <f ca="1">VLOOKUP(TRIM($F283),Reference!B:C,2,0)</f>
        <v>15938.65</v>
      </c>
      <c r="U283" s="181">
        <f t="shared" ref="U283:U284" ca="1" si="969">AC283</f>
        <v>0</v>
      </c>
      <c r="V283" s="125" t="str">
        <f t="shared" ca="1" si="865"/>
        <v>NIFTY22JUN16000PE</v>
      </c>
      <c r="W283" s="166" t="e">
        <f ca="1">VLOOKUP($V283,Reference!BA:BD,4,0)</f>
        <v>#N/A</v>
      </c>
      <c r="X283" s="168">
        <f t="shared" ca="1" si="866"/>
        <v>0</v>
      </c>
      <c r="Y283" s="168">
        <f t="shared" ca="1" si="867"/>
        <v>0</v>
      </c>
      <c r="Z283" s="168">
        <f t="shared" ca="1" si="879"/>
        <v>0</v>
      </c>
      <c r="AA283" s="168">
        <f t="shared" ca="1" si="868"/>
        <v>0</v>
      </c>
      <c r="AB283" s="168">
        <f t="shared" ca="1" si="869"/>
        <v>0</v>
      </c>
      <c r="AC283" s="124">
        <f t="shared" ca="1" si="870"/>
        <v>0</v>
      </c>
      <c r="AD283" s="120">
        <f t="shared" ref="AD283:AD284" ca="1" si="970">(H283-TODAY())/365</f>
        <v>-4.1095890410958902E-2</v>
      </c>
      <c r="AE283" s="120">
        <f t="shared" ref="AE283:AE284" ca="1" si="971">IF(I283&lt;&gt;0,20,0)</f>
        <v>20</v>
      </c>
      <c r="AF283" s="120"/>
      <c r="AG283" s="120"/>
      <c r="AH283" s="120">
        <f t="shared" ca="1" si="755"/>
        <v>12.1</v>
      </c>
      <c r="AI283" s="120"/>
      <c r="AJ283" s="120">
        <f t="shared" ca="1" si="756"/>
        <v>0</v>
      </c>
      <c r="AK283" s="120"/>
      <c r="AL283" s="147"/>
      <c r="AM283" s="160"/>
      <c r="AN283" s="160"/>
      <c r="AO283" s="160"/>
      <c r="AP283" s="160"/>
      <c r="AQ283" s="160"/>
      <c r="AR283" s="160"/>
      <c r="AS283" s="160"/>
      <c r="AT283" s="160"/>
      <c r="AU283" s="160"/>
      <c r="AV283" s="160"/>
      <c r="AW283" s="160"/>
      <c r="AX283" s="160"/>
      <c r="AY283" s="160"/>
      <c r="AZ283" s="160"/>
      <c r="BA283" s="160"/>
      <c r="BB283" s="160"/>
      <c r="BC283" s="160"/>
      <c r="BD283" s="160"/>
      <c r="BE283" s="160"/>
      <c r="BF283" s="160"/>
      <c r="BG283" s="160"/>
      <c r="BS283" s="13">
        <v>2</v>
      </c>
      <c r="BT283" s="128">
        <v>44491</v>
      </c>
      <c r="BU283" s="121" t="s">
        <v>8</v>
      </c>
      <c r="BV283" s="120" t="s">
        <v>482</v>
      </c>
      <c r="BW283" s="121" t="s">
        <v>502</v>
      </c>
      <c r="BX283" s="120">
        <v>18400</v>
      </c>
      <c r="BY283" s="120">
        <v>41.7</v>
      </c>
      <c r="BZ283" s="120">
        <v>47.945</v>
      </c>
      <c r="CA283" s="124">
        <v>-3216.6708800000001</v>
      </c>
      <c r="CB283" s="120">
        <v>1.1497601918465228</v>
      </c>
      <c r="CC283" s="120">
        <v>500</v>
      </c>
      <c r="CD283" s="120">
        <v>50</v>
      </c>
      <c r="CE283" s="124">
        <v>20850</v>
      </c>
    </row>
    <row r="284" spans="1:83" hidden="1">
      <c r="A284" s="13">
        <f t="shared" ca="1" si="753"/>
        <v>277</v>
      </c>
      <c r="B284" s="128">
        <v>44707</v>
      </c>
      <c r="C284" s="121" t="s">
        <v>8</v>
      </c>
      <c r="D284" s="121">
        <v>1</v>
      </c>
      <c r="E284" s="120" t="s">
        <v>481</v>
      </c>
      <c r="F284" s="121" t="s">
        <v>284</v>
      </c>
      <c r="G284" s="120">
        <v>450</v>
      </c>
      <c r="H284" s="122">
        <v>44742</v>
      </c>
      <c r="I284" s="120">
        <v>1425</v>
      </c>
      <c r="J284" s="120">
        <v>7.85</v>
      </c>
      <c r="K284" s="120">
        <v>0</v>
      </c>
      <c r="L284" s="124">
        <f t="shared" ca="1" si="963"/>
        <v>0</v>
      </c>
      <c r="M284" s="124">
        <f t="shared" ca="1" si="964"/>
        <v>0</v>
      </c>
      <c r="N284" s="120">
        <f t="shared" ca="1" si="965"/>
        <v>0</v>
      </c>
      <c r="O284" s="164">
        <f t="shared" ca="1" si="966"/>
        <v>9.8125</v>
      </c>
      <c r="P284" s="168">
        <f t="shared" ca="1" si="754"/>
        <v>11186.25</v>
      </c>
      <c r="Q284" s="168" t="e">
        <f t="shared" ca="1" si="967"/>
        <v>#N/A</v>
      </c>
      <c r="R284" s="184">
        <f t="shared" ca="1" si="876"/>
        <v>0</v>
      </c>
      <c r="S284" s="124">
        <f t="shared" ca="1" si="968"/>
        <v>0.78499999999999981</v>
      </c>
      <c r="T284" s="120">
        <f ca="1">VLOOKUP(TRIM($F284),Reference!B:C,2,0)</f>
        <v>428</v>
      </c>
      <c r="U284" s="181">
        <f t="shared" ca="1" si="969"/>
        <v>0</v>
      </c>
      <c r="V284" s="125" t="str">
        <f t="shared" ca="1" si="865"/>
        <v>TATAMOTORS22JUN450CE</v>
      </c>
      <c r="W284" s="166" t="e">
        <f ca="1">VLOOKUP($V284,Reference!BA:BD,4,0)</f>
        <v>#N/A</v>
      </c>
      <c r="X284" s="168">
        <f t="shared" ca="1" si="866"/>
        <v>0</v>
      </c>
      <c r="Y284" s="168">
        <f t="shared" ca="1" si="867"/>
        <v>0</v>
      </c>
      <c r="Z284" s="168">
        <f t="shared" ca="1" si="879"/>
        <v>0</v>
      </c>
      <c r="AA284" s="168">
        <f t="shared" ca="1" si="868"/>
        <v>0</v>
      </c>
      <c r="AB284" s="168">
        <f t="shared" ca="1" si="869"/>
        <v>0</v>
      </c>
      <c r="AC284" s="124">
        <f t="shared" ca="1" si="870"/>
        <v>0</v>
      </c>
      <c r="AD284" s="120">
        <f t="shared" ca="1" si="970"/>
        <v>-4.1095890410958902E-2</v>
      </c>
      <c r="AE284" s="120">
        <f t="shared" ca="1" si="971"/>
        <v>20</v>
      </c>
      <c r="AF284" s="120"/>
      <c r="AG284" s="120"/>
      <c r="AH284" s="120">
        <f t="shared" ca="1" si="755"/>
        <v>5.5931249999999997</v>
      </c>
      <c r="AI284" s="120"/>
      <c r="AJ284" s="120">
        <f t="shared" ca="1" si="756"/>
        <v>0</v>
      </c>
      <c r="AK284" s="120"/>
      <c r="AL284" s="147"/>
      <c r="AM284" s="160"/>
      <c r="AN284" s="160"/>
      <c r="AO284" s="160"/>
      <c r="AP284" s="160"/>
      <c r="AQ284" s="160"/>
      <c r="AR284" s="160"/>
      <c r="AS284" s="160"/>
      <c r="AT284" s="160"/>
      <c r="AU284" s="160"/>
      <c r="AV284" s="160"/>
      <c r="AW284" s="160"/>
      <c r="AX284" s="160"/>
      <c r="AY284" s="160"/>
      <c r="AZ284" s="160"/>
      <c r="BA284" s="160"/>
      <c r="BB284" s="160"/>
      <c r="BC284" s="160"/>
      <c r="BD284" s="160"/>
      <c r="BE284" s="160"/>
      <c r="BF284" s="160"/>
      <c r="BG284" s="160"/>
      <c r="BS284" s="13">
        <v>2</v>
      </c>
      <c r="BT284" s="128">
        <v>44491</v>
      </c>
      <c r="BU284" s="121" t="s">
        <v>8</v>
      </c>
      <c r="BV284" s="120" t="s">
        <v>482</v>
      </c>
      <c r="BW284" s="121" t="s">
        <v>502</v>
      </c>
      <c r="BX284" s="120">
        <v>18400</v>
      </c>
      <c r="BY284" s="120">
        <v>41.7</v>
      </c>
      <c r="BZ284" s="120">
        <v>47.945</v>
      </c>
      <c r="CA284" s="124">
        <v>-3216.6708800000001</v>
      </c>
      <c r="CB284" s="120">
        <v>1.1497601918465228</v>
      </c>
      <c r="CC284" s="120">
        <v>500</v>
      </c>
      <c r="CD284" s="120">
        <v>50</v>
      </c>
      <c r="CE284" s="124">
        <v>20850</v>
      </c>
    </row>
    <row r="285" spans="1:83" hidden="1">
      <c r="A285" s="13">
        <f t="shared" ca="1" si="753"/>
        <v>278</v>
      </c>
      <c r="B285" s="128">
        <v>44707</v>
      </c>
      <c r="C285" s="121" t="s">
        <v>8</v>
      </c>
      <c r="D285" s="121">
        <v>1</v>
      </c>
      <c r="E285" s="120" t="s">
        <v>481</v>
      </c>
      <c r="F285" s="121" t="s">
        <v>284</v>
      </c>
      <c r="G285" s="120">
        <v>450</v>
      </c>
      <c r="H285" s="122">
        <v>44742</v>
      </c>
      <c r="I285" s="120">
        <v>1425</v>
      </c>
      <c r="J285" s="120">
        <v>8.1</v>
      </c>
      <c r="K285" s="120">
        <v>0</v>
      </c>
      <c r="L285" s="124">
        <f t="shared" ref="L285:L287" ca="1" si="972">IF(AND(K285&lt;&gt;0,I285&lt;&gt;0),(IF(C285="B",1,-1))*(K285-J285)*I285-AK285*2,0)*$D285*IF(MONTH($B$2)=MONTH($H285),1,0)</f>
        <v>0</v>
      </c>
      <c r="M285" s="124">
        <f t="shared" ref="M285:M287" ca="1" si="973">IF(AND(K285&lt;&gt;0,I285&lt;&gt;0),(IF(C285="B",1,-1))*(K285-J285)*I285-AK285*2,0)*$D285</f>
        <v>0</v>
      </c>
      <c r="N285" s="120">
        <f t="shared" ref="N285:N287" ca="1" si="974">K285/$J285</f>
        <v>0</v>
      </c>
      <c r="O285" s="164">
        <f t="shared" ref="O285:O287" ca="1" si="975">J285*(1+$O$6*IF(C285="B",-1,1))</f>
        <v>10.125</v>
      </c>
      <c r="P285" s="168">
        <f t="shared" ca="1" si="754"/>
        <v>11542.5</v>
      </c>
      <c r="Q285" s="168" t="e">
        <f t="shared" ref="Q285:Q287" ca="1" si="976">(W285-J285)*I285*IF(C285="B",1,-1)*IF(K285=0,1,0)</f>
        <v>#N/A</v>
      </c>
      <c r="R285" s="184">
        <f t="shared" ca="1" si="876"/>
        <v>0</v>
      </c>
      <c r="S285" s="124">
        <f t="shared" ref="S285:S287" ca="1" si="977">(1-$S$6)*J285</f>
        <v>0.80999999999999983</v>
      </c>
      <c r="T285" s="120">
        <f ca="1">VLOOKUP(TRIM($F285),Reference!B:C,2,0)</f>
        <v>428</v>
      </c>
      <c r="U285" s="181">
        <f t="shared" ref="U285:U287" ca="1" si="978">AC285</f>
        <v>0</v>
      </c>
      <c r="V285" s="125" t="str">
        <f t="shared" ca="1" si="865"/>
        <v>TATAMOTORS22JUN450CE</v>
      </c>
      <c r="W285" s="166" t="e">
        <f ca="1">VLOOKUP($V285,Reference!BA:BD,4,0)</f>
        <v>#N/A</v>
      </c>
      <c r="X285" s="168">
        <f t="shared" ca="1" si="866"/>
        <v>0</v>
      </c>
      <c r="Y285" s="168">
        <f t="shared" ca="1" si="867"/>
        <v>0</v>
      </c>
      <c r="Z285" s="168">
        <f t="shared" ca="1" si="879"/>
        <v>0</v>
      </c>
      <c r="AA285" s="168">
        <f t="shared" ca="1" si="868"/>
        <v>0</v>
      </c>
      <c r="AB285" s="168">
        <f t="shared" ca="1" si="869"/>
        <v>0</v>
      </c>
      <c r="AC285" s="124">
        <f t="shared" ca="1" si="870"/>
        <v>0</v>
      </c>
      <c r="AD285" s="120">
        <f t="shared" ref="AD285:AD287" ca="1" si="979">(H285-TODAY())/365</f>
        <v>-4.1095890410958902E-2</v>
      </c>
      <c r="AE285" s="120">
        <f t="shared" ref="AE285:AE287" ca="1" si="980">IF(I285&lt;&gt;0,20,0)</f>
        <v>20</v>
      </c>
      <c r="AF285" s="120"/>
      <c r="AG285" s="120"/>
      <c r="AH285" s="120">
        <f t="shared" ca="1" si="755"/>
        <v>5.7712500000000002</v>
      </c>
      <c r="AI285" s="120"/>
      <c r="AJ285" s="120">
        <f t="shared" ca="1" si="756"/>
        <v>0</v>
      </c>
      <c r="AK285" s="120"/>
      <c r="AL285" s="147"/>
      <c r="AM285" s="160"/>
      <c r="AN285" s="160"/>
      <c r="AO285" s="160"/>
      <c r="AP285" s="160"/>
      <c r="AQ285" s="160"/>
      <c r="AR285" s="160"/>
      <c r="AS285" s="160"/>
      <c r="AT285" s="160"/>
      <c r="AU285" s="160"/>
      <c r="AV285" s="160"/>
      <c r="AW285" s="160"/>
      <c r="AX285" s="160"/>
      <c r="AY285" s="160"/>
      <c r="AZ285" s="160"/>
      <c r="BA285" s="160"/>
      <c r="BB285" s="160"/>
      <c r="BC285" s="160"/>
      <c r="BD285" s="160"/>
      <c r="BE285" s="160"/>
      <c r="BF285" s="160"/>
      <c r="BG285" s="160"/>
      <c r="BS285" s="13">
        <v>2</v>
      </c>
      <c r="BT285" s="128">
        <v>44491</v>
      </c>
      <c r="BU285" s="121" t="s">
        <v>8</v>
      </c>
      <c r="BV285" s="120" t="s">
        <v>482</v>
      </c>
      <c r="BW285" s="121" t="s">
        <v>502</v>
      </c>
      <c r="BX285" s="120">
        <v>18400</v>
      </c>
      <c r="BY285" s="120">
        <v>41.7</v>
      </c>
      <c r="BZ285" s="120">
        <v>47.945</v>
      </c>
      <c r="CA285" s="124">
        <v>-3216.6708800000001</v>
      </c>
      <c r="CB285" s="120">
        <v>1.1497601918465228</v>
      </c>
      <c r="CC285" s="120">
        <v>500</v>
      </c>
      <c r="CD285" s="120">
        <v>50</v>
      </c>
      <c r="CE285" s="124">
        <v>20850</v>
      </c>
    </row>
    <row r="286" spans="1:83" hidden="1">
      <c r="A286" s="13">
        <f t="shared" ca="1" si="753"/>
        <v>279</v>
      </c>
      <c r="B286" s="128">
        <v>44707</v>
      </c>
      <c r="C286" s="121" t="s">
        <v>6</v>
      </c>
      <c r="D286" s="121">
        <v>1</v>
      </c>
      <c r="E286" s="120" t="s">
        <v>482</v>
      </c>
      <c r="F286" s="121" t="s">
        <v>130</v>
      </c>
      <c r="G286" s="120">
        <v>210</v>
      </c>
      <c r="H286" s="122">
        <v>44742</v>
      </c>
      <c r="I286" s="120">
        <v>3375</v>
      </c>
      <c r="J286" s="120">
        <v>7.45</v>
      </c>
      <c r="K286" s="120">
        <v>4.25</v>
      </c>
      <c r="L286" s="124">
        <f t="shared" ca="1" si="972"/>
        <v>0</v>
      </c>
      <c r="M286" s="124">
        <f t="shared" ca="1" si="973"/>
        <v>-10800</v>
      </c>
      <c r="N286" s="120">
        <f t="shared" ca="1" si="974"/>
        <v>0.57046979865771807</v>
      </c>
      <c r="O286" s="164">
        <f t="shared" ca="1" si="975"/>
        <v>5.5875000000000004</v>
      </c>
      <c r="P286" s="168">
        <f t="shared" ca="1" si="754"/>
        <v>25143.75</v>
      </c>
      <c r="Q286" s="168" t="e">
        <f t="shared" ca="1" si="976"/>
        <v>#N/A</v>
      </c>
      <c r="R286" s="184">
        <f t="shared" ca="1" si="876"/>
        <v>0</v>
      </c>
      <c r="S286" s="124">
        <f t="shared" ca="1" si="977"/>
        <v>0.74499999999999988</v>
      </c>
      <c r="T286" s="120">
        <f ca="1">VLOOKUP(TRIM($F286),Reference!B:C,2,0)</f>
        <v>221.6</v>
      </c>
      <c r="U286" s="181">
        <f t="shared" ca="1" si="978"/>
        <v>0</v>
      </c>
      <c r="V286" s="125" t="str">
        <f t="shared" ca="1" si="865"/>
        <v>TATAPOWER22JUN210PE</v>
      </c>
      <c r="W286" s="166" t="e">
        <f ca="1">VLOOKUP($V286,Reference!BA:BD,4,0)</f>
        <v>#N/A</v>
      </c>
      <c r="X286" s="168">
        <f t="shared" ca="1" si="866"/>
        <v>0</v>
      </c>
      <c r="Y286" s="168">
        <f t="shared" ca="1" si="867"/>
        <v>0</v>
      </c>
      <c r="Z286" s="168">
        <f t="shared" ca="1" si="879"/>
        <v>0</v>
      </c>
      <c r="AA286" s="168">
        <f t="shared" ca="1" si="868"/>
        <v>0</v>
      </c>
      <c r="AB286" s="168">
        <f t="shared" ca="1" si="869"/>
        <v>0</v>
      </c>
      <c r="AC286" s="124">
        <f t="shared" ca="1" si="870"/>
        <v>0</v>
      </c>
      <c r="AD286" s="120">
        <f t="shared" ca="1" si="979"/>
        <v>-4.1095890410958902E-2</v>
      </c>
      <c r="AE286" s="120">
        <f t="shared" ca="1" si="980"/>
        <v>20</v>
      </c>
      <c r="AF286" s="120"/>
      <c r="AG286" s="120"/>
      <c r="AH286" s="120">
        <f t="shared" ca="1" si="755"/>
        <v>0</v>
      </c>
      <c r="AI286" s="120"/>
      <c r="AJ286" s="120">
        <f t="shared" ca="1" si="756"/>
        <v>0.75431250000000005</v>
      </c>
      <c r="AK286" s="120"/>
      <c r="AL286" s="147"/>
      <c r="AM286" s="160"/>
      <c r="AN286" s="160"/>
      <c r="AO286" s="160"/>
      <c r="AP286" s="160"/>
      <c r="AQ286" s="160"/>
      <c r="AR286" s="160"/>
      <c r="AS286" s="160"/>
      <c r="AT286" s="160"/>
      <c r="AU286" s="160"/>
      <c r="AV286" s="160"/>
      <c r="AW286" s="160"/>
      <c r="AX286" s="160"/>
      <c r="AY286" s="160"/>
      <c r="AZ286" s="160"/>
      <c r="BA286" s="160"/>
      <c r="BB286" s="160"/>
      <c r="BC286" s="160"/>
      <c r="BD286" s="160"/>
      <c r="BE286" s="160"/>
      <c r="BF286" s="160"/>
      <c r="BG286" s="160"/>
      <c r="BS286" s="13">
        <v>2</v>
      </c>
      <c r="BT286" s="128">
        <v>44491</v>
      </c>
      <c r="BU286" s="121" t="s">
        <v>8</v>
      </c>
      <c r="BV286" s="120" t="s">
        <v>482</v>
      </c>
      <c r="BW286" s="121" t="s">
        <v>502</v>
      </c>
      <c r="BX286" s="120">
        <v>18400</v>
      </c>
      <c r="BY286" s="120">
        <v>41.7</v>
      </c>
      <c r="BZ286" s="120">
        <v>47.945</v>
      </c>
      <c r="CA286" s="124">
        <v>-3216.6708800000001</v>
      </c>
      <c r="CB286" s="120">
        <v>1.1497601918465228</v>
      </c>
      <c r="CC286" s="120">
        <v>500</v>
      </c>
      <c r="CD286" s="120">
        <v>50</v>
      </c>
      <c r="CE286" s="124">
        <v>20850</v>
      </c>
    </row>
    <row r="287" spans="1:83" hidden="1">
      <c r="A287" s="13">
        <f t="shared" ca="1" si="753"/>
        <v>280</v>
      </c>
      <c r="B287" s="128">
        <v>44707</v>
      </c>
      <c r="C287" s="121" t="s">
        <v>8</v>
      </c>
      <c r="D287" s="121">
        <v>1</v>
      </c>
      <c r="E287" s="120" t="s">
        <v>481</v>
      </c>
      <c r="F287" s="121" t="s">
        <v>381</v>
      </c>
      <c r="G287" s="120">
        <v>3000</v>
      </c>
      <c r="H287" s="122">
        <v>44742</v>
      </c>
      <c r="I287" s="120">
        <v>200</v>
      </c>
      <c r="J287" s="120">
        <v>65.150000000000006</v>
      </c>
      <c r="K287" s="120">
        <v>0</v>
      </c>
      <c r="L287" s="124">
        <f t="shared" ca="1" si="972"/>
        <v>0</v>
      </c>
      <c r="M287" s="124">
        <f t="shared" ca="1" si="973"/>
        <v>0</v>
      </c>
      <c r="N287" s="120">
        <f t="shared" ca="1" si="974"/>
        <v>0</v>
      </c>
      <c r="O287" s="164">
        <f t="shared" ca="1" si="975"/>
        <v>81.4375</v>
      </c>
      <c r="P287" s="168">
        <f t="shared" ca="1" si="754"/>
        <v>13030.000000000002</v>
      </c>
      <c r="Q287" s="168" t="e">
        <f t="shared" ca="1" si="976"/>
        <v>#N/A</v>
      </c>
      <c r="R287" s="184">
        <f t="shared" ca="1" si="876"/>
        <v>0</v>
      </c>
      <c r="S287" s="124">
        <f t="shared" ca="1" si="977"/>
        <v>6.5149999999999988</v>
      </c>
      <c r="T287" s="120">
        <f ca="1">VLOOKUP(TRIM($F287),Reference!B:C,2,0)</f>
        <v>2788</v>
      </c>
      <c r="U287" s="181">
        <f t="shared" ca="1" si="978"/>
        <v>0</v>
      </c>
      <c r="V287" s="125" t="str">
        <f t="shared" ca="1" si="865"/>
        <v>MINDTREE22JUN3000CE</v>
      </c>
      <c r="W287" s="166" t="e">
        <f ca="1">VLOOKUP($V287,Reference!BA:BD,4,0)</f>
        <v>#N/A</v>
      </c>
      <c r="X287" s="168">
        <f t="shared" ca="1" si="866"/>
        <v>0</v>
      </c>
      <c r="Y287" s="168">
        <f t="shared" ca="1" si="867"/>
        <v>0</v>
      </c>
      <c r="Z287" s="168">
        <f t="shared" ca="1" si="879"/>
        <v>0</v>
      </c>
      <c r="AA287" s="168">
        <f t="shared" ca="1" si="868"/>
        <v>0</v>
      </c>
      <c r="AB287" s="168">
        <f t="shared" ca="1" si="869"/>
        <v>0</v>
      </c>
      <c r="AC287" s="124">
        <f t="shared" ca="1" si="870"/>
        <v>0</v>
      </c>
      <c r="AD287" s="120">
        <f t="shared" ca="1" si="979"/>
        <v>-4.1095890410958902E-2</v>
      </c>
      <c r="AE287" s="120">
        <f t="shared" ca="1" si="980"/>
        <v>20</v>
      </c>
      <c r="AF287" s="120"/>
      <c r="AG287" s="120"/>
      <c r="AH287" s="120">
        <f t="shared" ca="1" si="755"/>
        <v>6.5150000000000015</v>
      </c>
      <c r="AI287" s="120"/>
      <c r="AJ287" s="120">
        <f t="shared" ca="1" si="756"/>
        <v>0</v>
      </c>
      <c r="AK287" s="120"/>
      <c r="AL287" s="147"/>
      <c r="AM287" s="160"/>
      <c r="AN287" s="160"/>
      <c r="AO287" s="160"/>
      <c r="AP287" s="160"/>
      <c r="AQ287" s="160"/>
      <c r="AR287" s="160"/>
      <c r="AS287" s="160"/>
      <c r="AT287" s="160"/>
      <c r="AU287" s="160"/>
      <c r="AV287" s="160"/>
      <c r="AW287" s="160"/>
      <c r="AX287" s="160"/>
      <c r="AY287" s="160"/>
      <c r="AZ287" s="160"/>
      <c r="BA287" s="160"/>
      <c r="BB287" s="160"/>
      <c r="BC287" s="160"/>
      <c r="BD287" s="160"/>
      <c r="BE287" s="160"/>
      <c r="BF287" s="160"/>
      <c r="BG287" s="160"/>
      <c r="BS287" s="13">
        <v>2</v>
      </c>
      <c r="BT287" s="128">
        <v>44491</v>
      </c>
      <c r="BU287" s="121" t="s">
        <v>8</v>
      </c>
      <c r="BV287" s="120" t="s">
        <v>482</v>
      </c>
      <c r="BW287" s="121" t="s">
        <v>502</v>
      </c>
      <c r="BX287" s="120">
        <v>18400</v>
      </c>
      <c r="BY287" s="120">
        <v>41.7</v>
      </c>
      <c r="BZ287" s="120">
        <v>47.945</v>
      </c>
      <c r="CA287" s="124">
        <v>-3216.6708800000001</v>
      </c>
      <c r="CB287" s="120">
        <v>1.1497601918465228</v>
      </c>
      <c r="CC287" s="120">
        <v>500</v>
      </c>
      <c r="CD287" s="120">
        <v>50</v>
      </c>
      <c r="CE287" s="124">
        <v>20850</v>
      </c>
    </row>
    <row r="288" spans="1:83" hidden="1">
      <c r="A288" s="13">
        <f t="shared" ca="1" si="753"/>
        <v>281</v>
      </c>
      <c r="B288" s="128">
        <v>44707</v>
      </c>
      <c r="C288" s="121" t="s">
        <v>8</v>
      </c>
      <c r="D288" s="121">
        <v>1</v>
      </c>
      <c r="E288" s="120" t="s">
        <v>481</v>
      </c>
      <c r="F288" s="121" t="s">
        <v>284</v>
      </c>
      <c r="G288" s="120">
        <v>450</v>
      </c>
      <c r="H288" s="122">
        <v>44742</v>
      </c>
      <c r="I288" s="120">
        <v>1425</v>
      </c>
      <c r="J288" s="120">
        <v>9.5</v>
      </c>
      <c r="K288" s="120">
        <v>0</v>
      </c>
      <c r="L288" s="124">
        <f t="shared" ref="L288" ca="1" si="981">IF(AND(K288&lt;&gt;0,I288&lt;&gt;0),(IF(C288="B",1,-1))*(K288-J288)*I288-AK288*2,0)*$D288*IF(MONTH($B$2)=MONTH($H288),1,0)</f>
        <v>0</v>
      </c>
      <c r="M288" s="124">
        <f t="shared" ref="M288" ca="1" si="982">IF(AND(K288&lt;&gt;0,I288&lt;&gt;0),(IF(C288="B",1,-1))*(K288-J288)*I288-AK288*2,0)*$D288</f>
        <v>0</v>
      </c>
      <c r="N288" s="120">
        <f t="shared" ref="N288" ca="1" si="983">K288/$J288</f>
        <v>0</v>
      </c>
      <c r="O288" s="164">
        <f t="shared" ref="O288" ca="1" si="984">J288*(1+$O$6*IF(C288="B",-1,1))</f>
        <v>11.875</v>
      </c>
      <c r="P288" s="168">
        <f t="shared" ca="1" si="754"/>
        <v>13537.5</v>
      </c>
      <c r="Q288" s="168" t="e">
        <f t="shared" ref="Q288" ca="1" si="985">(W288-J288)*I288*IF(C288="B",1,-1)*IF(K288=0,1,0)</f>
        <v>#N/A</v>
      </c>
      <c r="R288" s="184">
        <f t="shared" ca="1" si="876"/>
        <v>0</v>
      </c>
      <c r="S288" s="124">
        <f t="shared" ref="S288" ca="1" si="986">(1-$S$6)*J288</f>
        <v>0.94999999999999973</v>
      </c>
      <c r="T288" s="120">
        <f ca="1">VLOOKUP(TRIM($F288),Reference!B:C,2,0)</f>
        <v>428</v>
      </c>
      <c r="U288" s="181">
        <f t="shared" ref="U288" ca="1" si="987">AC288</f>
        <v>0</v>
      </c>
      <c r="V288" s="125" t="str">
        <f t="shared" ca="1" si="865"/>
        <v>TATAMOTORS22JUN450CE</v>
      </c>
      <c r="W288" s="166" t="e">
        <f ca="1">VLOOKUP($V288,Reference!BA:BD,4,0)</f>
        <v>#N/A</v>
      </c>
      <c r="X288" s="168">
        <f t="shared" ca="1" si="866"/>
        <v>0</v>
      </c>
      <c r="Y288" s="168">
        <f t="shared" ca="1" si="867"/>
        <v>0</v>
      </c>
      <c r="Z288" s="168">
        <f t="shared" ca="1" si="879"/>
        <v>0</v>
      </c>
      <c r="AA288" s="168">
        <f t="shared" ca="1" si="868"/>
        <v>0</v>
      </c>
      <c r="AB288" s="168">
        <f t="shared" ca="1" si="869"/>
        <v>0</v>
      </c>
      <c r="AC288" s="124">
        <f t="shared" ca="1" si="870"/>
        <v>0</v>
      </c>
      <c r="AD288" s="120">
        <f t="shared" ref="AD288" ca="1" si="988">(H288-TODAY())/365</f>
        <v>-4.1095890410958902E-2</v>
      </c>
      <c r="AE288" s="120">
        <f t="shared" ref="AE288" ca="1" si="989">IF(I288&lt;&gt;0,20,0)</f>
        <v>20</v>
      </c>
      <c r="AF288" s="120"/>
      <c r="AG288" s="120"/>
      <c r="AH288" s="120">
        <f t="shared" ca="1" si="755"/>
        <v>6.7687499999999998</v>
      </c>
      <c r="AI288" s="120"/>
      <c r="AJ288" s="120">
        <f t="shared" ca="1" si="756"/>
        <v>0</v>
      </c>
      <c r="AK288" s="120"/>
      <c r="AL288" s="147"/>
      <c r="AM288" s="160"/>
      <c r="AN288" s="160"/>
      <c r="AO288" s="160"/>
      <c r="AP288" s="160"/>
      <c r="AQ288" s="160"/>
      <c r="AR288" s="160"/>
      <c r="AS288" s="160"/>
      <c r="AT288" s="160"/>
      <c r="AU288" s="160"/>
      <c r="AV288" s="160"/>
      <c r="AW288" s="160"/>
      <c r="AX288" s="160"/>
      <c r="AY288" s="160"/>
      <c r="AZ288" s="160"/>
      <c r="BA288" s="160"/>
      <c r="BB288" s="160"/>
      <c r="BC288" s="160"/>
      <c r="BD288" s="160"/>
      <c r="BE288" s="160"/>
      <c r="BF288" s="160"/>
      <c r="BG288" s="160"/>
      <c r="BS288" s="13">
        <v>2</v>
      </c>
      <c r="BT288" s="128">
        <v>44491</v>
      </c>
      <c r="BU288" s="121" t="s">
        <v>8</v>
      </c>
      <c r="BV288" s="120" t="s">
        <v>482</v>
      </c>
      <c r="BW288" s="121" t="s">
        <v>502</v>
      </c>
      <c r="BX288" s="120">
        <v>18400</v>
      </c>
      <c r="BY288" s="120">
        <v>41.7</v>
      </c>
      <c r="BZ288" s="120">
        <v>47.945</v>
      </c>
      <c r="CA288" s="124">
        <v>-3216.6708800000001</v>
      </c>
      <c r="CB288" s="120">
        <v>1.1497601918465228</v>
      </c>
      <c r="CC288" s="120">
        <v>500</v>
      </c>
      <c r="CD288" s="120">
        <v>50</v>
      </c>
      <c r="CE288" s="124">
        <v>20850</v>
      </c>
    </row>
    <row r="289" spans="1:83" hidden="1">
      <c r="A289" s="13">
        <f t="shared" ca="1" si="753"/>
        <v>282</v>
      </c>
      <c r="B289" s="128">
        <v>44707</v>
      </c>
      <c r="C289" s="121" t="s">
        <v>8</v>
      </c>
      <c r="D289" s="121">
        <v>1</v>
      </c>
      <c r="E289" s="120" t="s">
        <v>481</v>
      </c>
      <c r="F289" s="121" t="s">
        <v>506</v>
      </c>
      <c r="G289" s="120">
        <v>37000</v>
      </c>
      <c r="H289" s="122">
        <v>44742</v>
      </c>
      <c r="I289" s="120">
        <v>25</v>
      </c>
      <c r="J289" s="120">
        <v>303.89999999999998</v>
      </c>
      <c r="K289" s="120">
        <v>3.1</v>
      </c>
      <c r="L289" s="124">
        <f t="shared" ref="L289" ca="1" si="990">IF(AND(K289&lt;&gt;0,I289&lt;&gt;0),(IF(C289="B",1,-1))*(K289-J289)*I289-AK289*2,0)*$D289*IF(MONTH($B$2)=MONTH($H289),1,0)</f>
        <v>0</v>
      </c>
      <c r="M289" s="124">
        <f t="shared" ref="M289" ca="1" si="991">IF(AND(K289&lt;&gt;0,I289&lt;&gt;0),(IF(C289="B",1,-1))*(K289-J289)*I289-AK289*2,0)*$D289</f>
        <v>7519.9999999999991</v>
      </c>
      <c r="N289" s="120">
        <f t="shared" ref="N289" ca="1" si="992">K289/$J289</f>
        <v>1.0200723922342878E-2</v>
      </c>
      <c r="O289" s="164">
        <f t="shared" ref="O289" ca="1" si="993">J289*(1+$O$6*IF(C289="B",-1,1))</f>
        <v>379.875</v>
      </c>
      <c r="P289" s="168">
        <f t="shared" ca="1" si="754"/>
        <v>7597.4999999999991</v>
      </c>
      <c r="Q289" s="168" t="e">
        <f t="shared" ref="Q289" ca="1" si="994">(W289-J289)*I289*IF(C289="B",1,-1)*IF(K289=0,1,0)</f>
        <v>#N/A</v>
      </c>
      <c r="R289" s="184">
        <f t="shared" ca="1" si="876"/>
        <v>0</v>
      </c>
      <c r="S289" s="124">
        <f t="shared" ref="S289" ca="1" si="995">(1-$S$6)*J289</f>
        <v>30.38999999999999</v>
      </c>
      <c r="T289" s="120">
        <f ca="1">VLOOKUP(TRIM($F289),Reference!B:C,2,0)</f>
        <v>34651.199999999997</v>
      </c>
      <c r="U289" s="181">
        <f t="shared" ref="U289" ca="1" si="996">AC289</f>
        <v>0</v>
      </c>
      <c r="V289" s="125" t="str">
        <f t="shared" ca="1" si="865"/>
        <v>BANKNIFTY22JUN37000CE</v>
      </c>
      <c r="W289" s="166" t="e">
        <f ca="1">VLOOKUP($V289,Reference!BA:BD,4,0)</f>
        <v>#N/A</v>
      </c>
      <c r="X289" s="168">
        <f t="shared" ca="1" si="866"/>
        <v>0</v>
      </c>
      <c r="Y289" s="168">
        <f t="shared" ca="1" si="867"/>
        <v>0</v>
      </c>
      <c r="Z289" s="168">
        <f t="shared" ca="1" si="879"/>
        <v>0</v>
      </c>
      <c r="AA289" s="168">
        <f t="shared" ca="1" si="868"/>
        <v>0</v>
      </c>
      <c r="AB289" s="168">
        <f t="shared" ca="1" si="869"/>
        <v>0</v>
      </c>
      <c r="AC289" s="124">
        <f t="shared" ca="1" si="870"/>
        <v>0</v>
      </c>
      <c r="AD289" s="120">
        <f t="shared" ref="AD289" ca="1" si="997">(H289-TODAY())/365</f>
        <v>-4.1095890410958902E-2</v>
      </c>
      <c r="AE289" s="120">
        <f t="shared" ref="AE289" ca="1" si="998">IF(I289&lt;&gt;0,20,0)</f>
        <v>20</v>
      </c>
      <c r="AF289" s="120"/>
      <c r="AG289" s="120"/>
      <c r="AH289" s="120">
        <f t="shared" ca="1" si="755"/>
        <v>3.7987499999999996</v>
      </c>
      <c r="AI289" s="120"/>
      <c r="AJ289" s="120">
        <f t="shared" ca="1" si="756"/>
        <v>0</v>
      </c>
      <c r="AK289" s="120"/>
      <c r="AL289" s="147"/>
      <c r="AM289" s="160"/>
      <c r="AN289" s="160"/>
      <c r="AO289" s="160"/>
      <c r="AP289" s="160"/>
      <c r="AQ289" s="160"/>
      <c r="AR289" s="160"/>
      <c r="AS289" s="160"/>
      <c r="AT289" s="160"/>
      <c r="AU289" s="160"/>
      <c r="AV289" s="160"/>
      <c r="AW289" s="160"/>
      <c r="AX289" s="160"/>
      <c r="AY289" s="160"/>
      <c r="AZ289" s="160"/>
      <c r="BA289" s="160"/>
      <c r="BB289" s="160"/>
      <c r="BC289" s="160"/>
      <c r="BD289" s="160"/>
      <c r="BE289" s="160"/>
      <c r="BF289" s="160"/>
      <c r="BG289" s="160"/>
      <c r="BS289" s="13">
        <v>2</v>
      </c>
      <c r="BT289" s="128">
        <v>44491</v>
      </c>
      <c r="BU289" s="121" t="s">
        <v>8</v>
      </c>
      <c r="BV289" s="120" t="s">
        <v>482</v>
      </c>
      <c r="BW289" s="121" t="s">
        <v>502</v>
      </c>
      <c r="BX289" s="120">
        <v>18400</v>
      </c>
      <c r="BY289" s="120">
        <v>41.7</v>
      </c>
      <c r="BZ289" s="120">
        <v>47.945</v>
      </c>
      <c r="CA289" s="124">
        <v>-3216.6708800000001</v>
      </c>
      <c r="CB289" s="120">
        <v>1.1497601918465228</v>
      </c>
      <c r="CC289" s="120">
        <v>500</v>
      </c>
      <c r="CD289" s="120">
        <v>50</v>
      </c>
      <c r="CE289" s="124">
        <v>20850</v>
      </c>
    </row>
    <row r="290" spans="1:83" hidden="1">
      <c r="A290" s="13">
        <f t="shared" ca="1" si="753"/>
        <v>283</v>
      </c>
      <c r="B290" s="128">
        <v>44707</v>
      </c>
      <c r="C290" s="121" t="s">
        <v>8</v>
      </c>
      <c r="D290" s="121">
        <v>1</v>
      </c>
      <c r="E290" s="120" t="s">
        <v>481</v>
      </c>
      <c r="F290" s="121" t="s">
        <v>506</v>
      </c>
      <c r="G290" s="120">
        <v>37000</v>
      </c>
      <c r="H290" s="122">
        <v>44742</v>
      </c>
      <c r="I290" s="120">
        <v>25</v>
      </c>
      <c r="J290" s="120">
        <v>350</v>
      </c>
      <c r="K290" s="120">
        <v>3.1</v>
      </c>
      <c r="L290" s="124">
        <f t="shared" ref="L290" ca="1" si="999">IF(AND(K290&lt;&gt;0,I290&lt;&gt;0),(IF(C290="B",1,-1))*(K290-J290)*I290-AK290*2,0)*$D290*IF(MONTH($B$2)=MONTH($H290),1,0)</f>
        <v>0</v>
      </c>
      <c r="M290" s="124">
        <f t="shared" ref="M290" ca="1" si="1000">IF(AND(K290&lt;&gt;0,I290&lt;&gt;0),(IF(C290="B",1,-1))*(K290-J290)*I290-AK290*2,0)*$D290</f>
        <v>8672.5</v>
      </c>
      <c r="N290" s="120">
        <f t="shared" ref="N290" ca="1" si="1001">K290/$J290</f>
        <v>8.8571428571428568E-3</v>
      </c>
      <c r="O290" s="164">
        <f t="shared" ref="O290" ca="1" si="1002">J290*(1+$O$6*IF(C290="B",-1,1))</f>
        <v>437.5</v>
      </c>
      <c r="P290" s="168">
        <f t="shared" ca="1" si="754"/>
        <v>8750</v>
      </c>
      <c r="Q290" s="168" t="e">
        <f t="shared" ref="Q290" ca="1" si="1003">(W290-J290)*I290*IF(C290="B",1,-1)*IF(K290=0,1,0)</f>
        <v>#N/A</v>
      </c>
      <c r="R290" s="184">
        <f t="shared" ca="1" si="876"/>
        <v>0</v>
      </c>
      <c r="S290" s="124">
        <f t="shared" ref="S290" ca="1" si="1004">(1-$S$6)*J290</f>
        <v>34.999999999999993</v>
      </c>
      <c r="T290" s="120">
        <f ca="1">VLOOKUP(TRIM($F290),Reference!B:C,2,0)</f>
        <v>34651.199999999997</v>
      </c>
      <c r="U290" s="181">
        <f t="shared" ref="U290" ca="1" si="1005">AC290</f>
        <v>0</v>
      </c>
      <c r="V290" s="125" t="str">
        <f t="shared" ca="1" si="865"/>
        <v>BANKNIFTY22JUN37000CE</v>
      </c>
      <c r="W290" s="166" t="e">
        <f ca="1">VLOOKUP($V290,Reference!BA:BD,4,0)</f>
        <v>#N/A</v>
      </c>
      <c r="X290" s="168">
        <f t="shared" ca="1" si="866"/>
        <v>0</v>
      </c>
      <c r="Y290" s="168">
        <f t="shared" ca="1" si="867"/>
        <v>0</v>
      </c>
      <c r="Z290" s="168">
        <f t="shared" ca="1" si="879"/>
        <v>0</v>
      </c>
      <c r="AA290" s="168">
        <f t="shared" ca="1" si="868"/>
        <v>0</v>
      </c>
      <c r="AB290" s="168">
        <f t="shared" ca="1" si="869"/>
        <v>0</v>
      </c>
      <c r="AC290" s="124">
        <f t="shared" ca="1" si="870"/>
        <v>0</v>
      </c>
      <c r="AD290" s="120">
        <f t="shared" ref="AD290" ca="1" si="1006">(H290-TODAY())/365</f>
        <v>-4.1095890410958902E-2</v>
      </c>
      <c r="AE290" s="120">
        <f t="shared" ref="AE290" ca="1" si="1007">IF(I290&lt;&gt;0,20,0)</f>
        <v>20</v>
      </c>
      <c r="AF290" s="120"/>
      <c r="AG290" s="120"/>
      <c r="AH290" s="120">
        <f t="shared" ca="1" si="755"/>
        <v>4.375</v>
      </c>
      <c r="AI290" s="120"/>
      <c r="AJ290" s="120">
        <f t="shared" ca="1" si="756"/>
        <v>0</v>
      </c>
      <c r="AK290" s="120"/>
      <c r="AL290" s="147"/>
      <c r="AM290" s="160"/>
      <c r="AN290" s="160"/>
      <c r="AO290" s="160"/>
      <c r="AP290" s="160"/>
      <c r="AQ290" s="160"/>
      <c r="AR290" s="160"/>
      <c r="AS290" s="160"/>
      <c r="AT290" s="160"/>
      <c r="AU290" s="160"/>
      <c r="AV290" s="160"/>
      <c r="AW290" s="160"/>
      <c r="AX290" s="160"/>
      <c r="AY290" s="160"/>
      <c r="AZ290" s="160"/>
      <c r="BA290" s="160"/>
      <c r="BB290" s="160"/>
      <c r="BC290" s="160"/>
      <c r="BD290" s="160"/>
      <c r="BE290" s="160"/>
      <c r="BF290" s="160"/>
      <c r="BG290" s="160"/>
      <c r="BS290" s="13">
        <v>2</v>
      </c>
      <c r="BT290" s="128">
        <v>44491</v>
      </c>
      <c r="BU290" s="121" t="s">
        <v>8</v>
      </c>
      <c r="BV290" s="120" t="s">
        <v>482</v>
      </c>
      <c r="BW290" s="121" t="s">
        <v>502</v>
      </c>
      <c r="BX290" s="120">
        <v>18400</v>
      </c>
      <c r="BY290" s="120">
        <v>41.7</v>
      </c>
      <c r="BZ290" s="120">
        <v>47.945</v>
      </c>
      <c r="CA290" s="124">
        <v>-3216.6708800000001</v>
      </c>
      <c r="CB290" s="120">
        <v>1.1497601918465228</v>
      </c>
      <c r="CC290" s="120">
        <v>500</v>
      </c>
      <c r="CD290" s="120">
        <v>50</v>
      </c>
      <c r="CE290" s="124">
        <v>20850</v>
      </c>
    </row>
    <row r="291" spans="1:83" hidden="1">
      <c r="A291" s="13">
        <f t="shared" ca="1" si="753"/>
        <v>284</v>
      </c>
      <c r="B291" s="128">
        <v>44707</v>
      </c>
      <c r="C291" s="121" t="s">
        <v>8</v>
      </c>
      <c r="D291" s="121">
        <v>1</v>
      </c>
      <c r="E291" s="120" t="s">
        <v>481</v>
      </c>
      <c r="F291" s="121" t="s">
        <v>399</v>
      </c>
      <c r="G291" s="120">
        <v>1660</v>
      </c>
      <c r="H291" s="122">
        <v>44742</v>
      </c>
      <c r="I291" s="120">
        <v>575</v>
      </c>
      <c r="J291" s="120">
        <v>20.7</v>
      </c>
      <c r="K291" s="120">
        <v>42.7</v>
      </c>
      <c r="L291" s="124">
        <f t="shared" ref="L291" ca="1" si="1008">IF(AND(K291&lt;&gt;0,I291&lt;&gt;0),(IF(C291="B",1,-1))*(K291-J291)*I291-AK291*2,0)*$D291*IF(MONTH($B$2)=MONTH($H291),1,0)</f>
        <v>0</v>
      </c>
      <c r="M291" s="124">
        <f t="shared" ref="M291" ca="1" si="1009">IF(AND(K291&lt;&gt;0,I291&lt;&gt;0),(IF(C291="B",1,-1))*(K291-J291)*I291-AK291*2,0)*$D291</f>
        <v>-12650.000000000002</v>
      </c>
      <c r="N291" s="120">
        <f t="shared" ref="N291" ca="1" si="1010">K291/$J291</f>
        <v>2.06280193236715</v>
      </c>
      <c r="O291" s="164">
        <f t="shared" ref="O291" ca="1" si="1011">J291*(1+$O$6*IF(C291="B",-1,1))</f>
        <v>25.875</v>
      </c>
      <c r="P291" s="168">
        <f t="shared" ca="1" si="754"/>
        <v>11902.5</v>
      </c>
      <c r="Q291" s="168" t="e">
        <f t="shared" ref="Q291" ca="1" si="1012">(W291-J291)*I291*IF(C291="B",1,-1)*IF(K291=0,1,0)</f>
        <v>#N/A</v>
      </c>
      <c r="R291" s="184">
        <f t="shared" ca="1" si="876"/>
        <v>0</v>
      </c>
      <c r="S291" s="124">
        <f t="shared" ref="S291" ca="1" si="1013">(1-$S$6)*J291</f>
        <v>2.0699999999999994</v>
      </c>
      <c r="T291" s="120">
        <f ca="1">VLOOKUP(TRIM($F291),Reference!B:C,2,0)</f>
        <v>1646</v>
      </c>
      <c r="U291" s="181">
        <f t="shared" ref="U291" ca="1" si="1014">AC291</f>
        <v>0</v>
      </c>
      <c r="V291" s="125" t="str">
        <f t="shared" ca="1" si="865"/>
        <v>LT22JUN1660CE</v>
      </c>
      <c r="W291" s="166" t="e">
        <f ca="1">VLOOKUP($V291,Reference!BA:BD,4,0)</f>
        <v>#N/A</v>
      </c>
      <c r="X291" s="168">
        <f t="shared" ca="1" si="866"/>
        <v>0</v>
      </c>
      <c r="Y291" s="168">
        <f t="shared" ca="1" si="867"/>
        <v>0</v>
      </c>
      <c r="Z291" s="168">
        <f t="shared" ca="1" si="879"/>
        <v>0</v>
      </c>
      <c r="AA291" s="168">
        <f t="shared" ca="1" si="868"/>
        <v>0</v>
      </c>
      <c r="AB291" s="168">
        <f t="shared" ca="1" si="869"/>
        <v>0</v>
      </c>
      <c r="AC291" s="124">
        <f t="shared" ca="1" si="870"/>
        <v>0</v>
      </c>
      <c r="AD291" s="120">
        <f t="shared" ref="AD291" ca="1" si="1015">(H291-TODAY())/365</f>
        <v>-4.1095890410958902E-2</v>
      </c>
      <c r="AE291" s="120">
        <f t="shared" ref="AE291" ca="1" si="1016">IF(I291&lt;&gt;0,20,0)</f>
        <v>20</v>
      </c>
      <c r="AF291" s="120"/>
      <c r="AG291" s="120"/>
      <c r="AH291" s="120">
        <f t="shared" ca="1" si="755"/>
        <v>5.9512499999999999</v>
      </c>
      <c r="AI291" s="120"/>
      <c r="AJ291" s="120">
        <f t="shared" ca="1" si="756"/>
        <v>0</v>
      </c>
      <c r="AK291" s="120"/>
      <c r="AL291" s="147"/>
      <c r="AM291" s="160"/>
      <c r="AN291" s="160"/>
      <c r="AO291" s="160"/>
      <c r="AP291" s="160"/>
      <c r="AQ291" s="160"/>
      <c r="AR291" s="160"/>
      <c r="AS291" s="160"/>
      <c r="AT291" s="160"/>
      <c r="AU291" s="160"/>
      <c r="AV291" s="160"/>
      <c r="AW291" s="160"/>
      <c r="AX291" s="160"/>
      <c r="AY291" s="160"/>
      <c r="AZ291" s="160"/>
      <c r="BA291" s="160"/>
      <c r="BB291" s="160"/>
      <c r="BC291" s="160"/>
      <c r="BD291" s="160"/>
      <c r="BE291" s="160"/>
      <c r="BF291" s="160"/>
      <c r="BG291" s="160"/>
      <c r="BS291" s="13">
        <v>2</v>
      </c>
      <c r="BT291" s="128">
        <v>44491</v>
      </c>
      <c r="BU291" s="121" t="s">
        <v>8</v>
      </c>
      <c r="BV291" s="120" t="s">
        <v>482</v>
      </c>
      <c r="BW291" s="121" t="s">
        <v>502</v>
      </c>
      <c r="BX291" s="120">
        <v>18400</v>
      </c>
      <c r="BY291" s="120">
        <v>41.7</v>
      </c>
      <c r="BZ291" s="120">
        <v>47.945</v>
      </c>
      <c r="CA291" s="124">
        <v>-3216.6708800000001</v>
      </c>
      <c r="CB291" s="120">
        <v>1.1497601918465228</v>
      </c>
      <c r="CC291" s="120">
        <v>500</v>
      </c>
      <c r="CD291" s="120">
        <v>50</v>
      </c>
      <c r="CE291" s="124">
        <v>20850</v>
      </c>
    </row>
    <row r="292" spans="1:83" hidden="1">
      <c r="A292" s="13">
        <f t="shared" ca="1" si="753"/>
        <v>285</v>
      </c>
      <c r="B292" s="128">
        <v>44707</v>
      </c>
      <c r="C292" s="121" t="s">
        <v>6</v>
      </c>
      <c r="D292" s="121">
        <v>1</v>
      </c>
      <c r="E292" s="120" t="s">
        <v>632</v>
      </c>
      <c r="F292" s="121" t="s">
        <v>126</v>
      </c>
      <c r="G292" s="120" t="s">
        <v>568</v>
      </c>
      <c r="H292" s="122">
        <v>44770</v>
      </c>
      <c r="I292" s="120">
        <v>3750</v>
      </c>
      <c r="J292" s="120">
        <v>179.05</v>
      </c>
      <c r="K292" s="120">
        <v>181.2</v>
      </c>
      <c r="L292" s="124">
        <f t="shared" ref="L292" ca="1" si="1017">IF(AND(K292&lt;&gt;0,I292&lt;&gt;0),(IF(C292="B",1,-1))*(K292-J292)*I292-AK292*2,0)*$D292*IF(MONTH($B$2)=MONTH($H292),1,0)</f>
        <v>8062.4999999999145</v>
      </c>
      <c r="M292" s="124">
        <f t="shared" ref="M292" ca="1" si="1018">IF(AND(K292&lt;&gt;0,I292&lt;&gt;0),(IF(C292="B",1,-1))*(K292-J292)*I292-AK292*2,0)*$D292</f>
        <v>8062.4999999999145</v>
      </c>
      <c r="N292" s="120">
        <f t="shared" ref="N292" ca="1" si="1019">K292/$J292</f>
        <v>1.0120078190449593</v>
      </c>
      <c r="O292" s="164">
        <f t="shared" ref="O292" ca="1" si="1020">J292*(1+$O$6*IF(C292="B",-1,1))</f>
        <v>134.28750000000002</v>
      </c>
      <c r="P292" s="168">
        <f t="shared" ca="1" si="754"/>
        <v>671437.5</v>
      </c>
      <c r="Q292" s="168">
        <f t="shared" ref="Q292" ca="1" si="1021">(W292-J292)*I292*IF(C292="B",1,-1)*IF(K292=0,1,0)</f>
        <v>0</v>
      </c>
      <c r="R292" s="184">
        <f t="shared" ca="1" si="876"/>
        <v>0</v>
      </c>
      <c r="S292" s="124">
        <f t="shared" ref="S292" ca="1" si="1022">(1-$S$6)*J292</f>
        <v>17.904999999999998</v>
      </c>
      <c r="T292" s="120">
        <f ca="1">VLOOKUP(TRIM($F292),Reference!B:C,2,0)</f>
        <v>162.15</v>
      </c>
      <c r="U292" s="181">
        <f t="shared" ref="U292" ca="1" si="1023">AC292</f>
        <v>0</v>
      </c>
      <c r="V292" s="125" t="str">
        <f t="shared" ca="1" si="865"/>
        <v>IEX22JULFUT</v>
      </c>
      <c r="W292" s="166">
        <f ca="1">VLOOKUP($V292,Reference!BA:BD,4,0)</f>
        <v>162.85</v>
      </c>
      <c r="X292" s="168">
        <f t="shared" ca="1" si="866"/>
        <v>0</v>
      </c>
      <c r="Y292" s="168">
        <f t="shared" ca="1" si="867"/>
        <v>0</v>
      </c>
      <c r="Z292" s="168">
        <f t="shared" ca="1" si="879"/>
        <v>0</v>
      </c>
      <c r="AA292" s="168">
        <f t="shared" ca="1" si="868"/>
        <v>0</v>
      </c>
      <c r="AB292" s="168">
        <f t="shared" ca="1" si="869"/>
        <v>0</v>
      </c>
      <c r="AC292" s="124">
        <f t="shared" ca="1" si="870"/>
        <v>0</v>
      </c>
      <c r="AD292" s="120">
        <f t="shared" ref="AD292" ca="1" si="1024">(H292-TODAY())/365</f>
        <v>3.5616438356164383E-2</v>
      </c>
      <c r="AE292" s="120">
        <f t="shared" ref="AE292" ca="1" si="1025">IF(I292&lt;&gt;0,20,0)</f>
        <v>20</v>
      </c>
      <c r="AF292" s="120"/>
      <c r="AG292" s="120"/>
      <c r="AH292" s="120">
        <f t="shared" ca="1" si="755"/>
        <v>0</v>
      </c>
      <c r="AI292" s="120"/>
      <c r="AJ292" s="120">
        <f t="shared" ca="1" si="756"/>
        <v>20.143125000000001</v>
      </c>
      <c r="AK292" s="120"/>
      <c r="AL292" s="147"/>
      <c r="AM292" s="160"/>
      <c r="AN292" s="160"/>
      <c r="AO292" s="160"/>
      <c r="AP292" s="160"/>
      <c r="AQ292" s="160"/>
      <c r="AR292" s="160"/>
      <c r="AS292" s="160"/>
      <c r="AT292" s="160"/>
      <c r="AU292" s="160"/>
      <c r="AV292" s="160"/>
      <c r="AW292" s="160"/>
      <c r="AX292" s="160"/>
      <c r="AY292" s="160"/>
      <c r="AZ292" s="160"/>
      <c r="BA292" s="160"/>
      <c r="BB292" s="160"/>
      <c r="BC292" s="160"/>
      <c r="BD292" s="160"/>
      <c r="BE292" s="160"/>
      <c r="BF292" s="160"/>
      <c r="BG292" s="160"/>
      <c r="BS292" s="13">
        <v>2</v>
      </c>
      <c r="BT292" s="128">
        <v>44491</v>
      </c>
      <c r="BU292" s="121" t="s">
        <v>8</v>
      </c>
      <c r="BV292" s="120" t="s">
        <v>482</v>
      </c>
      <c r="BW292" s="121" t="s">
        <v>502</v>
      </c>
      <c r="BX292" s="120">
        <v>18400</v>
      </c>
      <c r="BY292" s="120">
        <v>41.7</v>
      </c>
      <c r="BZ292" s="120">
        <v>47.945</v>
      </c>
      <c r="CA292" s="124">
        <v>-3216.6708800000001</v>
      </c>
      <c r="CB292" s="120">
        <v>1.1497601918465228</v>
      </c>
      <c r="CC292" s="120">
        <v>500</v>
      </c>
      <c r="CD292" s="120">
        <v>50</v>
      </c>
      <c r="CE292" s="124">
        <v>20850</v>
      </c>
    </row>
    <row r="293" spans="1:83" hidden="1">
      <c r="A293" s="13">
        <f t="shared" ca="1" si="753"/>
        <v>286</v>
      </c>
      <c r="B293" s="128">
        <v>44707</v>
      </c>
      <c r="C293" s="121" t="s">
        <v>6</v>
      </c>
      <c r="D293" s="121">
        <v>1</v>
      </c>
      <c r="E293" s="120" t="s">
        <v>632</v>
      </c>
      <c r="F293" s="121" t="s">
        <v>506</v>
      </c>
      <c r="G293" s="120" t="s">
        <v>568</v>
      </c>
      <c r="H293" s="122">
        <v>44770</v>
      </c>
      <c r="I293" s="120">
        <v>25</v>
      </c>
      <c r="J293" s="120">
        <v>34640</v>
      </c>
      <c r="K293" s="120">
        <v>35166.25</v>
      </c>
      <c r="L293" s="124">
        <f t="shared" ref="L293" ca="1" si="1026">IF(AND(K293&lt;&gt;0,I293&lt;&gt;0),(IF(C293="B",1,-1))*(K293-J293)*I293-AK293*2,0)*$D293*IF(MONTH($B$2)=MONTH($H293),1,0)</f>
        <v>13156.25</v>
      </c>
      <c r="M293" s="124">
        <f t="shared" ref="M293" ca="1" si="1027">IF(AND(K293&lt;&gt;0,I293&lt;&gt;0),(IF(C293="B",1,-1))*(K293-J293)*I293-AK293*2,0)*$D293</f>
        <v>13156.25</v>
      </c>
      <c r="N293" s="120">
        <f t="shared" ref="N293" ca="1" si="1028">K293/$J293</f>
        <v>1.0151919745958429</v>
      </c>
      <c r="O293" s="164">
        <f t="shared" ref="O293" ca="1" si="1029">J293*(1+$O$6*IF(C293="B",-1,1))</f>
        <v>25980</v>
      </c>
      <c r="P293" s="168">
        <f t="shared" ca="1" si="754"/>
        <v>866000</v>
      </c>
      <c r="Q293" s="168" t="e">
        <f t="shared" ref="Q293" ca="1" si="1030">(W293-J293)*I293*IF(C293="B",1,-1)*IF(K293=0,1,0)</f>
        <v>#N/A</v>
      </c>
      <c r="R293" s="184">
        <f t="shared" ca="1" si="876"/>
        <v>0</v>
      </c>
      <c r="S293" s="124">
        <f t="shared" ref="S293" ca="1" si="1031">(1-$S$6)*J293</f>
        <v>3463.9999999999991</v>
      </c>
      <c r="T293" s="120">
        <f ca="1">VLOOKUP(TRIM($F293),Reference!B:C,2,0)</f>
        <v>34651.199999999997</v>
      </c>
      <c r="U293" s="181">
        <f t="shared" ref="U293" ca="1" si="1032">AC293</f>
        <v>0</v>
      </c>
      <c r="V293" s="125" t="str">
        <f t="shared" ca="1" si="865"/>
        <v>BANKNIFTY22JULFUT</v>
      </c>
      <c r="W293" s="166" t="e">
        <f ca="1">VLOOKUP($V293,Reference!BA:BD,4,0)</f>
        <v>#N/A</v>
      </c>
      <c r="X293" s="168">
        <f t="shared" ca="1" si="866"/>
        <v>0</v>
      </c>
      <c r="Y293" s="168">
        <f t="shared" ca="1" si="867"/>
        <v>0</v>
      </c>
      <c r="Z293" s="168">
        <f t="shared" ca="1" si="879"/>
        <v>0</v>
      </c>
      <c r="AA293" s="168">
        <f t="shared" ca="1" si="868"/>
        <v>0</v>
      </c>
      <c r="AB293" s="168">
        <f t="shared" ca="1" si="869"/>
        <v>0</v>
      </c>
      <c r="AC293" s="124">
        <f t="shared" ca="1" si="870"/>
        <v>0</v>
      </c>
      <c r="AD293" s="120">
        <f t="shared" ref="AD293" ca="1" si="1033">(H293-TODAY())/365</f>
        <v>3.5616438356164383E-2</v>
      </c>
      <c r="AE293" s="120">
        <f t="shared" ref="AE293" ca="1" si="1034">IF(I293&lt;&gt;0,20,0)</f>
        <v>20</v>
      </c>
      <c r="AF293" s="120"/>
      <c r="AG293" s="120"/>
      <c r="AH293" s="120">
        <f t="shared" ca="1" si="755"/>
        <v>0</v>
      </c>
      <c r="AI293" s="120"/>
      <c r="AJ293" s="120">
        <f t="shared" ca="1" si="756"/>
        <v>25.98</v>
      </c>
      <c r="AK293" s="120"/>
      <c r="AL293" s="147"/>
      <c r="AM293" s="160"/>
      <c r="AN293" s="160"/>
      <c r="AO293" s="160"/>
      <c r="AP293" s="160"/>
      <c r="AQ293" s="160"/>
      <c r="AR293" s="160"/>
      <c r="AS293" s="160"/>
      <c r="AT293" s="160"/>
      <c r="AU293" s="160"/>
      <c r="AV293" s="160"/>
      <c r="AW293" s="160"/>
      <c r="AX293" s="160"/>
      <c r="AY293" s="160"/>
      <c r="AZ293" s="160"/>
      <c r="BA293" s="160"/>
      <c r="BB293" s="160"/>
      <c r="BC293" s="160"/>
      <c r="BD293" s="160"/>
      <c r="BE293" s="160"/>
      <c r="BF293" s="160"/>
      <c r="BG293" s="160"/>
      <c r="BS293" s="13">
        <v>2</v>
      </c>
      <c r="BT293" s="128">
        <v>44491</v>
      </c>
      <c r="BU293" s="121" t="s">
        <v>8</v>
      </c>
      <c r="BV293" s="120" t="s">
        <v>482</v>
      </c>
      <c r="BW293" s="121" t="s">
        <v>502</v>
      </c>
      <c r="BX293" s="120">
        <v>18400</v>
      </c>
      <c r="BY293" s="120">
        <v>41.7</v>
      </c>
      <c r="BZ293" s="120">
        <v>47.945</v>
      </c>
      <c r="CA293" s="124">
        <v>-3216.6708800000001</v>
      </c>
      <c r="CB293" s="120">
        <v>1.1497601918465228</v>
      </c>
      <c r="CC293" s="120">
        <v>500</v>
      </c>
      <c r="CD293" s="120">
        <v>50</v>
      </c>
      <c r="CE293" s="124">
        <v>20850</v>
      </c>
    </row>
    <row r="294" spans="1:83" hidden="1">
      <c r="A294" s="13">
        <f t="shared" ca="1" si="753"/>
        <v>287</v>
      </c>
      <c r="B294" s="128">
        <v>44707</v>
      </c>
      <c r="C294" s="121" t="s">
        <v>6</v>
      </c>
      <c r="D294" s="121">
        <v>1</v>
      </c>
      <c r="E294" s="120" t="s">
        <v>632</v>
      </c>
      <c r="F294" s="121" t="s">
        <v>502</v>
      </c>
      <c r="G294" s="120" t="s">
        <v>568</v>
      </c>
      <c r="H294" s="122">
        <v>44770</v>
      </c>
      <c r="I294" s="120">
        <v>50</v>
      </c>
      <c r="J294" s="120">
        <v>15956.85</v>
      </c>
      <c r="K294" s="120">
        <v>0</v>
      </c>
      <c r="L294" s="124">
        <f t="shared" ref="L294" ca="1" si="1035">IF(AND(K294&lt;&gt;0,I294&lt;&gt;0),(IF(C294="B",1,-1))*(K294-J294)*I294-AK294*2,0)*$D294*IF(MONTH($B$2)=MONTH($H294),1,0)</f>
        <v>0</v>
      </c>
      <c r="M294" s="124">
        <f t="shared" ref="M294" ca="1" si="1036">IF(AND(K294&lt;&gt;0,I294&lt;&gt;0),(IF(C294="B",1,-1))*(K294-J294)*I294-AK294*2,0)*$D294</f>
        <v>0</v>
      </c>
      <c r="N294" s="120">
        <f t="shared" ref="N294" ca="1" si="1037">K294/$J294</f>
        <v>0</v>
      </c>
      <c r="O294" s="164">
        <f t="shared" ref="O294" ca="1" si="1038">J294*(1+$O$6*IF(C294="B",-1,1))</f>
        <v>11967.637500000001</v>
      </c>
      <c r="P294" s="168">
        <f t="shared" ca="1" si="754"/>
        <v>797842.5</v>
      </c>
      <c r="Q294" s="168">
        <f t="shared" ref="Q294" ca="1" si="1039">(W294-J294)*I294*IF(C294="B",1,-1)*IF(K294=0,1,0)</f>
        <v>-792.50000000001819</v>
      </c>
      <c r="R294" s="184">
        <f t="shared" ca="1" si="876"/>
        <v>796932.5</v>
      </c>
      <c r="S294" s="124">
        <f t="shared" ref="S294" ca="1" si="1040">(1-$S$6)*J294</f>
        <v>1595.6849999999997</v>
      </c>
      <c r="T294" s="120">
        <f ca="1">VLOOKUP(TRIM($F294),Reference!B:C,2,0)</f>
        <v>15938.65</v>
      </c>
      <c r="U294" s="181">
        <f t="shared" ref="U294" ca="1" si="1041">AC294</f>
        <v>0</v>
      </c>
      <c r="V294" s="125" t="str">
        <f t="shared" ca="1" si="865"/>
        <v>NIFTY22JULFUT</v>
      </c>
      <c r="W294" s="166">
        <f ca="1">VLOOKUP($V294,Reference!BA:BD,4,0)</f>
        <v>15941</v>
      </c>
      <c r="X294" s="168">
        <f t="shared" ca="1" si="866"/>
        <v>797050</v>
      </c>
      <c r="Y294" s="168">
        <f t="shared" ca="1" si="867"/>
        <v>1</v>
      </c>
      <c r="Z294" s="168">
        <f t="shared" ca="1" si="879"/>
        <v>50</v>
      </c>
      <c r="AA294" s="168">
        <f t="shared" ca="1" si="868"/>
        <v>0</v>
      </c>
      <c r="AB294" s="168">
        <f t="shared" ca="1" si="869"/>
        <v>0</v>
      </c>
      <c r="AC294" s="124">
        <f t="shared" ca="1" si="870"/>
        <v>0</v>
      </c>
      <c r="AD294" s="120">
        <f t="shared" ref="AD294" ca="1" si="1042">(H294-TODAY())/365</f>
        <v>3.5616438356164383E-2</v>
      </c>
      <c r="AE294" s="120">
        <f t="shared" ref="AE294" ca="1" si="1043">IF(I294&lt;&gt;0,20,0)</f>
        <v>20</v>
      </c>
      <c r="AF294" s="120"/>
      <c r="AG294" s="120"/>
      <c r="AH294" s="120">
        <f t="shared" ca="1" si="755"/>
        <v>0</v>
      </c>
      <c r="AI294" s="120"/>
      <c r="AJ294" s="120">
        <f t="shared" ca="1" si="756"/>
        <v>23.935275000000001</v>
      </c>
      <c r="AK294" s="120"/>
      <c r="AL294" s="147"/>
      <c r="AM294" s="160"/>
      <c r="AN294" s="160"/>
      <c r="AO294" s="160"/>
      <c r="AP294" s="160"/>
      <c r="AQ294" s="160"/>
      <c r="AR294" s="160"/>
      <c r="AS294" s="160"/>
      <c r="AT294" s="160"/>
      <c r="AU294" s="160"/>
      <c r="AV294" s="160"/>
      <c r="AW294" s="160"/>
      <c r="AX294" s="160"/>
      <c r="AY294" s="160"/>
      <c r="AZ294" s="160"/>
      <c r="BA294" s="160"/>
      <c r="BB294" s="160"/>
      <c r="BC294" s="160"/>
      <c r="BD294" s="160"/>
      <c r="BE294" s="160"/>
      <c r="BF294" s="160"/>
      <c r="BG294" s="160"/>
      <c r="BS294" s="13">
        <v>2</v>
      </c>
      <c r="BT294" s="128">
        <v>44491</v>
      </c>
      <c r="BU294" s="121" t="s">
        <v>8</v>
      </c>
      <c r="BV294" s="120" t="s">
        <v>482</v>
      </c>
      <c r="BW294" s="121" t="s">
        <v>502</v>
      </c>
      <c r="BX294" s="120">
        <v>18400</v>
      </c>
      <c r="BY294" s="120">
        <v>41.7</v>
      </c>
      <c r="BZ294" s="120">
        <v>47.945</v>
      </c>
      <c r="CA294" s="124">
        <v>-3216.6708800000001</v>
      </c>
      <c r="CB294" s="120">
        <v>1.1497601918465228</v>
      </c>
      <c r="CC294" s="120">
        <v>500</v>
      </c>
      <c r="CD294" s="120">
        <v>50</v>
      </c>
      <c r="CE294" s="124">
        <v>20850</v>
      </c>
    </row>
    <row r="295" spans="1:83" hidden="1">
      <c r="A295" s="13">
        <f t="shared" ca="1" si="753"/>
        <v>288</v>
      </c>
      <c r="B295" s="128">
        <v>44707</v>
      </c>
      <c r="C295" s="121" t="s">
        <v>6</v>
      </c>
      <c r="D295" s="121">
        <v>1</v>
      </c>
      <c r="E295" s="120" t="s">
        <v>482</v>
      </c>
      <c r="F295" s="121" t="s">
        <v>502</v>
      </c>
      <c r="G295" s="120">
        <v>15500</v>
      </c>
      <c r="H295" s="122">
        <v>44770</v>
      </c>
      <c r="I295" s="120">
        <v>50</v>
      </c>
      <c r="J295" s="120">
        <v>399.95</v>
      </c>
      <c r="K295" s="120">
        <v>113.85</v>
      </c>
      <c r="L295" s="124">
        <f t="shared" ref="L295:L297" ca="1" si="1044">IF(AND(K295&lt;&gt;0,I295&lt;&gt;0),(IF(C295="B",1,-1))*(K295-J295)*I295-AK295*2,0)*$D295*IF(MONTH($B$2)=MONTH($H295),1,0)</f>
        <v>-14305.000000000002</v>
      </c>
      <c r="M295" s="124">
        <f t="shared" ref="M295:M297" ca="1" si="1045">IF(AND(K295&lt;&gt;0,I295&lt;&gt;0),(IF(C295="B",1,-1))*(K295-J295)*I295-AK295*2,0)*$D295</f>
        <v>-14305.000000000002</v>
      </c>
      <c r="N295" s="120">
        <f t="shared" ref="N295:N297" ca="1" si="1046">K295/$J295</f>
        <v>0.28466058257282162</v>
      </c>
      <c r="O295" s="164">
        <f t="shared" ref="O295:O297" ca="1" si="1047">J295*(1+$O$6*IF(C295="B",-1,1))</f>
        <v>299.96249999999998</v>
      </c>
      <c r="P295" s="168">
        <f t="shared" ca="1" si="754"/>
        <v>19997.5</v>
      </c>
      <c r="Q295" s="168" t="e">
        <f t="shared" ref="Q295:Q297" ca="1" si="1048">(W295-J295)*I295*IF(C295="B",1,-1)*IF(K295=0,1,0)</f>
        <v>#N/A</v>
      </c>
      <c r="R295" s="184">
        <f t="shared" ca="1" si="876"/>
        <v>0</v>
      </c>
      <c r="S295" s="124">
        <f t="shared" ref="S295:S297" ca="1" si="1049">(1-$S$6)*J295</f>
        <v>39.99499999999999</v>
      </c>
      <c r="T295" s="120">
        <f ca="1">VLOOKUP(TRIM($F295),Reference!B:C,2,0)</f>
        <v>15938.65</v>
      </c>
      <c r="U295" s="181">
        <f t="shared" ref="U295:U297" ca="1" si="1050">AC295</f>
        <v>0</v>
      </c>
      <c r="V295" s="125" t="str">
        <f t="shared" ca="1" si="865"/>
        <v>NIFTY22JUL15500PE</v>
      </c>
      <c r="W295" s="166" t="e">
        <f ca="1">VLOOKUP($V295,Reference!BA:BD,4,0)</f>
        <v>#N/A</v>
      </c>
      <c r="X295" s="168">
        <f t="shared" ca="1" si="866"/>
        <v>0</v>
      </c>
      <c r="Y295" s="168">
        <f t="shared" ca="1" si="867"/>
        <v>0</v>
      </c>
      <c r="Z295" s="168">
        <f t="shared" ca="1" si="879"/>
        <v>0</v>
      </c>
      <c r="AA295" s="168">
        <f t="shared" ca="1" si="868"/>
        <v>0</v>
      </c>
      <c r="AB295" s="168">
        <f t="shared" ca="1" si="869"/>
        <v>0</v>
      </c>
      <c r="AC295" s="124">
        <f t="shared" ca="1" si="870"/>
        <v>0</v>
      </c>
      <c r="AD295" s="120">
        <f t="shared" ref="AD295:AD297" ca="1" si="1051">(H295-TODAY())/365</f>
        <v>3.5616438356164383E-2</v>
      </c>
      <c r="AE295" s="120">
        <f t="shared" ref="AE295:AE297" ca="1" si="1052">IF(I295&lt;&gt;0,20,0)</f>
        <v>20</v>
      </c>
      <c r="AF295" s="120"/>
      <c r="AG295" s="120"/>
      <c r="AH295" s="120">
        <f t="shared" ca="1" si="755"/>
        <v>0</v>
      </c>
      <c r="AI295" s="120"/>
      <c r="AJ295" s="120">
        <f t="shared" ca="1" si="756"/>
        <v>0.59992500000000004</v>
      </c>
      <c r="AK295" s="120"/>
      <c r="AL295" s="147"/>
      <c r="AM295" s="160"/>
      <c r="AN295" s="160"/>
      <c r="AO295" s="160"/>
      <c r="AP295" s="160"/>
      <c r="AQ295" s="160"/>
      <c r="AR295" s="160"/>
      <c r="AS295" s="160"/>
      <c r="AT295" s="160"/>
      <c r="AU295" s="160"/>
      <c r="AV295" s="160"/>
      <c r="AW295" s="160"/>
      <c r="AX295" s="160"/>
      <c r="AY295" s="160"/>
      <c r="AZ295" s="160"/>
      <c r="BA295" s="160"/>
      <c r="BB295" s="160"/>
      <c r="BC295" s="160"/>
      <c r="BD295" s="160"/>
      <c r="BE295" s="160"/>
      <c r="BF295" s="160"/>
      <c r="BG295" s="160"/>
      <c r="BS295" s="13">
        <v>2</v>
      </c>
      <c r="BT295" s="128">
        <v>44491</v>
      </c>
      <c r="BU295" s="121" t="s">
        <v>8</v>
      </c>
      <c r="BV295" s="120" t="s">
        <v>482</v>
      </c>
      <c r="BW295" s="121" t="s">
        <v>502</v>
      </c>
      <c r="BX295" s="120">
        <v>18400</v>
      </c>
      <c r="BY295" s="120">
        <v>41.7</v>
      </c>
      <c r="BZ295" s="120">
        <v>47.945</v>
      </c>
      <c r="CA295" s="124">
        <v>-3216.6708800000001</v>
      </c>
      <c r="CB295" s="120">
        <v>1.1497601918465228</v>
      </c>
      <c r="CC295" s="120">
        <v>500</v>
      </c>
      <c r="CD295" s="120">
        <v>50</v>
      </c>
      <c r="CE295" s="124">
        <v>20850</v>
      </c>
    </row>
    <row r="296" spans="1:83" hidden="1">
      <c r="A296" s="13">
        <f t="shared" ca="1" si="753"/>
        <v>289</v>
      </c>
      <c r="B296" s="128">
        <v>44707</v>
      </c>
      <c r="C296" s="121" t="s">
        <v>6</v>
      </c>
      <c r="D296" s="121">
        <v>1</v>
      </c>
      <c r="E296" s="120" t="s">
        <v>632</v>
      </c>
      <c r="F296" s="121" t="s">
        <v>130</v>
      </c>
      <c r="G296" s="120" t="s">
        <v>568</v>
      </c>
      <c r="H296" s="122">
        <v>44770</v>
      </c>
      <c r="I296" s="120">
        <v>3375</v>
      </c>
      <c r="J296" s="120">
        <v>214.95</v>
      </c>
      <c r="K296" s="120">
        <v>234.5</v>
      </c>
      <c r="L296" s="124">
        <f t="shared" ca="1" si="1044"/>
        <v>65981.250000000044</v>
      </c>
      <c r="M296" s="124">
        <f t="shared" ca="1" si="1045"/>
        <v>65981.250000000044</v>
      </c>
      <c r="N296" s="120">
        <f t="shared" ca="1" si="1046"/>
        <v>1.0909513840428007</v>
      </c>
      <c r="O296" s="164">
        <f t="shared" ca="1" si="1047"/>
        <v>161.21249999999998</v>
      </c>
      <c r="P296" s="168">
        <f t="shared" ca="1" si="754"/>
        <v>725456.25</v>
      </c>
      <c r="Q296" s="168">
        <f t="shared" ca="1" si="1048"/>
        <v>0</v>
      </c>
      <c r="R296" s="184">
        <f t="shared" ca="1" si="876"/>
        <v>0</v>
      </c>
      <c r="S296" s="124">
        <f t="shared" ca="1" si="1049"/>
        <v>21.494999999999994</v>
      </c>
      <c r="T296" s="120">
        <f ca="1">VLOOKUP(TRIM($F296),Reference!B:C,2,0)</f>
        <v>221.6</v>
      </c>
      <c r="U296" s="181">
        <f t="shared" ca="1" si="1050"/>
        <v>0</v>
      </c>
      <c r="V296" s="125" t="str">
        <f t="shared" ca="1" si="865"/>
        <v>TATAPOWER22JULFUT</v>
      </c>
      <c r="W296" s="166">
        <f ca="1">VLOOKUP($V296,Reference!BA:BD,4,0)</f>
        <v>222.15</v>
      </c>
      <c r="X296" s="168">
        <f t="shared" ca="1" si="866"/>
        <v>0</v>
      </c>
      <c r="Y296" s="168">
        <f t="shared" ca="1" si="867"/>
        <v>0</v>
      </c>
      <c r="Z296" s="168">
        <f t="shared" ca="1" si="879"/>
        <v>0</v>
      </c>
      <c r="AA296" s="168">
        <f t="shared" ca="1" si="868"/>
        <v>0</v>
      </c>
      <c r="AB296" s="168">
        <f t="shared" ca="1" si="869"/>
        <v>0</v>
      </c>
      <c r="AC296" s="124">
        <f t="shared" ca="1" si="870"/>
        <v>0</v>
      </c>
      <c r="AD296" s="120">
        <f t="shared" ca="1" si="1051"/>
        <v>3.5616438356164383E-2</v>
      </c>
      <c r="AE296" s="120">
        <f t="shared" ca="1" si="1052"/>
        <v>20</v>
      </c>
      <c r="AF296" s="120"/>
      <c r="AG296" s="120"/>
      <c r="AH296" s="120">
        <f t="shared" ca="1" si="755"/>
        <v>0</v>
      </c>
      <c r="AI296" s="120"/>
      <c r="AJ296" s="120">
        <f t="shared" ca="1" si="756"/>
        <v>21.7636875</v>
      </c>
      <c r="AK296" s="120"/>
      <c r="AL296" s="147"/>
      <c r="AM296" s="160"/>
      <c r="AN296" s="160"/>
      <c r="AO296" s="160"/>
      <c r="AP296" s="160"/>
      <c r="AQ296" s="160"/>
      <c r="AR296" s="160"/>
      <c r="AS296" s="160"/>
      <c r="AT296" s="160"/>
      <c r="AU296" s="160"/>
      <c r="AV296" s="160"/>
      <c r="AW296" s="160"/>
      <c r="AX296" s="160"/>
      <c r="AY296" s="160"/>
      <c r="AZ296" s="160"/>
      <c r="BA296" s="160"/>
      <c r="BB296" s="160"/>
      <c r="BC296" s="160"/>
      <c r="BD296" s="160"/>
      <c r="BE296" s="160"/>
      <c r="BF296" s="160"/>
      <c r="BG296" s="160"/>
      <c r="BS296" s="13">
        <v>2</v>
      </c>
      <c r="BT296" s="128">
        <v>44491</v>
      </c>
      <c r="BU296" s="121" t="s">
        <v>8</v>
      </c>
      <c r="BV296" s="120" t="s">
        <v>482</v>
      </c>
      <c r="BW296" s="121" t="s">
        <v>502</v>
      </c>
      <c r="BX296" s="120">
        <v>18400</v>
      </c>
      <c r="BY296" s="120">
        <v>41.7</v>
      </c>
      <c r="BZ296" s="120">
        <v>47.945</v>
      </c>
      <c r="CA296" s="124">
        <v>-3216.6708800000001</v>
      </c>
      <c r="CB296" s="120">
        <v>1.1497601918465228</v>
      </c>
      <c r="CC296" s="120">
        <v>500</v>
      </c>
      <c r="CD296" s="120">
        <v>50</v>
      </c>
      <c r="CE296" s="124">
        <v>20850</v>
      </c>
    </row>
    <row r="297" spans="1:83" hidden="1">
      <c r="A297" s="13">
        <f t="shared" ca="1" si="753"/>
        <v>290</v>
      </c>
      <c r="B297" s="128">
        <v>44707</v>
      </c>
      <c r="C297" s="121" t="s">
        <v>6</v>
      </c>
      <c r="D297" s="121">
        <v>1</v>
      </c>
      <c r="E297" s="120" t="s">
        <v>482</v>
      </c>
      <c r="F297" s="121" t="s">
        <v>284</v>
      </c>
      <c r="G297" s="120">
        <v>400</v>
      </c>
      <c r="H297" s="122">
        <v>44770</v>
      </c>
      <c r="I297" s="120">
        <v>1425</v>
      </c>
      <c r="J297" s="120">
        <v>22</v>
      </c>
      <c r="K297" s="120">
        <v>9.0500000000000007</v>
      </c>
      <c r="L297" s="124">
        <f t="shared" ca="1" si="1044"/>
        <v>-18453.75</v>
      </c>
      <c r="M297" s="124">
        <f t="shared" ca="1" si="1045"/>
        <v>-18453.75</v>
      </c>
      <c r="N297" s="120">
        <f t="shared" ca="1" si="1046"/>
        <v>0.41136363636363638</v>
      </c>
      <c r="O297" s="164">
        <f t="shared" ca="1" si="1047"/>
        <v>16.5</v>
      </c>
      <c r="P297" s="168">
        <f t="shared" ca="1" si="754"/>
        <v>31350</v>
      </c>
      <c r="Q297" s="168" t="e">
        <f t="shared" ca="1" si="1048"/>
        <v>#N/A</v>
      </c>
      <c r="R297" s="184">
        <f t="shared" ca="1" si="876"/>
        <v>0</v>
      </c>
      <c r="S297" s="124">
        <f t="shared" ca="1" si="1049"/>
        <v>2.1999999999999993</v>
      </c>
      <c r="T297" s="120">
        <f ca="1">VLOOKUP(TRIM($F297),Reference!B:C,2,0)</f>
        <v>428</v>
      </c>
      <c r="U297" s="181">
        <f t="shared" ca="1" si="1050"/>
        <v>0</v>
      </c>
      <c r="V297" s="125" t="str">
        <f t="shared" ca="1" si="865"/>
        <v>TATAMOTORS22JUL400PE</v>
      </c>
      <c r="W297" s="166" t="e">
        <f ca="1">VLOOKUP($V297,Reference!BA:BD,4,0)</f>
        <v>#N/A</v>
      </c>
      <c r="X297" s="168">
        <f t="shared" ca="1" si="866"/>
        <v>0</v>
      </c>
      <c r="Y297" s="168">
        <f t="shared" ca="1" si="867"/>
        <v>0</v>
      </c>
      <c r="Z297" s="168">
        <f t="shared" ca="1" si="879"/>
        <v>0</v>
      </c>
      <c r="AA297" s="168">
        <f t="shared" ca="1" si="868"/>
        <v>0</v>
      </c>
      <c r="AB297" s="168">
        <f t="shared" ca="1" si="869"/>
        <v>0</v>
      </c>
      <c r="AC297" s="124">
        <f t="shared" ca="1" si="870"/>
        <v>0</v>
      </c>
      <c r="AD297" s="120">
        <f t="shared" ca="1" si="1051"/>
        <v>3.5616438356164383E-2</v>
      </c>
      <c r="AE297" s="120">
        <f t="shared" ca="1" si="1052"/>
        <v>20</v>
      </c>
      <c r="AF297" s="120"/>
      <c r="AG297" s="120"/>
      <c r="AH297" s="120">
        <f t="shared" ca="1" si="755"/>
        <v>0</v>
      </c>
      <c r="AI297" s="120"/>
      <c r="AJ297" s="120">
        <f t="shared" ca="1" si="756"/>
        <v>0.9405</v>
      </c>
      <c r="AK297" s="120"/>
      <c r="AL297" s="147"/>
      <c r="AM297" s="160"/>
      <c r="AN297" s="160"/>
      <c r="AO297" s="160"/>
      <c r="AP297" s="160"/>
      <c r="AQ297" s="160"/>
      <c r="AR297" s="160"/>
      <c r="AS297" s="160"/>
      <c r="AT297" s="160"/>
      <c r="AU297" s="160"/>
      <c r="AV297" s="160"/>
      <c r="AW297" s="160"/>
      <c r="AX297" s="160"/>
      <c r="AY297" s="160"/>
      <c r="AZ297" s="160"/>
      <c r="BA297" s="160"/>
      <c r="BB297" s="160"/>
      <c r="BC297" s="160"/>
      <c r="BD297" s="160"/>
      <c r="BE297" s="160"/>
      <c r="BF297" s="160"/>
      <c r="BG297" s="160"/>
      <c r="BS297" s="13">
        <v>2</v>
      </c>
      <c r="BT297" s="128">
        <v>44491</v>
      </c>
      <c r="BU297" s="121" t="s">
        <v>8</v>
      </c>
      <c r="BV297" s="120" t="s">
        <v>482</v>
      </c>
      <c r="BW297" s="121" t="s">
        <v>502</v>
      </c>
      <c r="BX297" s="120">
        <v>18400</v>
      </c>
      <c r="BY297" s="120">
        <v>41.7</v>
      </c>
      <c r="BZ297" s="120">
        <v>47.945</v>
      </c>
      <c r="CA297" s="124">
        <v>-3216.6708800000001</v>
      </c>
      <c r="CB297" s="120">
        <v>1.1497601918465228</v>
      </c>
      <c r="CC297" s="120">
        <v>500</v>
      </c>
      <c r="CD297" s="120">
        <v>50</v>
      </c>
      <c r="CE297" s="124">
        <v>20850</v>
      </c>
    </row>
    <row r="298" spans="1:83" hidden="1">
      <c r="A298" s="13">
        <f t="shared" ca="1" si="753"/>
        <v>291</v>
      </c>
      <c r="B298" s="128">
        <v>44707</v>
      </c>
      <c r="C298" s="121" t="s">
        <v>6</v>
      </c>
      <c r="D298" s="121">
        <v>1</v>
      </c>
      <c r="E298" s="120" t="s">
        <v>482</v>
      </c>
      <c r="F298" s="121" t="s">
        <v>90</v>
      </c>
      <c r="G298" s="120">
        <v>3200</v>
      </c>
      <c r="H298" s="122">
        <v>44770</v>
      </c>
      <c r="I298" s="120">
        <v>150</v>
      </c>
      <c r="J298" s="120">
        <v>123.85</v>
      </c>
      <c r="K298" s="120">
        <v>0</v>
      </c>
      <c r="L298" s="124">
        <f t="shared" ref="L298" ca="1" si="1053">IF(AND(K298&lt;&gt;0,I298&lt;&gt;0),(IF(C298="B",1,-1))*(K298-J298)*I298-AK298*2,0)*$D298*IF(MONTH($B$2)=MONTH($H298),1,0)</f>
        <v>0</v>
      </c>
      <c r="M298" s="124">
        <f t="shared" ref="M298" ca="1" si="1054">IF(AND(K298&lt;&gt;0,I298&lt;&gt;0),(IF(C298="B",1,-1))*(K298-J298)*I298-AK298*2,0)*$D298</f>
        <v>0</v>
      </c>
      <c r="N298" s="120">
        <f t="shared" ref="N298" ca="1" si="1055">K298/$J298</f>
        <v>0</v>
      </c>
      <c r="O298" s="164">
        <f t="shared" ref="O298" ca="1" si="1056">J298*(1+$O$6*IF(C298="B",-1,1))</f>
        <v>92.887499999999989</v>
      </c>
      <c r="P298" s="168">
        <f t="shared" ca="1" si="754"/>
        <v>18577.5</v>
      </c>
      <c r="Q298" s="168">
        <f t="shared" ref="Q298" ca="1" si="1057">(W298-J298)*I298*IF(C298="B",1,-1)*IF(K298=0,1,0)</f>
        <v>10882.500000000002</v>
      </c>
      <c r="R298" s="184">
        <f t="shared" ca="1" si="876"/>
        <v>-418445.34474788891</v>
      </c>
      <c r="S298" s="124">
        <f t="shared" ref="S298" ca="1" si="1058">(1-$S$6)*J298</f>
        <v>12.384999999999996</v>
      </c>
      <c r="T298" s="120">
        <f ca="1">VLOOKUP(TRIM($F298),Reference!B:C,2,0)</f>
        <v>3003</v>
      </c>
      <c r="U298" s="181">
        <f t="shared" ref="U298" ca="1" si="1059">AC298</f>
        <v>0.22122211605739472</v>
      </c>
      <c r="V298" s="125" t="str">
        <f t="shared" ca="1" si="865"/>
        <v>TCS22JUL3200PE</v>
      </c>
      <c r="W298" s="166">
        <f ca="1">VLOOKUP($V298,Reference!BA:BD,4,0)</f>
        <v>196.4</v>
      </c>
      <c r="X298" s="168">
        <f t="shared" ca="1" si="866"/>
        <v>29459.999999999876</v>
      </c>
      <c r="Y298" s="168">
        <f t="shared" ca="1" si="867"/>
        <v>-0.92894959428990764</v>
      </c>
      <c r="Z298" s="168">
        <f t="shared" ca="1" si="879"/>
        <v>-139.34243914348616</v>
      </c>
      <c r="AA298" s="168">
        <f t="shared" ca="1" si="868"/>
        <v>-159.57003532369222</v>
      </c>
      <c r="AB298" s="168">
        <f t="shared" ca="1" si="869"/>
        <v>0</v>
      </c>
      <c r="AC298" s="124">
        <f t="shared" ca="1" si="870"/>
        <v>0.22122211605739472</v>
      </c>
      <c r="AD298" s="120">
        <f t="shared" ref="AD298" ca="1" si="1060">(H298-TODAY())/365</f>
        <v>3.5616438356164383E-2</v>
      </c>
      <c r="AE298" s="120">
        <f t="shared" ref="AE298" ca="1" si="1061">IF(I298&lt;&gt;0,20,0)</f>
        <v>20</v>
      </c>
      <c r="AF298" s="120"/>
      <c r="AG298" s="120"/>
      <c r="AH298" s="120">
        <f t="shared" ca="1" si="755"/>
        <v>0</v>
      </c>
      <c r="AI298" s="120"/>
      <c r="AJ298" s="120">
        <f t="shared" ca="1" si="756"/>
        <v>0.55732499999999996</v>
      </c>
      <c r="AK298" s="120"/>
      <c r="AL298" s="147"/>
      <c r="AM298" s="160"/>
      <c r="AN298" s="160"/>
      <c r="AO298" s="160"/>
      <c r="AP298" s="160"/>
      <c r="AQ298" s="160"/>
      <c r="AR298" s="160"/>
      <c r="AS298" s="160"/>
      <c r="AT298" s="160"/>
      <c r="AU298" s="160"/>
      <c r="AV298" s="160"/>
      <c r="AW298" s="160"/>
      <c r="AX298" s="160"/>
      <c r="AY298" s="160"/>
      <c r="AZ298" s="160"/>
      <c r="BA298" s="160"/>
      <c r="BB298" s="160"/>
      <c r="BC298" s="160"/>
      <c r="BD298" s="160"/>
      <c r="BE298" s="160"/>
      <c r="BF298" s="160"/>
      <c r="BG298" s="160"/>
      <c r="BS298" s="13">
        <v>2</v>
      </c>
      <c r="BT298" s="128">
        <v>44491</v>
      </c>
      <c r="BU298" s="121" t="s">
        <v>8</v>
      </c>
      <c r="BV298" s="120" t="s">
        <v>482</v>
      </c>
      <c r="BW298" s="121" t="s">
        <v>502</v>
      </c>
      <c r="BX298" s="120">
        <v>18400</v>
      </c>
      <c r="BY298" s="120">
        <v>41.7</v>
      </c>
      <c r="BZ298" s="120">
        <v>47.945</v>
      </c>
      <c r="CA298" s="124">
        <v>-3216.6708800000001</v>
      </c>
      <c r="CB298" s="120">
        <v>1.1497601918465228</v>
      </c>
      <c r="CC298" s="120">
        <v>500</v>
      </c>
      <c r="CD298" s="120">
        <v>50</v>
      </c>
      <c r="CE298" s="124">
        <v>20850</v>
      </c>
    </row>
    <row r="299" spans="1:83" hidden="1">
      <c r="A299" s="13">
        <f t="shared" ca="1" si="753"/>
        <v>292</v>
      </c>
      <c r="B299" s="128">
        <v>44708</v>
      </c>
      <c r="C299" s="121" t="s">
        <v>6</v>
      </c>
      <c r="D299" s="121">
        <v>1</v>
      </c>
      <c r="E299" s="120" t="s">
        <v>482</v>
      </c>
      <c r="F299" s="121" t="s">
        <v>126</v>
      </c>
      <c r="G299" s="120">
        <v>170</v>
      </c>
      <c r="H299" s="122">
        <v>44742</v>
      </c>
      <c r="I299" s="120">
        <v>3750</v>
      </c>
      <c r="J299" s="120">
        <v>4.45</v>
      </c>
      <c r="K299" s="120">
        <v>1.1000000000000001</v>
      </c>
      <c r="L299" s="124">
        <f t="shared" ref="L299" ca="1" si="1062">IF(AND(K299&lt;&gt;0,I299&lt;&gt;0),(IF(C299="B",1,-1))*(K299-J299)*I299-AK299*2,0)*$D299*IF(MONTH($B$2)=MONTH($H299),1,0)</f>
        <v>0</v>
      </c>
      <c r="M299" s="124">
        <f t="shared" ref="M299" ca="1" si="1063">IF(AND(K299&lt;&gt;0,I299&lt;&gt;0),(IF(C299="B",1,-1))*(K299-J299)*I299-AK299*2,0)*$D299</f>
        <v>-12562.5</v>
      </c>
      <c r="N299" s="120">
        <f t="shared" ref="N299" ca="1" si="1064">K299/$J299</f>
        <v>0.24719101123595508</v>
      </c>
      <c r="O299" s="164">
        <f t="shared" ref="O299" ca="1" si="1065">J299*(1+$O$6*IF(C299="B",-1,1))</f>
        <v>3.3375000000000004</v>
      </c>
      <c r="P299" s="168">
        <f t="shared" ca="1" si="754"/>
        <v>16687.5</v>
      </c>
      <c r="Q299" s="168" t="e">
        <f t="shared" ref="Q299" ca="1" si="1066">(W299-J299)*I299*IF(C299="B",1,-1)*IF(K299=0,1,0)</f>
        <v>#N/A</v>
      </c>
      <c r="R299" s="184">
        <f t="shared" ca="1" si="876"/>
        <v>0</v>
      </c>
      <c r="S299" s="124">
        <f t="shared" ref="S299" ca="1" si="1067">(1-$S$6)*J299</f>
        <v>0.4449999999999999</v>
      </c>
      <c r="T299" s="120">
        <f ca="1">VLOOKUP(TRIM($F299),Reference!B:C,2,0)</f>
        <v>162.15</v>
      </c>
      <c r="U299" s="181">
        <f t="shared" ref="U299" ca="1" si="1068">AC299</f>
        <v>0</v>
      </c>
      <c r="V299" s="125" t="str">
        <f t="shared" ca="1" si="865"/>
        <v>IEX22JUN170PE</v>
      </c>
      <c r="W299" s="166" t="e">
        <f ca="1">VLOOKUP($V299,Reference!BA:BD,4,0)</f>
        <v>#N/A</v>
      </c>
      <c r="X299" s="168">
        <f t="shared" ca="1" si="866"/>
        <v>0</v>
      </c>
      <c r="Y299" s="168">
        <f t="shared" ca="1" si="867"/>
        <v>0</v>
      </c>
      <c r="Z299" s="168">
        <f t="shared" ca="1" si="879"/>
        <v>0</v>
      </c>
      <c r="AA299" s="168">
        <f t="shared" ca="1" si="868"/>
        <v>0</v>
      </c>
      <c r="AB299" s="168">
        <f t="shared" ca="1" si="869"/>
        <v>0</v>
      </c>
      <c r="AC299" s="124">
        <f t="shared" ca="1" si="870"/>
        <v>0</v>
      </c>
      <c r="AD299" s="120">
        <f t="shared" ref="AD299" ca="1" si="1069">(H299-TODAY())/365</f>
        <v>-4.1095890410958902E-2</v>
      </c>
      <c r="AE299" s="120">
        <f t="shared" ref="AE299" ca="1" si="1070">IF(I299&lt;&gt;0,20,0)</f>
        <v>20</v>
      </c>
      <c r="AF299" s="120"/>
      <c r="AG299" s="120"/>
      <c r="AH299" s="120">
        <f t="shared" ca="1" si="755"/>
        <v>0</v>
      </c>
      <c r="AI299" s="120"/>
      <c r="AJ299" s="120">
        <f t="shared" ca="1" si="756"/>
        <v>0.50062499999999999</v>
      </c>
      <c r="AK299" s="120"/>
      <c r="AL299" s="147"/>
      <c r="AM299" s="160"/>
      <c r="AN299" s="160"/>
      <c r="AO299" s="160"/>
      <c r="AP299" s="160"/>
      <c r="AQ299" s="160"/>
      <c r="AR299" s="160"/>
      <c r="AS299" s="160"/>
      <c r="AT299" s="160"/>
      <c r="AU299" s="160"/>
      <c r="AV299" s="160"/>
      <c r="AW299" s="160"/>
      <c r="AX299" s="160"/>
      <c r="AY299" s="160"/>
      <c r="AZ299" s="160"/>
      <c r="BA299" s="160"/>
      <c r="BB299" s="160"/>
      <c r="BC299" s="160"/>
      <c r="BD299" s="160"/>
      <c r="BE299" s="160"/>
      <c r="BF299" s="160"/>
      <c r="BG299" s="160"/>
      <c r="BS299" s="13">
        <v>2</v>
      </c>
      <c r="BT299" s="128">
        <v>44491</v>
      </c>
      <c r="BU299" s="121" t="s">
        <v>8</v>
      </c>
      <c r="BV299" s="120" t="s">
        <v>482</v>
      </c>
      <c r="BW299" s="121" t="s">
        <v>502</v>
      </c>
      <c r="BX299" s="120">
        <v>18400</v>
      </c>
      <c r="BY299" s="120">
        <v>41.7</v>
      </c>
      <c r="BZ299" s="120">
        <v>47.945</v>
      </c>
      <c r="CA299" s="124">
        <v>-3216.6708800000001</v>
      </c>
      <c r="CB299" s="120">
        <v>1.1497601918465228</v>
      </c>
      <c r="CC299" s="120">
        <v>500</v>
      </c>
      <c r="CD299" s="120">
        <v>50</v>
      </c>
      <c r="CE299" s="124">
        <v>20850</v>
      </c>
    </row>
    <row r="300" spans="1:83" hidden="1">
      <c r="A300" s="13">
        <f t="shared" ca="1" si="753"/>
        <v>293</v>
      </c>
      <c r="B300" s="128">
        <v>44708</v>
      </c>
      <c r="C300" s="121" t="s">
        <v>8</v>
      </c>
      <c r="D300" s="121">
        <v>1</v>
      </c>
      <c r="E300" s="120" t="s">
        <v>481</v>
      </c>
      <c r="F300" s="121" t="s">
        <v>126</v>
      </c>
      <c r="G300" s="120">
        <v>190</v>
      </c>
      <c r="H300" s="122">
        <v>44742</v>
      </c>
      <c r="I300" s="120">
        <v>3750</v>
      </c>
      <c r="J300" s="120">
        <v>7.2</v>
      </c>
      <c r="K300" s="120">
        <v>0</v>
      </c>
      <c r="L300" s="124">
        <f t="shared" ref="L300" ca="1" si="1071">IF(AND(K300&lt;&gt;0,I300&lt;&gt;0),(IF(C300="B",1,-1))*(K300-J300)*I300-AK300*2,0)*$D300*IF(MONTH($B$2)=MONTH($H300),1,0)</f>
        <v>0</v>
      </c>
      <c r="M300" s="124">
        <f t="shared" ref="M300" ca="1" si="1072">IF(AND(K300&lt;&gt;0,I300&lt;&gt;0),(IF(C300="B",1,-1))*(K300-J300)*I300-AK300*2,0)*$D300</f>
        <v>0</v>
      </c>
      <c r="N300" s="120">
        <f t="shared" ref="N300" ca="1" si="1073">K300/$J300</f>
        <v>0</v>
      </c>
      <c r="O300" s="164">
        <f t="shared" ref="O300" ca="1" si="1074">J300*(1+$O$6*IF(C300="B",-1,1))</f>
        <v>9</v>
      </c>
      <c r="P300" s="168">
        <f t="shared" ca="1" si="754"/>
        <v>27000</v>
      </c>
      <c r="Q300" s="168" t="e">
        <f t="shared" ref="Q300" ca="1" si="1075">(W300-J300)*I300*IF(C300="B",1,-1)*IF(K300=0,1,0)</f>
        <v>#N/A</v>
      </c>
      <c r="R300" s="184">
        <f t="shared" ca="1" si="876"/>
        <v>0</v>
      </c>
      <c r="S300" s="124">
        <f t="shared" ref="S300" ca="1" si="1076">(1-$S$6)*J300</f>
        <v>0.71999999999999986</v>
      </c>
      <c r="T300" s="120">
        <f ca="1">VLOOKUP(TRIM($F300),Reference!B:C,2,0)</f>
        <v>162.15</v>
      </c>
      <c r="U300" s="181">
        <f t="shared" ref="U300" ca="1" si="1077">AC300</f>
        <v>0</v>
      </c>
      <c r="V300" s="125" t="str">
        <f t="shared" ca="1" si="865"/>
        <v>IEX22JUN190CE</v>
      </c>
      <c r="W300" s="166" t="e">
        <f ca="1">VLOOKUP($V300,Reference!BA:BD,4,0)</f>
        <v>#N/A</v>
      </c>
      <c r="X300" s="168">
        <f t="shared" ca="1" si="866"/>
        <v>0</v>
      </c>
      <c r="Y300" s="168">
        <f t="shared" ca="1" si="867"/>
        <v>0</v>
      </c>
      <c r="Z300" s="168">
        <f t="shared" ca="1" si="879"/>
        <v>0</v>
      </c>
      <c r="AA300" s="168">
        <f t="shared" ca="1" si="868"/>
        <v>0</v>
      </c>
      <c r="AB300" s="168">
        <f t="shared" ca="1" si="869"/>
        <v>0</v>
      </c>
      <c r="AC300" s="124">
        <f t="shared" ca="1" si="870"/>
        <v>0</v>
      </c>
      <c r="AD300" s="120">
        <f t="shared" ref="AD300" ca="1" si="1078">(H300-TODAY())/365</f>
        <v>-4.1095890410958902E-2</v>
      </c>
      <c r="AE300" s="120">
        <f t="shared" ref="AE300" ca="1" si="1079">IF(I300&lt;&gt;0,20,0)</f>
        <v>20</v>
      </c>
      <c r="AF300" s="120"/>
      <c r="AG300" s="120"/>
      <c r="AH300" s="120">
        <f t="shared" ca="1" si="755"/>
        <v>13.5</v>
      </c>
      <c r="AI300" s="120"/>
      <c r="AJ300" s="120">
        <f t="shared" ca="1" si="756"/>
        <v>0</v>
      </c>
      <c r="AK300" s="120"/>
      <c r="AL300" s="147"/>
      <c r="AM300" s="160"/>
      <c r="AN300" s="160"/>
      <c r="AO300" s="160"/>
      <c r="AP300" s="160"/>
      <c r="AQ300" s="160"/>
      <c r="AR300" s="160"/>
      <c r="AS300" s="160"/>
      <c r="AT300" s="160"/>
      <c r="AU300" s="160"/>
      <c r="AV300" s="160"/>
      <c r="AW300" s="160"/>
      <c r="AX300" s="160"/>
      <c r="AY300" s="160"/>
      <c r="AZ300" s="160"/>
      <c r="BA300" s="160"/>
      <c r="BB300" s="160"/>
      <c r="BC300" s="160"/>
      <c r="BD300" s="160"/>
      <c r="BE300" s="160"/>
      <c r="BF300" s="160"/>
      <c r="BG300" s="160"/>
      <c r="BS300" s="13">
        <v>2</v>
      </c>
      <c r="BT300" s="128">
        <v>44491</v>
      </c>
      <c r="BU300" s="121" t="s">
        <v>8</v>
      </c>
      <c r="BV300" s="120" t="s">
        <v>482</v>
      </c>
      <c r="BW300" s="121" t="s">
        <v>502</v>
      </c>
      <c r="BX300" s="120">
        <v>18400</v>
      </c>
      <c r="BY300" s="120">
        <v>41.7</v>
      </c>
      <c r="BZ300" s="120">
        <v>47.945</v>
      </c>
      <c r="CA300" s="124">
        <v>-3216.6708800000001</v>
      </c>
      <c r="CB300" s="120">
        <v>1.1497601918465228</v>
      </c>
      <c r="CC300" s="120">
        <v>500</v>
      </c>
      <c r="CD300" s="120">
        <v>50</v>
      </c>
      <c r="CE300" s="124">
        <v>20850</v>
      </c>
    </row>
    <row r="301" spans="1:83" hidden="1">
      <c r="A301" s="13">
        <f t="shared" ca="1" si="753"/>
        <v>294</v>
      </c>
      <c r="B301" s="128">
        <v>44708</v>
      </c>
      <c r="C301" s="121" t="s">
        <v>6</v>
      </c>
      <c r="D301" s="121">
        <v>1</v>
      </c>
      <c r="E301" s="120" t="s">
        <v>482</v>
      </c>
      <c r="F301" s="121" t="s">
        <v>390</v>
      </c>
      <c r="G301" s="120">
        <v>2300</v>
      </c>
      <c r="H301" s="122">
        <v>44742</v>
      </c>
      <c r="I301" s="120">
        <v>375</v>
      </c>
      <c r="J301" s="120">
        <v>90.2</v>
      </c>
      <c r="K301" s="120">
        <v>28</v>
      </c>
      <c r="L301" s="124">
        <f t="shared" ref="L301" ca="1" si="1080">IF(AND(K301&lt;&gt;0,I301&lt;&gt;0),(IF(C301="B",1,-1))*(K301-J301)*I301-AK301*2,0)*$D301*IF(MONTH($B$2)=MONTH($H301),1,0)</f>
        <v>0</v>
      </c>
      <c r="M301" s="124">
        <f t="shared" ref="M301" ca="1" si="1081">IF(AND(K301&lt;&gt;0,I301&lt;&gt;0),(IF(C301="B",1,-1))*(K301-J301)*I301-AK301*2,0)*$D301</f>
        <v>-23325</v>
      </c>
      <c r="N301" s="120">
        <f t="shared" ref="N301" ca="1" si="1082">K301/$J301</f>
        <v>0.31042128603104213</v>
      </c>
      <c r="O301" s="164">
        <f t="shared" ref="O301" ca="1" si="1083">J301*(1+$O$6*IF(C301="B",-1,1))</f>
        <v>67.650000000000006</v>
      </c>
      <c r="P301" s="168">
        <f t="shared" ca="1" si="754"/>
        <v>33825</v>
      </c>
      <c r="Q301" s="168" t="e">
        <f t="shared" ref="Q301" ca="1" si="1084">(W301-J301)*I301*IF(C301="B",1,-1)*IF(K301=0,1,0)</f>
        <v>#N/A</v>
      </c>
      <c r="R301" s="184">
        <f t="shared" ca="1" si="876"/>
        <v>0</v>
      </c>
      <c r="S301" s="124">
        <f t="shared" ref="S301" ca="1" si="1085">(1-$S$6)*J301</f>
        <v>9.0199999999999978</v>
      </c>
      <c r="T301" s="120">
        <f ca="1">VLOOKUP(TRIM($F301),Reference!B:C,2,0)</f>
        <v>2214</v>
      </c>
      <c r="U301" s="181">
        <f t="shared" ref="U301" ca="1" si="1086">AC301</f>
        <v>0</v>
      </c>
      <c r="V301" s="125" t="str">
        <f t="shared" ca="1" si="865"/>
        <v>SRF22JUN2300PE</v>
      </c>
      <c r="W301" s="166" t="e">
        <f ca="1">VLOOKUP($V301,Reference!BA:BD,4,0)</f>
        <v>#N/A</v>
      </c>
      <c r="X301" s="168">
        <f t="shared" ca="1" si="866"/>
        <v>0</v>
      </c>
      <c r="Y301" s="168">
        <f t="shared" ca="1" si="867"/>
        <v>0</v>
      </c>
      <c r="Z301" s="168">
        <f t="shared" ca="1" si="879"/>
        <v>0</v>
      </c>
      <c r="AA301" s="168">
        <f t="shared" ca="1" si="868"/>
        <v>0</v>
      </c>
      <c r="AB301" s="168">
        <f t="shared" ca="1" si="869"/>
        <v>0</v>
      </c>
      <c r="AC301" s="124">
        <f t="shared" ca="1" si="870"/>
        <v>0</v>
      </c>
      <c r="AD301" s="120">
        <f t="shared" ref="AD301" ca="1" si="1087">(H301-TODAY())/365</f>
        <v>-4.1095890410958902E-2</v>
      </c>
      <c r="AE301" s="120">
        <f t="shared" ref="AE301" ca="1" si="1088">IF(I301&lt;&gt;0,20,0)</f>
        <v>20</v>
      </c>
      <c r="AF301" s="120"/>
      <c r="AG301" s="120"/>
      <c r="AH301" s="120">
        <f t="shared" ca="1" si="755"/>
        <v>0</v>
      </c>
      <c r="AI301" s="120"/>
      <c r="AJ301" s="120">
        <f t="shared" ca="1" si="756"/>
        <v>1.01475</v>
      </c>
      <c r="AK301" s="120"/>
      <c r="AL301" s="147"/>
      <c r="AM301" s="160"/>
      <c r="AN301" s="160"/>
      <c r="AO301" s="160"/>
      <c r="AP301" s="160"/>
      <c r="AQ301" s="160"/>
      <c r="AR301" s="160"/>
      <c r="AS301" s="160"/>
      <c r="AT301" s="160"/>
      <c r="AU301" s="160"/>
      <c r="AV301" s="160"/>
      <c r="AW301" s="160"/>
      <c r="AX301" s="160"/>
      <c r="AY301" s="160"/>
      <c r="AZ301" s="160"/>
      <c r="BA301" s="160"/>
      <c r="BB301" s="160"/>
      <c r="BC301" s="160"/>
      <c r="BD301" s="160"/>
      <c r="BE301" s="160"/>
      <c r="BF301" s="160"/>
      <c r="BG301" s="160"/>
      <c r="BS301" s="13">
        <v>2</v>
      </c>
      <c r="BT301" s="128">
        <v>44491</v>
      </c>
      <c r="BU301" s="121" t="s">
        <v>8</v>
      </c>
      <c r="BV301" s="120" t="s">
        <v>482</v>
      </c>
      <c r="BW301" s="121" t="s">
        <v>502</v>
      </c>
      <c r="BX301" s="120">
        <v>18400</v>
      </c>
      <c r="BY301" s="120">
        <v>41.7</v>
      </c>
      <c r="BZ301" s="120">
        <v>47.945</v>
      </c>
      <c r="CA301" s="124">
        <v>-3216.6708800000001</v>
      </c>
      <c r="CB301" s="120">
        <v>1.1497601918465228</v>
      </c>
      <c r="CC301" s="120">
        <v>500</v>
      </c>
      <c r="CD301" s="120">
        <v>50</v>
      </c>
      <c r="CE301" s="124">
        <v>20850</v>
      </c>
    </row>
    <row r="302" spans="1:83" hidden="1">
      <c r="A302" s="13">
        <f t="shared" ca="1" si="753"/>
        <v>295</v>
      </c>
      <c r="B302" s="128">
        <v>44708</v>
      </c>
      <c r="C302" s="121" t="s">
        <v>6</v>
      </c>
      <c r="D302" s="121">
        <v>1</v>
      </c>
      <c r="E302" s="120" t="s">
        <v>482</v>
      </c>
      <c r="F302" s="121" t="s">
        <v>506</v>
      </c>
      <c r="G302" s="120">
        <v>34000</v>
      </c>
      <c r="H302" s="122">
        <v>44770</v>
      </c>
      <c r="I302" s="120">
        <v>50</v>
      </c>
      <c r="J302" s="120">
        <v>810.1</v>
      </c>
      <c r="K302" s="120">
        <v>0</v>
      </c>
      <c r="L302" s="124">
        <f t="shared" ref="L302" ca="1" si="1089">IF(AND(K302&lt;&gt;0,I302&lt;&gt;0),(IF(C302="B",1,-1))*(K302-J302)*I302-AK302*2,0)*$D302*IF(MONTH($B$2)=MONTH($H302),1,0)</f>
        <v>0</v>
      </c>
      <c r="M302" s="124">
        <f t="shared" ref="M302" ca="1" si="1090">IF(AND(K302&lt;&gt;0,I302&lt;&gt;0),(IF(C302="B",1,-1))*(K302-J302)*I302-AK302*2,0)*$D302</f>
        <v>0</v>
      </c>
      <c r="N302" s="120">
        <f t="shared" ref="N302" ca="1" si="1091">K302/$J302</f>
        <v>0</v>
      </c>
      <c r="O302" s="164">
        <f t="shared" ref="O302" ca="1" si="1092">J302*(1+$O$6*IF(C302="B",-1,1))</f>
        <v>607.57500000000005</v>
      </c>
      <c r="P302" s="168">
        <f t="shared" ca="1" si="754"/>
        <v>40505</v>
      </c>
      <c r="Q302" s="168">
        <f t="shared" ref="Q302" ca="1" si="1093">(W302-J302)*I302*IF(C302="B",1,-1)*IF(K302=0,1,0)</f>
        <v>-26705</v>
      </c>
      <c r="R302" s="184">
        <f t="shared" ca="1" si="876"/>
        <v>-522215.46809756447</v>
      </c>
      <c r="S302" s="124">
        <f t="shared" ref="S302" ca="1" si="1094">(1-$S$6)*J302</f>
        <v>81.009999999999991</v>
      </c>
      <c r="T302" s="120">
        <f ca="1">VLOOKUP(TRIM($F302),Reference!B:C,2,0)</f>
        <v>34651.199999999997</v>
      </c>
      <c r="U302" s="181">
        <f t="shared" ref="U302" ca="1" si="1095">AC302</f>
        <v>0.21566548687663487</v>
      </c>
      <c r="V302" s="125" t="str">
        <f t="shared" ca="1" si="865"/>
        <v>BANKNIFTY22JUL34000PE</v>
      </c>
      <c r="W302" s="166">
        <f ca="1">VLOOKUP($V302,Reference!BA:BD,4,0)</f>
        <v>276</v>
      </c>
      <c r="X302" s="168">
        <f t="shared" ca="1" si="866"/>
        <v>13800</v>
      </c>
      <c r="Y302" s="168">
        <f t="shared" ca="1" si="867"/>
        <v>-0.30141263107630589</v>
      </c>
      <c r="Z302" s="168">
        <f t="shared" ca="1" si="879"/>
        <v>-15.070631553815295</v>
      </c>
      <c r="AA302" s="168">
        <f t="shared" ca="1" si="868"/>
        <v>-1018.4093583653364</v>
      </c>
      <c r="AB302" s="168">
        <f t="shared" ca="1" si="869"/>
        <v>0</v>
      </c>
      <c r="AC302" s="124">
        <f t="shared" ca="1" si="870"/>
        <v>0.21566548687663487</v>
      </c>
      <c r="AD302" s="120">
        <f t="shared" ref="AD302" ca="1" si="1096">(H302-TODAY())/365</f>
        <v>3.5616438356164383E-2</v>
      </c>
      <c r="AE302" s="120">
        <f t="shared" ref="AE302" ca="1" si="1097">IF(I302&lt;&gt;0,20,0)</f>
        <v>20</v>
      </c>
      <c r="AF302" s="120"/>
      <c r="AG302" s="120"/>
      <c r="AH302" s="120">
        <f t="shared" ca="1" si="755"/>
        <v>0</v>
      </c>
      <c r="AI302" s="120"/>
      <c r="AJ302" s="120">
        <f t="shared" ca="1" si="756"/>
        <v>1.21515</v>
      </c>
      <c r="AK302" s="120"/>
      <c r="AL302" s="147"/>
      <c r="AM302" s="160"/>
      <c r="AN302" s="160"/>
      <c r="AO302" s="160"/>
      <c r="AP302" s="160"/>
      <c r="AQ302" s="160"/>
      <c r="AR302" s="160"/>
      <c r="AS302" s="160"/>
      <c r="AT302" s="160"/>
      <c r="AU302" s="160"/>
      <c r="AV302" s="160"/>
      <c r="AW302" s="160"/>
      <c r="AX302" s="160"/>
      <c r="AY302" s="160"/>
      <c r="AZ302" s="160"/>
      <c r="BA302" s="160"/>
      <c r="BB302" s="160"/>
      <c r="BC302" s="160"/>
      <c r="BD302" s="160"/>
      <c r="BE302" s="160"/>
      <c r="BF302" s="160"/>
      <c r="BG302" s="160"/>
      <c r="BS302" s="13">
        <v>2</v>
      </c>
      <c r="BT302" s="128">
        <v>44491</v>
      </c>
      <c r="BU302" s="121" t="s">
        <v>8</v>
      </c>
      <c r="BV302" s="120" t="s">
        <v>482</v>
      </c>
      <c r="BW302" s="121" t="s">
        <v>502</v>
      </c>
      <c r="BX302" s="120">
        <v>18400</v>
      </c>
      <c r="BY302" s="120">
        <v>41.7</v>
      </c>
      <c r="BZ302" s="120">
        <v>47.945</v>
      </c>
      <c r="CA302" s="124">
        <v>-3216.6708800000001</v>
      </c>
      <c r="CB302" s="120">
        <v>1.1497601918465228</v>
      </c>
      <c r="CC302" s="120">
        <v>500</v>
      </c>
      <c r="CD302" s="120">
        <v>50</v>
      </c>
      <c r="CE302" s="124">
        <v>20850</v>
      </c>
    </row>
    <row r="303" spans="1:83" hidden="1">
      <c r="A303" s="13">
        <f t="shared" ca="1" si="753"/>
        <v>296</v>
      </c>
      <c r="B303" s="128">
        <v>44708</v>
      </c>
      <c r="C303" s="121" t="s">
        <v>8</v>
      </c>
      <c r="D303" s="121">
        <v>1</v>
      </c>
      <c r="E303" s="120" t="s">
        <v>481</v>
      </c>
      <c r="F303" s="121" t="s">
        <v>506</v>
      </c>
      <c r="G303" s="120">
        <v>37000</v>
      </c>
      <c r="H303" s="122">
        <v>44770</v>
      </c>
      <c r="I303" s="120">
        <v>50</v>
      </c>
      <c r="J303" s="120">
        <v>762.3</v>
      </c>
      <c r="K303" s="120">
        <v>71.400000000000006</v>
      </c>
      <c r="L303" s="124">
        <f t="shared" ref="L303" ca="1" si="1098">IF(AND(K303&lt;&gt;0,I303&lt;&gt;0),(IF(C303="B",1,-1))*(K303-J303)*I303-AK303*2,0)*$D303*IF(MONTH($B$2)=MONTH($H303),1,0)</f>
        <v>34545</v>
      </c>
      <c r="M303" s="124">
        <f t="shared" ref="M303" ca="1" si="1099">IF(AND(K303&lt;&gt;0,I303&lt;&gt;0),(IF(C303="B",1,-1))*(K303-J303)*I303-AK303*2,0)*$D303</f>
        <v>34545</v>
      </c>
      <c r="N303" s="120">
        <f t="shared" ref="N303" ca="1" si="1100">K303/$J303</f>
        <v>9.3663911845730044E-2</v>
      </c>
      <c r="O303" s="164">
        <f t="shared" ref="O303" ca="1" si="1101">J303*(1+$O$6*IF(C303="B",-1,1))</f>
        <v>952.875</v>
      </c>
      <c r="P303" s="168">
        <f t="shared" ca="1" si="754"/>
        <v>38115</v>
      </c>
      <c r="Q303" s="168" t="e">
        <f t="shared" ref="Q303" ca="1" si="1102">(W303-J303)*I303*IF(C303="B",1,-1)*IF(K303=0,1,0)</f>
        <v>#N/A</v>
      </c>
      <c r="R303" s="184">
        <f t="shared" ca="1" si="876"/>
        <v>0</v>
      </c>
      <c r="S303" s="124">
        <f t="shared" ref="S303" ca="1" si="1103">(1-$S$6)*J303</f>
        <v>76.229999999999976</v>
      </c>
      <c r="T303" s="120">
        <f ca="1">VLOOKUP(TRIM($F303),Reference!B:C,2,0)</f>
        <v>34651.199999999997</v>
      </c>
      <c r="U303" s="181">
        <f t="shared" ref="U303" ca="1" si="1104">AC303</f>
        <v>0</v>
      </c>
      <c r="V303" s="125" t="str">
        <f t="shared" ca="1" si="865"/>
        <v>BANKNIFTY22JUL37000CE</v>
      </c>
      <c r="W303" s="166" t="e">
        <f ca="1">VLOOKUP($V303,Reference!BA:BD,4,0)</f>
        <v>#N/A</v>
      </c>
      <c r="X303" s="168">
        <f t="shared" ca="1" si="866"/>
        <v>0</v>
      </c>
      <c r="Y303" s="168">
        <f t="shared" ca="1" si="867"/>
        <v>0</v>
      </c>
      <c r="Z303" s="168">
        <f t="shared" ca="1" si="879"/>
        <v>0</v>
      </c>
      <c r="AA303" s="168">
        <f t="shared" ca="1" si="868"/>
        <v>0</v>
      </c>
      <c r="AB303" s="168">
        <f t="shared" ca="1" si="869"/>
        <v>0</v>
      </c>
      <c r="AC303" s="124">
        <f t="shared" ca="1" si="870"/>
        <v>0</v>
      </c>
      <c r="AD303" s="120">
        <f t="shared" ref="AD303" ca="1" si="1105">(H303-TODAY())/365</f>
        <v>3.5616438356164383E-2</v>
      </c>
      <c r="AE303" s="120">
        <f t="shared" ref="AE303" ca="1" si="1106">IF(I303&lt;&gt;0,20,0)</f>
        <v>20</v>
      </c>
      <c r="AF303" s="120"/>
      <c r="AG303" s="120"/>
      <c r="AH303" s="120">
        <f t="shared" ca="1" si="755"/>
        <v>19.057500000000001</v>
      </c>
      <c r="AI303" s="120"/>
      <c r="AJ303" s="120">
        <f t="shared" ca="1" si="756"/>
        <v>0</v>
      </c>
      <c r="AK303" s="120"/>
      <c r="AL303" s="147"/>
      <c r="AM303" s="160"/>
      <c r="AN303" s="160"/>
      <c r="AO303" s="160"/>
      <c r="AP303" s="160"/>
      <c r="AQ303" s="160"/>
      <c r="AR303" s="160"/>
      <c r="AS303" s="160"/>
      <c r="AT303" s="160"/>
      <c r="AU303" s="160"/>
      <c r="AV303" s="160"/>
      <c r="AW303" s="160"/>
      <c r="AX303" s="160"/>
      <c r="AY303" s="160"/>
      <c r="AZ303" s="160"/>
      <c r="BA303" s="160"/>
      <c r="BB303" s="160"/>
      <c r="BC303" s="160"/>
      <c r="BD303" s="160"/>
      <c r="BE303" s="160"/>
      <c r="BF303" s="160"/>
      <c r="BG303" s="160"/>
      <c r="BS303" s="13">
        <v>2</v>
      </c>
      <c r="BT303" s="128">
        <v>44491</v>
      </c>
      <c r="BU303" s="121" t="s">
        <v>8</v>
      </c>
      <c r="BV303" s="120" t="s">
        <v>482</v>
      </c>
      <c r="BW303" s="121" t="s">
        <v>502</v>
      </c>
      <c r="BX303" s="120">
        <v>18400</v>
      </c>
      <c r="BY303" s="120">
        <v>41.7</v>
      </c>
      <c r="BZ303" s="120">
        <v>47.945</v>
      </c>
      <c r="CA303" s="124">
        <v>-3216.6708800000001</v>
      </c>
      <c r="CB303" s="120">
        <v>1.1497601918465228</v>
      </c>
      <c r="CC303" s="120">
        <v>500</v>
      </c>
      <c r="CD303" s="120">
        <v>50</v>
      </c>
      <c r="CE303" s="124">
        <v>20850</v>
      </c>
    </row>
    <row r="304" spans="1:83" hidden="1">
      <c r="A304" s="13">
        <f t="shared" ca="1" si="753"/>
        <v>297</v>
      </c>
      <c r="B304" s="128">
        <v>44708</v>
      </c>
      <c r="C304" s="121" t="s">
        <v>6</v>
      </c>
      <c r="D304" s="121">
        <v>1</v>
      </c>
      <c r="E304" s="120" t="s">
        <v>632</v>
      </c>
      <c r="F304" s="121" t="s">
        <v>506</v>
      </c>
      <c r="G304" s="120"/>
      <c r="H304" s="122">
        <v>44770</v>
      </c>
      <c r="I304" s="120">
        <v>25</v>
      </c>
      <c r="J304" s="120">
        <v>35580</v>
      </c>
      <c r="K304" s="120">
        <v>35179.550000000003</v>
      </c>
      <c r="L304" s="124">
        <f t="shared" ref="L304:L305" ca="1" si="1107">IF(AND(K304&lt;&gt;0,I304&lt;&gt;0),(IF(C304="B",1,-1))*(K304-J304)*I304-AK304*2,0)*$D304*IF(MONTH($B$2)=MONTH($H304),1,0)</f>
        <v>-10011.249999999927</v>
      </c>
      <c r="M304" s="124">
        <f t="shared" ref="M304:M305" ca="1" si="1108">IF(AND(K304&lt;&gt;0,I304&lt;&gt;0),(IF(C304="B",1,-1))*(K304-J304)*I304-AK304*2,0)*$D304</f>
        <v>-10011.249999999927</v>
      </c>
      <c r="N304" s="120">
        <f t="shared" ref="N304:N305" ca="1" si="1109">K304/$J304</f>
        <v>0.98874508150646434</v>
      </c>
      <c r="O304" s="164">
        <f t="shared" ref="O304:O305" ca="1" si="1110">J304*(1+$O$6*IF(C304="B",-1,1))</f>
        <v>26685</v>
      </c>
      <c r="P304" s="168">
        <f t="shared" ca="1" si="754"/>
        <v>889500</v>
      </c>
      <c r="Q304" s="168" t="e">
        <f t="shared" ref="Q304:Q305" ca="1" si="1111">(W304-J304)*I304*IF(C304="B",1,-1)*IF(K304=0,1,0)</f>
        <v>#N/A</v>
      </c>
      <c r="R304" s="184">
        <f t="shared" ca="1" si="876"/>
        <v>0</v>
      </c>
      <c r="S304" s="124">
        <f t="shared" ref="S304:S305" ca="1" si="1112">(1-$S$6)*J304</f>
        <v>3557.9999999999991</v>
      </c>
      <c r="T304" s="120">
        <f ca="1">VLOOKUP(TRIM($F304),Reference!B:C,2,0)</f>
        <v>34651.199999999997</v>
      </c>
      <c r="U304" s="181">
        <f t="shared" ref="U304:U305" ca="1" si="1113">AC304</f>
        <v>0</v>
      </c>
      <c r="V304" s="125" t="str">
        <f t="shared" ca="1" si="865"/>
        <v>BANKNIFTY22JULFUT</v>
      </c>
      <c r="W304" s="166" t="e">
        <f ca="1">VLOOKUP($V304,Reference!BA:BD,4,0)</f>
        <v>#N/A</v>
      </c>
      <c r="X304" s="168">
        <f t="shared" ca="1" si="866"/>
        <v>0</v>
      </c>
      <c r="Y304" s="168">
        <f t="shared" ca="1" si="867"/>
        <v>0</v>
      </c>
      <c r="Z304" s="168">
        <f t="shared" ca="1" si="879"/>
        <v>0</v>
      </c>
      <c r="AA304" s="168">
        <f t="shared" ca="1" si="868"/>
        <v>0</v>
      </c>
      <c r="AB304" s="168">
        <f t="shared" ca="1" si="869"/>
        <v>0</v>
      </c>
      <c r="AC304" s="124">
        <f t="shared" ca="1" si="870"/>
        <v>0</v>
      </c>
      <c r="AD304" s="120">
        <f t="shared" ref="AD304:AD305" ca="1" si="1114">(H304-TODAY())/365</f>
        <v>3.5616438356164383E-2</v>
      </c>
      <c r="AE304" s="120">
        <f t="shared" ref="AE304:AE305" ca="1" si="1115">IF(I304&lt;&gt;0,20,0)</f>
        <v>20</v>
      </c>
      <c r="AF304" s="120"/>
      <c r="AG304" s="120"/>
      <c r="AH304" s="120">
        <f t="shared" ca="1" si="755"/>
        <v>0</v>
      </c>
      <c r="AI304" s="120"/>
      <c r="AJ304" s="120">
        <f t="shared" ca="1" si="756"/>
        <v>26.685000000000002</v>
      </c>
      <c r="AK304" s="120"/>
      <c r="AL304" s="147"/>
      <c r="AM304" s="160"/>
      <c r="AN304" s="160"/>
      <c r="AO304" s="160"/>
      <c r="AP304" s="160"/>
      <c r="AQ304" s="160"/>
      <c r="AR304" s="160"/>
      <c r="AS304" s="160"/>
      <c r="AT304" s="160"/>
      <c r="AU304" s="160"/>
      <c r="AV304" s="160"/>
      <c r="AW304" s="160"/>
      <c r="AX304" s="160"/>
      <c r="AY304" s="160"/>
      <c r="AZ304" s="160"/>
      <c r="BA304" s="160"/>
      <c r="BB304" s="160"/>
      <c r="BC304" s="160"/>
      <c r="BD304" s="160"/>
      <c r="BE304" s="160"/>
      <c r="BF304" s="160"/>
      <c r="BG304" s="160"/>
      <c r="BS304" s="13">
        <v>2</v>
      </c>
      <c r="BT304" s="128">
        <v>44491</v>
      </c>
      <c r="BU304" s="121" t="s">
        <v>8</v>
      </c>
      <c r="BV304" s="120" t="s">
        <v>482</v>
      </c>
      <c r="BW304" s="121" t="s">
        <v>502</v>
      </c>
      <c r="BX304" s="120">
        <v>18400</v>
      </c>
      <c r="BY304" s="120">
        <v>41.7</v>
      </c>
      <c r="BZ304" s="120">
        <v>47.945</v>
      </c>
      <c r="CA304" s="124">
        <v>-3216.6708800000001</v>
      </c>
      <c r="CB304" s="120">
        <v>1.1497601918465228</v>
      </c>
      <c r="CC304" s="120">
        <v>500</v>
      </c>
      <c r="CD304" s="120">
        <v>50</v>
      </c>
      <c r="CE304" s="124">
        <v>20850</v>
      </c>
    </row>
    <row r="305" spans="1:83" hidden="1">
      <c r="A305" s="13">
        <f t="shared" ca="1" si="753"/>
        <v>298</v>
      </c>
      <c r="B305" s="128">
        <v>44708</v>
      </c>
      <c r="C305" s="121" t="s">
        <v>8</v>
      </c>
      <c r="D305" s="121">
        <v>1</v>
      </c>
      <c r="E305" s="120" t="s">
        <v>481</v>
      </c>
      <c r="F305" s="121" t="s">
        <v>399</v>
      </c>
      <c r="G305" s="120">
        <v>1680</v>
      </c>
      <c r="H305" s="122">
        <v>44742</v>
      </c>
      <c r="I305" s="120">
        <v>575</v>
      </c>
      <c r="J305" s="120">
        <v>20</v>
      </c>
      <c r="K305" s="120">
        <v>0.15</v>
      </c>
      <c r="L305" s="124">
        <f t="shared" ca="1" si="1107"/>
        <v>0</v>
      </c>
      <c r="M305" s="124">
        <f t="shared" ca="1" si="1108"/>
        <v>11413.75</v>
      </c>
      <c r="N305" s="120">
        <f t="shared" ca="1" si="1109"/>
        <v>7.4999999999999997E-3</v>
      </c>
      <c r="O305" s="164">
        <f t="shared" ca="1" si="1110"/>
        <v>25</v>
      </c>
      <c r="P305" s="168">
        <f t="shared" ca="1" si="754"/>
        <v>11500</v>
      </c>
      <c r="Q305" s="168" t="e">
        <f t="shared" ca="1" si="1111"/>
        <v>#N/A</v>
      </c>
      <c r="R305" s="184">
        <f t="shared" ca="1" si="876"/>
        <v>0</v>
      </c>
      <c r="S305" s="124">
        <f t="shared" ca="1" si="1112"/>
        <v>1.9999999999999996</v>
      </c>
      <c r="T305" s="120">
        <f ca="1">VLOOKUP(TRIM($F305),Reference!B:C,2,0)</f>
        <v>1646</v>
      </c>
      <c r="U305" s="181">
        <f t="shared" ca="1" si="1113"/>
        <v>0</v>
      </c>
      <c r="V305" s="125" t="str">
        <f t="shared" ca="1" si="865"/>
        <v>LT22JUN1680CE</v>
      </c>
      <c r="W305" s="166" t="e">
        <f ca="1">VLOOKUP($V305,Reference!BA:BD,4,0)</f>
        <v>#N/A</v>
      </c>
      <c r="X305" s="168">
        <f t="shared" ca="1" si="866"/>
        <v>0</v>
      </c>
      <c r="Y305" s="168">
        <f t="shared" ca="1" si="867"/>
        <v>0</v>
      </c>
      <c r="Z305" s="168">
        <f t="shared" ca="1" si="879"/>
        <v>0</v>
      </c>
      <c r="AA305" s="168">
        <f t="shared" ca="1" si="868"/>
        <v>0</v>
      </c>
      <c r="AB305" s="168">
        <f t="shared" ca="1" si="869"/>
        <v>0</v>
      </c>
      <c r="AC305" s="124">
        <f t="shared" ca="1" si="870"/>
        <v>0</v>
      </c>
      <c r="AD305" s="120">
        <f t="shared" ca="1" si="1114"/>
        <v>-4.1095890410958902E-2</v>
      </c>
      <c r="AE305" s="120">
        <f t="shared" ca="1" si="1115"/>
        <v>20</v>
      </c>
      <c r="AF305" s="120"/>
      <c r="AG305" s="120"/>
      <c r="AH305" s="120">
        <f t="shared" ca="1" si="755"/>
        <v>5.75</v>
      </c>
      <c r="AI305" s="120"/>
      <c r="AJ305" s="120">
        <f t="shared" ca="1" si="756"/>
        <v>0</v>
      </c>
      <c r="AK305" s="120"/>
      <c r="AL305" s="147"/>
      <c r="AM305" s="160"/>
      <c r="AN305" s="160"/>
      <c r="AO305" s="160"/>
      <c r="AP305" s="160"/>
      <c r="AQ305" s="160"/>
      <c r="AR305" s="160"/>
      <c r="AS305" s="160"/>
      <c r="AT305" s="160"/>
      <c r="AU305" s="160"/>
      <c r="AV305" s="160"/>
      <c r="AW305" s="160"/>
      <c r="AX305" s="160"/>
      <c r="AY305" s="160"/>
      <c r="AZ305" s="160"/>
      <c r="BA305" s="160"/>
      <c r="BB305" s="160"/>
      <c r="BC305" s="160"/>
      <c r="BD305" s="160"/>
      <c r="BE305" s="160"/>
      <c r="BF305" s="160"/>
      <c r="BG305" s="160"/>
      <c r="BS305" s="13">
        <v>2</v>
      </c>
      <c r="BT305" s="128">
        <v>44491</v>
      </c>
      <c r="BU305" s="121" t="s">
        <v>8</v>
      </c>
      <c r="BV305" s="120" t="s">
        <v>482</v>
      </c>
      <c r="BW305" s="121" t="s">
        <v>502</v>
      </c>
      <c r="BX305" s="120">
        <v>18400</v>
      </c>
      <c r="BY305" s="120">
        <v>41.7</v>
      </c>
      <c r="BZ305" s="120">
        <v>47.945</v>
      </c>
      <c r="CA305" s="124">
        <v>-3216.6708800000001</v>
      </c>
      <c r="CB305" s="120">
        <v>1.1497601918465228</v>
      </c>
      <c r="CC305" s="120">
        <v>500</v>
      </c>
      <c r="CD305" s="120">
        <v>50</v>
      </c>
      <c r="CE305" s="124">
        <v>20850</v>
      </c>
    </row>
    <row r="306" spans="1:83" hidden="1">
      <c r="A306" s="13">
        <f t="shared" ca="1" si="753"/>
        <v>299</v>
      </c>
      <c r="B306" s="128">
        <v>44708</v>
      </c>
      <c r="C306" s="121" t="s">
        <v>8</v>
      </c>
      <c r="D306" s="121">
        <v>1</v>
      </c>
      <c r="E306" s="120" t="s">
        <v>481</v>
      </c>
      <c r="F306" s="121" t="s">
        <v>284</v>
      </c>
      <c r="G306" s="120">
        <v>460</v>
      </c>
      <c r="H306" s="122">
        <v>44742</v>
      </c>
      <c r="I306" s="120">
        <v>1425</v>
      </c>
      <c r="J306" s="120">
        <v>10.199999999999999</v>
      </c>
      <c r="K306" s="120">
        <v>0.3</v>
      </c>
      <c r="L306" s="124">
        <f t="shared" ref="L306" ca="1" si="1116">IF(AND(K306&lt;&gt;0,I306&lt;&gt;0),(IF(C306="B",1,-1))*(K306-J306)*I306-AK306*2,0)*$D306*IF(MONTH($B$2)=MONTH($H306),1,0)</f>
        <v>0</v>
      </c>
      <c r="M306" s="124">
        <f t="shared" ref="M306" ca="1" si="1117">IF(AND(K306&lt;&gt;0,I306&lt;&gt;0),(IF(C306="B",1,-1))*(K306-J306)*I306-AK306*2,0)*$D306</f>
        <v>14107.499999999998</v>
      </c>
      <c r="N306" s="120">
        <f t="shared" ref="N306" ca="1" si="1118">K306/$J306</f>
        <v>2.9411764705882353E-2</v>
      </c>
      <c r="O306" s="164">
        <f t="shared" ref="O306" ca="1" si="1119">J306*(1+$O$6*IF(C306="B",-1,1))</f>
        <v>12.75</v>
      </c>
      <c r="P306" s="168">
        <f t="shared" ca="1" si="754"/>
        <v>14534.999999999998</v>
      </c>
      <c r="Q306" s="168" t="e">
        <f t="shared" ref="Q306" ca="1" si="1120">(W306-J306)*I306*IF(C306="B",1,-1)*IF(K306=0,1,0)</f>
        <v>#N/A</v>
      </c>
      <c r="R306" s="184">
        <f t="shared" ca="1" si="876"/>
        <v>0</v>
      </c>
      <c r="S306" s="124">
        <f t="shared" ref="S306" ca="1" si="1121">(1-$S$6)*J306</f>
        <v>1.0199999999999998</v>
      </c>
      <c r="T306" s="120">
        <f ca="1">VLOOKUP(TRIM($F306),Reference!B:C,2,0)</f>
        <v>428</v>
      </c>
      <c r="U306" s="181">
        <f t="shared" ref="U306" ca="1" si="1122">AC306</f>
        <v>0</v>
      </c>
      <c r="V306" s="125" t="str">
        <f t="shared" ca="1" si="865"/>
        <v>TATAMOTORS22JUN460CE</v>
      </c>
      <c r="W306" s="166" t="e">
        <f ca="1">VLOOKUP($V306,Reference!BA:BD,4,0)</f>
        <v>#N/A</v>
      </c>
      <c r="X306" s="168">
        <f t="shared" ca="1" si="866"/>
        <v>0</v>
      </c>
      <c r="Y306" s="168">
        <f t="shared" ca="1" si="867"/>
        <v>0</v>
      </c>
      <c r="Z306" s="168">
        <f t="shared" ca="1" si="879"/>
        <v>0</v>
      </c>
      <c r="AA306" s="168">
        <f t="shared" ca="1" si="868"/>
        <v>0</v>
      </c>
      <c r="AB306" s="168">
        <f t="shared" ca="1" si="869"/>
        <v>0</v>
      </c>
      <c r="AC306" s="124">
        <f t="shared" ca="1" si="870"/>
        <v>0</v>
      </c>
      <c r="AD306" s="120">
        <f t="shared" ref="AD306" ca="1" si="1123">(H306-TODAY())/365</f>
        <v>-4.1095890410958902E-2</v>
      </c>
      <c r="AE306" s="120">
        <f t="shared" ref="AE306" ca="1" si="1124">IF(I306&lt;&gt;0,20,0)</f>
        <v>20</v>
      </c>
      <c r="AF306" s="120"/>
      <c r="AG306" s="120"/>
      <c r="AH306" s="120">
        <f t="shared" ca="1" si="755"/>
        <v>7.2674999999999992</v>
      </c>
      <c r="AI306" s="120"/>
      <c r="AJ306" s="120">
        <f t="shared" ca="1" si="756"/>
        <v>0</v>
      </c>
      <c r="AK306" s="120"/>
      <c r="AL306" s="147"/>
      <c r="AM306" s="160"/>
      <c r="AN306" s="160"/>
      <c r="AO306" s="160"/>
      <c r="AP306" s="160"/>
      <c r="AQ306" s="160"/>
      <c r="AR306" s="160"/>
      <c r="AS306" s="160"/>
      <c r="AT306" s="160"/>
      <c r="AU306" s="160"/>
      <c r="AV306" s="160"/>
      <c r="AW306" s="160"/>
      <c r="AX306" s="160"/>
      <c r="AY306" s="160"/>
      <c r="AZ306" s="160"/>
      <c r="BA306" s="160"/>
      <c r="BB306" s="160"/>
      <c r="BC306" s="160"/>
      <c r="BD306" s="160"/>
      <c r="BE306" s="160"/>
      <c r="BF306" s="160"/>
      <c r="BG306" s="160"/>
      <c r="BS306" s="13">
        <v>2</v>
      </c>
      <c r="BT306" s="128">
        <v>44491</v>
      </c>
      <c r="BU306" s="121" t="s">
        <v>8</v>
      </c>
      <c r="BV306" s="120" t="s">
        <v>482</v>
      </c>
      <c r="BW306" s="121" t="s">
        <v>502</v>
      </c>
      <c r="BX306" s="120">
        <v>18400</v>
      </c>
      <c r="BY306" s="120">
        <v>41.7</v>
      </c>
      <c r="BZ306" s="120">
        <v>47.945</v>
      </c>
      <c r="CA306" s="124">
        <v>-3216.6708800000001</v>
      </c>
      <c r="CB306" s="120">
        <v>1.1497601918465228</v>
      </c>
      <c r="CC306" s="120">
        <v>500</v>
      </c>
      <c r="CD306" s="120">
        <v>50</v>
      </c>
      <c r="CE306" s="124">
        <v>20850</v>
      </c>
    </row>
    <row r="307" spans="1:83" hidden="1">
      <c r="A307" s="13">
        <f t="shared" ca="1" si="753"/>
        <v>300</v>
      </c>
      <c r="B307" s="128">
        <v>44708</v>
      </c>
      <c r="C307" s="121" t="s">
        <v>8</v>
      </c>
      <c r="D307" s="121">
        <v>1</v>
      </c>
      <c r="E307" s="120" t="s">
        <v>481</v>
      </c>
      <c r="F307" s="121" t="s">
        <v>390</v>
      </c>
      <c r="G307" s="120">
        <v>2500</v>
      </c>
      <c r="H307" s="122">
        <v>44742</v>
      </c>
      <c r="I307" s="120">
        <v>375</v>
      </c>
      <c r="J307" s="120">
        <v>55</v>
      </c>
      <c r="K307" s="120">
        <v>63.2</v>
      </c>
      <c r="L307" s="124">
        <f t="shared" ref="L307" ca="1" si="1125">IF(AND(K307&lt;&gt;0,I307&lt;&gt;0),(IF(C307="B",1,-1))*(K307-J307)*I307-AK307*2,0)*$D307*IF(MONTH($B$2)=MONTH($H307),1,0)</f>
        <v>0</v>
      </c>
      <c r="M307" s="124">
        <f t="shared" ref="M307" ca="1" si="1126">IF(AND(K307&lt;&gt;0,I307&lt;&gt;0),(IF(C307="B",1,-1))*(K307-J307)*I307-AK307*2,0)*$D307</f>
        <v>-3075.0000000000009</v>
      </c>
      <c r="N307" s="120">
        <f t="shared" ref="N307" ca="1" si="1127">K307/$J307</f>
        <v>1.1490909090909092</v>
      </c>
      <c r="O307" s="164">
        <f t="shared" ref="O307" ca="1" si="1128">J307*(1+$O$6*IF(C307="B",-1,1))</f>
        <v>68.75</v>
      </c>
      <c r="P307" s="168">
        <f t="shared" ca="1" si="754"/>
        <v>20625</v>
      </c>
      <c r="Q307" s="168" t="e">
        <f t="shared" ref="Q307" ca="1" si="1129">(W307-J307)*I307*IF(C307="B",1,-1)*IF(K307=0,1,0)</f>
        <v>#N/A</v>
      </c>
      <c r="R307" s="184">
        <f t="shared" ca="1" si="876"/>
        <v>0</v>
      </c>
      <c r="S307" s="124">
        <f t="shared" ref="S307" ca="1" si="1130">(1-$S$6)*J307</f>
        <v>5.4999999999999991</v>
      </c>
      <c r="T307" s="120">
        <f ca="1">VLOOKUP(TRIM($F307),Reference!B:C,2,0)</f>
        <v>2214</v>
      </c>
      <c r="U307" s="181">
        <f t="shared" ref="U307" ca="1" si="1131">AC307</f>
        <v>0</v>
      </c>
      <c r="V307" s="125" t="str">
        <f t="shared" ca="1" si="865"/>
        <v>SRF22JUN2500CE</v>
      </c>
      <c r="W307" s="166" t="e">
        <f ca="1">VLOOKUP($V307,Reference!BA:BD,4,0)</f>
        <v>#N/A</v>
      </c>
      <c r="X307" s="168">
        <f t="shared" ca="1" si="866"/>
        <v>0</v>
      </c>
      <c r="Y307" s="168">
        <f t="shared" ca="1" si="867"/>
        <v>0</v>
      </c>
      <c r="Z307" s="168">
        <f t="shared" ca="1" si="879"/>
        <v>0</v>
      </c>
      <c r="AA307" s="168">
        <f t="shared" ca="1" si="868"/>
        <v>0</v>
      </c>
      <c r="AB307" s="168">
        <f t="shared" ca="1" si="869"/>
        <v>0</v>
      </c>
      <c r="AC307" s="124">
        <f t="shared" ca="1" si="870"/>
        <v>0</v>
      </c>
      <c r="AD307" s="120">
        <f t="shared" ref="AD307" ca="1" si="1132">(H307-TODAY())/365</f>
        <v>-4.1095890410958902E-2</v>
      </c>
      <c r="AE307" s="120">
        <f t="shared" ref="AE307" ca="1" si="1133">IF(I307&lt;&gt;0,20,0)</f>
        <v>20</v>
      </c>
      <c r="AF307" s="120"/>
      <c r="AG307" s="120"/>
      <c r="AH307" s="120">
        <f t="shared" ca="1" si="755"/>
        <v>10.3125</v>
      </c>
      <c r="AI307" s="120"/>
      <c r="AJ307" s="120">
        <f t="shared" ca="1" si="756"/>
        <v>0</v>
      </c>
      <c r="AK307" s="120"/>
      <c r="AL307" s="147"/>
      <c r="AM307" s="160"/>
      <c r="AN307" s="160"/>
      <c r="AO307" s="160"/>
      <c r="AP307" s="160"/>
      <c r="AQ307" s="160"/>
      <c r="AR307" s="160"/>
      <c r="AS307" s="160"/>
      <c r="AT307" s="160"/>
      <c r="AU307" s="160"/>
      <c r="AV307" s="160"/>
      <c r="AW307" s="160"/>
      <c r="AX307" s="160"/>
      <c r="AY307" s="160"/>
      <c r="AZ307" s="160"/>
      <c r="BA307" s="160"/>
      <c r="BB307" s="160"/>
      <c r="BC307" s="160"/>
      <c r="BD307" s="160"/>
      <c r="BE307" s="160"/>
      <c r="BF307" s="160"/>
      <c r="BG307" s="160"/>
      <c r="BS307" s="13">
        <v>2</v>
      </c>
      <c r="BT307" s="128">
        <v>44491</v>
      </c>
      <c r="BU307" s="121" t="s">
        <v>8</v>
      </c>
      <c r="BV307" s="120" t="s">
        <v>482</v>
      </c>
      <c r="BW307" s="121" t="s">
        <v>502</v>
      </c>
      <c r="BX307" s="120">
        <v>18400</v>
      </c>
      <c r="BY307" s="120">
        <v>41.7</v>
      </c>
      <c r="BZ307" s="120">
        <v>47.945</v>
      </c>
      <c r="CA307" s="124">
        <v>-3216.6708800000001</v>
      </c>
      <c r="CB307" s="120">
        <v>1.1497601918465228</v>
      </c>
      <c r="CC307" s="120">
        <v>500</v>
      </c>
      <c r="CD307" s="120">
        <v>50</v>
      </c>
      <c r="CE307" s="124">
        <v>20850</v>
      </c>
    </row>
    <row r="308" spans="1:83" hidden="1">
      <c r="A308" s="13">
        <f t="shared" ca="1" si="753"/>
        <v>301</v>
      </c>
      <c r="B308" s="128">
        <v>44708</v>
      </c>
      <c r="C308" s="121" t="s">
        <v>8</v>
      </c>
      <c r="D308" s="121">
        <v>1</v>
      </c>
      <c r="E308" s="120" t="s">
        <v>481</v>
      </c>
      <c r="F308" s="121" t="s">
        <v>130</v>
      </c>
      <c r="G308" s="120">
        <v>250</v>
      </c>
      <c r="H308" s="122">
        <v>44742</v>
      </c>
      <c r="I308" s="120">
        <v>3375</v>
      </c>
      <c r="J308" s="120">
        <v>3.3</v>
      </c>
      <c r="K308" s="120">
        <v>0.1</v>
      </c>
      <c r="L308" s="124">
        <f t="shared" ref="L308:L310" ca="1" si="1134">IF(AND(K308&lt;&gt;0,I308&lt;&gt;0),(IF(C308="B",1,-1))*(K308-J308)*I308-AK308*2,0)*$D308*IF(MONTH($B$2)=MONTH($H308),1,0)</f>
        <v>0</v>
      </c>
      <c r="M308" s="124">
        <f t="shared" ref="M308:M310" ca="1" si="1135">IF(AND(K308&lt;&gt;0,I308&lt;&gt;0),(IF(C308="B",1,-1))*(K308-J308)*I308-AK308*2,0)*$D308</f>
        <v>10800</v>
      </c>
      <c r="N308" s="120">
        <f t="shared" ref="N308:N310" ca="1" si="1136">K308/$J308</f>
        <v>3.0303030303030307E-2</v>
      </c>
      <c r="O308" s="164">
        <f t="shared" ref="O308:O310" ca="1" si="1137">J308*(1+$O$6*IF(C308="B",-1,1))</f>
        <v>4.125</v>
      </c>
      <c r="P308" s="168">
        <f t="shared" ca="1" si="754"/>
        <v>11137.5</v>
      </c>
      <c r="Q308" s="168" t="e">
        <f t="shared" ref="Q308:Q310" ca="1" si="1138">(W308-J308)*I308*IF(C308="B",1,-1)*IF(K308=0,1,0)</f>
        <v>#N/A</v>
      </c>
      <c r="R308" s="184">
        <f t="shared" ca="1" si="876"/>
        <v>0</v>
      </c>
      <c r="S308" s="124">
        <f t="shared" ref="S308:S310" ca="1" si="1139">(1-$S$6)*J308</f>
        <v>0.3299999999999999</v>
      </c>
      <c r="T308" s="120">
        <f ca="1">VLOOKUP(TRIM($F308),Reference!B:C,2,0)</f>
        <v>221.6</v>
      </c>
      <c r="U308" s="181">
        <f t="shared" ref="U308:U310" ca="1" si="1140">AC308</f>
        <v>0</v>
      </c>
      <c r="V308" s="125" t="str">
        <f t="shared" ca="1" si="865"/>
        <v>TATAPOWER22JUN250CE</v>
      </c>
      <c r="W308" s="166" t="e">
        <f ca="1">VLOOKUP($V308,Reference!BA:BD,4,0)</f>
        <v>#N/A</v>
      </c>
      <c r="X308" s="168">
        <f t="shared" ca="1" si="866"/>
        <v>0</v>
      </c>
      <c r="Y308" s="168">
        <f t="shared" ca="1" si="867"/>
        <v>0</v>
      </c>
      <c r="Z308" s="168">
        <f t="shared" ca="1" si="879"/>
        <v>0</v>
      </c>
      <c r="AA308" s="168">
        <f t="shared" ca="1" si="868"/>
        <v>0</v>
      </c>
      <c r="AB308" s="168">
        <f t="shared" ca="1" si="869"/>
        <v>0</v>
      </c>
      <c r="AC308" s="124">
        <f t="shared" ca="1" si="870"/>
        <v>0</v>
      </c>
      <c r="AD308" s="120">
        <f t="shared" ref="AD308:AD310" ca="1" si="1141">(H308-TODAY())/365</f>
        <v>-4.1095890410958902E-2</v>
      </c>
      <c r="AE308" s="120">
        <f t="shared" ref="AE308:AE310" ca="1" si="1142">IF(I308&lt;&gt;0,20,0)</f>
        <v>20</v>
      </c>
      <c r="AF308" s="120"/>
      <c r="AG308" s="120"/>
      <c r="AH308" s="120">
        <f t="shared" ca="1" si="755"/>
        <v>5.5687500000000005</v>
      </c>
      <c r="AI308" s="120"/>
      <c r="AJ308" s="120">
        <f t="shared" ca="1" si="756"/>
        <v>0</v>
      </c>
      <c r="AK308" s="120"/>
      <c r="AL308" s="147"/>
      <c r="AM308" s="160"/>
      <c r="AN308" s="160"/>
      <c r="AO308" s="160"/>
      <c r="AP308" s="160"/>
      <c r="AQ308" s="160"/>
      <c r="AR308" s="160"/>
      <c r="AS308" s="160"/>
      <c r="AT308" s="160"/>
      <c r="AU308" s="160"/>
      <c r="AV308" s="160"/>
      <c r="AW308" s="160"/>
      <c r="AX308" s="160"/>
      <c r="AY308" s="160"/>
      <c r="AZ308" s="160"/>
      <c r="BA308" s="160"/>
      <c r="BB308" s="160"/>
      <c r="BC308" s="160"/>
      <c r="BD308" s="160"/>
      <c r="BE308" s="160"/>
      <c r="BF308" s="160"/>
      <c r="BG308" s="160"/>
      <c r="BS308" s="13">
        <v>2</v>
      </c>
      <c r="BT308" s="128">
        <v>44491</v>
      </c>
      <c r="BU308" s="121" t="s">
        <v>8</v>
      </c>
      <c r="BV308" s="120" t="s">
        <v>482</v>
      </c>
      <c r="BW308" s="121" t="s">
        <v>502</v>
      </c>
      <c r="BX308" s="120">
        <v>18400</v>
      </c>
      <c r="BY308" s="120">
        <v>41.7</v>
      </c>
      <c r="BZ308" s="120">
        <v>47.945</v>
      </c>
      <c r="CA308" s="124">
        <v>-3216.6708800000001</v>
      </c>
      <c r="CB308" s="120">
        <v>1.1497601918465228</v>
      </c>
      <c r="CC308" s="120">
        <v>500</v>
      </c>
      <c r="CD308" s="120">
        <v>50</v>
      </c>
      <c r="CE308" s="124">
        <v>20850</v>
      </c>
    </row>
    <row r="309" spans="1:83" hidden="1">
      <c r="A309" s="13">
        <f t="shared" ca="1" si="753"/>
        <v>302</v>
      </c>
      <c r="B309" s="128">
        <v>44708</v>
      </c>
      <c r="C309" s="121" t="s">
        <v>6</v>
      </c>
      <c r="D309" s="121">
        <v>1</v>
      </c>
      <c r="E309" s="120" t="s">
        <v>482</v>
      </c>
      <c r="F309" s="121" t="s">
        <v>399</v>
      </c>
      <c r="G309" s="120">
        <v>1560</v>
      </c>
      <c r="H309" s="122">
        <v>44742</v>
      </c>
      <c r="I309" s="120">
        <v>575</v>
      </c>
      <c r="J309" s="120">
        <v>40.200000000000003</v>
      </c>
      <c r="K309" s="120">
        <v>24.1</v>
      </c>
      <c r="L309" s="124">
        <f t="shared" ca="1" si="1134"/>
        <v>0</v>
      </c>
      <c r="M309" s="124">
        <f t="shared" ca="1" si="1135"/>
        <v>-9257.5</v>
      </c>
      <c r="N309" s="120">
        <f t="shared" ca="1" si="1136"/>
        <v>0.59950248756218905</v>
      </c>
      <c r="O309" s="164">
        <f t="shared" ca="1" si="1137"/>
        <v>30.150000000000002</v>
      </c>
      <c r="P309" s="168">
        <f t="shared" ca="1" si="754"/>
        <v>23115</v>
      </c>
      <c r="Q309" s="168" t="e">
        <f t="shared" ca="1" si="1138"/>
        <v>#N/A</v>
      </c>
      <c r="R309" s="184">
        <f t="shared" ca="1" si="876"/>
        <v>0</v>
      </c>
      <c r="S309" s="124">
        <f t="shared" ca="1" si="1139"/>
        <v>4.0199999999999996</v>
      </c>
      <c r="T309" s="120">
        <f ca="1">VLOOKUP(TRIM($F309),Reference!B:C,2,0)</f>
        <v>1646</v>
      </c>
      <c r="U309" s="181">
        <f t="shared" ca="1" si="1140"/>
        <v>0</v>
      </c>
      <c r="V309" s="125" t="str">
        <f t="shared" ca="1" si="865"/>
        <v>LT22JUN1560PE</v>
      </c>
      <c r="W309" s="166" t="e">
        <f ca="1">VLOOKUP($V309,Reference!BA:BD,4,0)</f>
        <v>#N/A</v>
      </c>
      <c r="X309" s="168">
        <f t="shared" ca="1" si="866"/>
        <v>0</v>
      </c>
      <c r="Y309" s="168">
        <f t="shared" ca="1" si="867"/>
        <v>0</v>
      </c>
      <c r="Z309" s="168">
        <f t="shared" ca="1" si="879"/>
        <v>0</v>
      </c>
      <c r="AA309" s="168">
        <f t="shared" ca="1" si="868"/>
        <v>0</v>
      </c>
      <c r="AB309" s="168">
        <f t="shared" ca="1" si="869"/>
        <v>0</v>
      </c>
      <c r="AC309" s="124">
        <f t="shared" ca="1" si="870"/>
        <v>0</v>
      </c>
      <c r="AD309" s="120">
        <f t="shared" ca="1" si="1141"/>
        <v>-4.1095890410958902E-2</v>
      </c>
      <c r="AE309" s="120">
        <f t="shared" ca="1" si="1142"/>
        <v>20</v>
      </c>
      <c r="AF309" s="120"/>
      <c r="AG309" s="120"/>
      <c r="AH309" s="120">
        <f t="shared" ca="1" si="755"/>
        <v>0</v>
      </c>
      <c r="AI309" s="120"/>
      <c r="AJ309" s="120">
        <f t="shared" ca="1" si="756"/>
        <v>0.69345000000000001</v>
      </c>
      <c r="AK309" s="120"/>
      <c r="AL309" s="147"/>
      <c r="AM309" s="160"/>
      <c r="AN309" s="160"/>
      <c r="AO309" s="160"/>
      <c r="AP309" s="160"/>
      <c r="AQ309" s="160"/>
      <c r="AR309" s="160"/>
      <c r="AS309" s="160"/>
      <c r="AT309" s="160"/>
      <c r="AU309" s="160"/>
      <c r="AV309" s="160"/>
      <c r="AW309" s="160"/>
      <c r="AX309" s="160"/>
      <c r="AY309" s="160"/>
      <c r="AZ309" s="160"/>
      <c r="BA309" s="160"/>
      <c r="BB309" s="160"/>
      <c r="BC309" s="160"/>
      <c r="BD309" s="160"/>
      <c r="BE309" s="160"/>
      <c r="BF309" s="160"/>
      <c r="BG309" s="160"/>
      <c r="BS309" s="13">
        <v>2</v>
      </c>
      <c r="BT309" s="128">
        <v>44491</v>
      </c>
      <c r="BU309" s="121" t="s">
        <v>8</v>
      </c>
      <c r="BV309" s="120" t="s">
        <v>482</v>
      </c>
      <c r="BW309" s="121" t="s">
        <v>502</v>
      </c>
      <c r="BX309" s="120">
        <v>18400</v>
      </c>
      <c r="BY309" s="120">
        <v>41.7</v>
      </c>
      <c r="BZ309" s="120">
        <v>47.945</v>
      </c>
      <c r="CA309" s="124">
        <v>-3216.6708800000001</v>
      </c>
      <c r="CB309" s="120">
        <v>1.1497601918465228</v>
      </c>
      <c r="CC309" s="120">
        <v>500</v>
      </c>
      <c r="CD309" s="120">
        <v>50</v>
      </c>
      <c r="CE309" s="124">
        <v>20850</v>
      </c>
    </row>
    <row r="310" spans="1:83" hidden="1">
      <c r="A310" s="13">
        <f t="shared" ca="1" si="753"/>
        <v>303</v>
      </c>
      <c r="B310" s="128">
        <v>44708</v>
      </c>
      <c r="C310" s="121" t="s">
        <v>8</v>
      </c>
      <c r="D310" s="121">
        <v>1</v>
      </c>
      <c r="E310" s="120" t="s">
        <v>481</v>
      </c>
      <c r="F310" s="121" t="s">
        <v>399</v>
      </c>
      <c r="G310" s="120">
        <v>1700</v>
      </c>
      <c r="H310" s="122">
        <v>44742</v>
      </c>
      <c r="I310" s="120">
        <v>575</v>
      </c>
      <c r="J310" s="120">
        <v>14.1</v>
      </c>
      <c r="K310" s="120">
        <v>0.15</v>
      </c>
      <c r="L310" s="124">
        <f t="shared" ca="1" si="1134"/>
        <v>0</v>
      </c>
      <c r="M310" s="124">
        <f t="shared" ca="1" si="1135"/>
        <v>8021.25</v>
      </c>
      <c r="N310" s="120">
        <f t="shared" ca="1" si="1136"/>
        <v>1.0638297872340425E-2</v>
      </c>
      <c r="O310" s="164">
        <f t="shared" ca="1" si="1137"/>
        <v>17.625</v>
      </c>
      <c r="P310" s="168">
        <f t="shared" ca="1" si="754"/>
        <v>8107.5</v>
      </c>
      <c r="Q310" s="168" t="e">
        <f t="shared" ca="1" si="1138"/>
        <v>#N/A</v>
      </c>
      <c r="R310" s="184">
        <f t="shared" ca="1" si="876"/>
        <v>0</v>
      </c>
      <c r="S310" s="124">
        <f t="shared" ca="1" si="1139"/>
        <v>1.4099999999999997</v>
      </c>
      <c r="T310" s="120">
        <f ca="1">VLOOKUP(TRIM($F310),Reference!B:C,2,0)</f>
        <v>1646</v>
      </c>
      <c r="U310" s="181">
        <f t="shared" ca="1" si="1140"/>
        <v>0</v>
      </c>
      <c r="V310" s="125" t="str">
        <f t="shared" ca="1" si="865"/>
        <v>LT22JUN1700CE</v>
      </c>
      <c r="W310" s="166" t="e">
        <f ca="1">VLOOKUP($V310,Reference!BA:BD,4,0)</f>
        <v>#N/A</v>
      </c>
      <c r="X310" s="168">
        <f t="shared" ca="1" si="866"/>
        <v>0</v>
      </c>
      <c r="Y310" s="168">
        <f t="shared" ca="1" si="867"/>
        <v>0</v>
      </c>
      <c r="Z310" s="168">
        <f t="shared" ca="1" si="879"/>
        <v>0</v>
      </c>
      <c r="AA310" s="168">
        <f t="shared" ca="1" si="868"/>
        <v>0</v>
      </c>
      <c r="AB310" s="168">
        <f t="shared" ca="1" si="869"/>
        <v>0</v>
      </c>
      <c r="AC310" s="124">
        <f t="shared" ca="1" si="870"/>
        <v>0</v>
      </c>
      <c r="AD310" s="120">
        <f t="shared" ca="1" si="1141"/>
        <v>-4.1095890410958902E-2</v>
      </c>
      <c r="AE310" s="120">
        <f t="shared" ca="1" si="1142"/>
        <v>20</v>
      </c>
      <c r="AF310" s="120"/>
      <c r="AG310" s="120"/>
      <c r="AH310" s="120">
        <f t="shared" ca="1" si="755"/>
        <v>4.05375</v>
      </c>
      <c r="AI310" s="120"/>
      <c r="AJ310" s="120">
        <f t="shared" ca="1" si="756"/>
        <v>0</v>
      </c>
      <c r="AK310" s="120"/>
      <c r="AL310" s="147"/>
      <c r="AM310" s="160"/>
      <c r="AN310" s="160"/>
      <c r="AO310" s="160"/>
      <c r="AP310" s="160"/>
      <c r="AQ310" s="160"/>
      <c r="AR310" s="160"/>
      <c r="AS310" s="160"/>
      <c r="AT310" s="160"/>
      <c r="AU310" s="160"/>
      <c r="AV310" s="160"/>
      <c r="AW310" s="160"/>
      <c r="AX310" s="160"/>
      <c r="AY310" s="160"/>
      <c r="AZ310" s="160"/>
      <c r="BA310" s="160"/>
      <c r="BB310" s="160"/>
      <c r="BC310" s="160"/>
      <c r="BD310" s="160"/>
      <c r="BE310" s="160"/>
      <c r="BF310" s="160"/>
      <c r="BG310" s="160"/>
      <c r="BS310" s="13">
        <v>2</v>
      </c>
      <c r="BT310" s="128">
        <v>44491</v>
      </c>
      <c r="BU310" s="121" t="s">
        <v>8</v>
      </c>
      <c r="BV310" s="120" t="s">
        <v>482</v>
      </c>
      <c r="BW310" s="121" t="s">
        <v>502</v>
      </c>
      <c r="BX310" s="120">
        <v>18400</v>
      </c>
      <c r="BY310" s="120">
        <v>41.7</v>
      </c>
      <c r="BZ310" s="120">
        <v>47.945</v>
      </c>
      <c r="CA310" s="124">
        <v>-3216.6708800000001</v>
      </c>
      <c r="CB310" s="120">
        <v>1.1497601918465228</v>
      </c>
      <c r="CC310" s="120">
        <v>500</v>
      </c>
      <c r="CD310" s="120">
        <v>50</v>
      </c>
      <c r="CE310" s="124">
        <v>20850</v>
      </c>
    </row>
    <row r="311" spans="1:83" hidden="1">
      <c r="A311" s="13">
        <f t="shared" ca="1" si="753"/>
        <v>304</v>
      </c>
      <c r="B311" s="128">
        <v>44708</v>
      </c>
      <c r="C311" s="121" t="s">
        <v>8</v>
      </c>
      <c r="D311" s="121">
        <v>1</v>
      </c>
      <c r="E311" s="120" t="s">
        <v>481</v>
      </c>
      <c r="F311" s="121" t="s">
        <v>399</v>
      </c>
      <c r="G311" s="120">
        <v>1660</v>
      </c>
      <c r="H311" s="122">
        <v>44742</v>
      </c>
      <c r="I311" s="120">
        <v>575</v>
      </c>
      <c r="J311" s="120">
        <v>23.7</v>
      </c>
      <c r="K311" s="120">
        <v>0.2</v>
      </c>
      <c r="L311" s="124">
        <f t="shared" ref="L311" ca="1" si="1143">IF(AND(K311&lt;&gt;0,I311&lt;&gt;0),(IF(C311="B",1,-1))*(K311-J311)*I311-AK311*2,0)*$D311*IF(MONTH($B$2)=MONTH($H311),1,0)</f>
        <v>0</v>
      </c>
      <c r="M311" s="124">
        <f t="shared" ref="M311" ca="1" si="1144">IF(AND(K311&lt;&gt;0,I311&lt;&gt;0),(IF(C311="B",1,-1))*(K311-J311)*I311-AK311*2,0)*$D311</f>
        <v>13512.5</v>
      </c>
      <c r="N311" s="120">
        <f t="shared" ref="N311" ca="1" si="1145">K311/$J311</f>
        <v>8.4388185654008449E-3</v>
      </c>
      <c r="O311" s="164">
        <f t="shared" ref="O311" ca="1" si="1146">J311*(1+$O$6*IF(C311="B",-1,1))</f>
        <v>29.625</v>
      </c>
      <c r="P311" s="168">
        <f t="shared" ca="1" si="754"/>
        <v>13627.5</v>
      </c>
      <c r="Q311" s="168" t="e">
        <f t="shared" ref="Q311" ca="1" si="1147">(W311-J311)*I311*IF(C311="B",1,-1)*IF(K311=0,1,0)</f>
        <v>#N/A</v>
      </c>
      <c r="R311" s="184">
        <f t="shared" ca="1" si="876"/>
        <v>0</v>
      </c>
      <c r="S311" s="124">
        <f t="shared" ref="S311" ca="1" si="1148">(1-$S$6)*J311</f>
        <v>2.3699999999999992</v>
      </c>
      <c r="T311" s="120">
        <f ca="1">VLOOKUP(TRIM($F311),Reference!B:C,2,0)</f>
        <v>1646</v>
      </c>
      <c r="U311" s="181">
        <f t="shared" ref="U311" ca="1" si="1149">AC311</f>
        <v>0</v>
      </c>
      <c r="V311" s="125" t="str">
        <f t="shared" ca="1" si="865"/>
        <v>LT22JUN1660CE</v>
      </c>
      <c r="W311" s="166" t="e">
        <f ca="1">VLOOKUP($V311,Reference!BA:BD,4,0)</f>
        <v>#N/A</v>
      </c>
      <c r="X311" s="168">
        <f t="shared" ca="1" si="866"/>
        <v>0</v>
      </c>
      <c r="Y311" s="168">
        <f t="shared" ca="1" si="867"/>
        <v>0</v>
      </c>
      <c r="Z311" s="168">
        <f t="shared" ca="1" si="879"/>
        <v>0</v>
      </c>
      <c r="AA311" s="168">
        <f t="shared" ca="1" si="868"/>
        <v>0</v>
      </c>
      <c r="AB311" s="168">
        <f t="shared" ca="1" si="869"/>
        <v>0</v>
      </c>
      <c r="AC311" s="124">
        <f t="shared" ca="1" si="870"/>
        <v>0</v>
      </c>
      <c r="AD311" s="120">
        <f t="shared" ref="AD311" ca="1" si="1150">(H311-TODAY())/365</f>
        <v>-4.1095890410958902E-2</v>
      </c>
      <c r="AE311" s="120">
        <f t="shared" ref="AE311" ca="1" si="1151">IF(I311&lt;&gt;0,20,0)</f>
        <v>20</v>
      </c>
      <c r="AF311" s="120"/>
      <c r="AG311" s="120"/>
      <c r="AH311" s="120">
        <f t="shared" ca="1" si="755"/>
        <v>6.8137499999999998</v>
      </c>
      <c r="AI311" s="120"/>
      <c r="AJ311" s="120">
        <f t="shared" ca="1" si="756"/>
        <v>0</v>
      </c>
      <c r="AK311" s="120"/>
      <c r="AL311" s="147"/>
      <c r="AM311" s="160"/>
      <c r="AN311" s="160"/>
      <c r="AO311" s="160"/>
      <c r="AP311" s="160"/>
      <c r="AQ311" s="160"/>
      <c r="AR311" s="160"/>
      <c r="AS311" s="160"/>
      <c r="AT311" s="160"/>
      <c r="AU311" s="160"/>
      <c r="AV311" s="160"/>
      <c r="AW311" s="160"/>
      <c r="AX311" s="160"/>
      <c r="AY311" s="160"/>
      <c r="AZ311" s="160"/>
      <c r="BA311" s="160"/>
      <c r="BB311" s="160"/>
      <c r="BC311" s="160"/>
      <c r="BD311" s="160"/>
      <c r="BE311" s="160"/>
      <c r="BF311" s="160"/>
      <c r="BG311" s="160"/>
      <c r="BS311" s="13">
        <v>2</v>
      </c>
      <c r="BT311" s="128">
        <v>44491</v>
      </c>
      <c r="BU311" s="121" t="s">
        <v>8</v>
      </c>
      <c r="BV311" s="120" t="s">
        <v>482</v>
      </c>
      <c r="BW311" s="121" t="s">
        <v>502</v>
      </c>
      <c r="BX311" s="120">
        <v>18400</v>
      </c>
      <c r="BY311" s="120">
        <v>41.7</v>
      </c>
      <c r="BZ311" s="120">
        <v>47.945</v>
      </c>
      <c r="CA311" s="124">
        <v>-3216.6708800000001</v>
      </c>
      <c r="CB311" s="120">
        <v>1.1497601918465228</v>
      </c>
      <c r="CC311" s="120">
        <v>500</v>
      </c>
      <c r="CD311" s="120">
        <v>50</v>
      </c>
      <c r="CE311" s="124">
        <v>20850</v>
      </c>
    </row>
    <row r="312" spans="1:83" hidden="1">
      <c r="A312" s="13">
        <f t="shared" ca="1" si="753"/>
        <v>305</v>
      </c>
      <c r="B312" s="128">
        <v>44708</v>
      </c>
      <c r="C312" s="121" t="s">
        <v>8</v>
      </c>
      <c r="D312" s="121">
        <v>1</v>
      </c>
      <c r="E312" s="120" t="s">
        <v>481</v>
      </c>
      <c r="F312" s="121" t="s">
        <v>502</v>
      </c>
      <c r="G312" s="120">
        <v>17000</v>
      </c>
      <c r="H312" s="122">
        <v>44742</v>
      </c>
      <c r="I312" s="120">
        <v>50</v>
      </c>
      <c r="J312" s="120">
        <v>119</v>
      </c>
      <c r="K312" s="120">
        <v>1.35</v>
      </c>
      <c r="L312" s="124">
        <f t="shared" ref="L312" ca="1" si="1152">IF(AND(K312&lt;&gt;0,I312&lt;&gt;0),(IF(C312="B",1,-1))*(K312-J312)*I312-AK312*2,0)*$D312*IF(MONTH($B$2)=MONTH($H312),1,0)</f>
        <v>0</v>
      </c>
      <c r="M312" s="124">
        <f t="shared" ref="M312" ca="1" si="1153">IF(AND(K312&lt;&gt;0,I312&lt;&gt;0),(IF(C312="B",1,-1))*(K312-J312)*I312-AK312*2,0)*$D312</f>
        <v>5882.5</v>
      </c>
      <c r="N312" s="120">
        <f t="shared" ref="N312" ca="1" si="1154">K312/$J312</f>
        <v>1.1344537815126052E-2</v>
      </c>
      <c r="O312" s="164">
        <f t="shared" ref="O312" ca="1" si="1155">J312*(1+$O$6*IF(C312="B",-1,1))</f>
        <v>148.75</v>
      </c>
      <c r="P312" s="168">
        <f t="shared" ca="1" si="754"/>
        <v>5950</v>
      </c>
      <c r="Q312" s="168" t="e">
        <f t="shared" ref="Q312" ca="1" si="1156">(W312-J312)*I312*IF(C312="B",1,-1)*IF(K312=0,1,0)</f>
        <v>#N/A</v>
      </c>
      <c r="R312" s="184">
        <f t="shared" ca="1" si="876"/>
        <v>0</v>
      </c>
      <c r="S312" s="124">
        <f t="shared" ref="S312" ca="1" si="1157">(1-$S$6)*J312</f>
        <v>11.899999999999997</v>
      </c>
      <c r="T312" s="120">
        <f ca="1">VLOOKUP(TRIM($F312),Reference!B:C,2,0)</f>
        <v>15938.65</v>
      </c>
      <c r="U312" s="181">
        <f t="shared" ref="U312" ca="1" si="1158">AC312</f>
        <v>0</v>
      </c>
      <c r="V312" s="125" t="str">
        <f t="shared" ca="1" si="865"/>
        <v>NIFTY22JUN17000CE</v>
      </c>
      <c r="W312" s="166" t="e">
        <f ca="1">VLOOKUP($V312,Reference!BA:BD,4,0)</f>
        <v>#N/A</v>
      </c>
      <c r="X312" s="168">
        <f t="shared" ca="1" si="866"/>
        <v>0</v>
      </c>
      <c r="Y312" s="168">
        <f t="shared" ca="1" si="867"/>
        <v>0</v>
      </c>
      <c r="Z312" s="168">
        <f t="shared" ca="1" si="879"/>
        <v>0</v>
      </c>
      <c r="AA312" s="168">
        <f t="shared" ca="1" si="868"/>
        <v>0</v>
      </c>
      <c r="AB312" s="168">
        <f t="shared" ca="1" si="869"/>
        <v>0</v>
      </c>
      <c r="AC312" s="124">
        <f t="shared" ca="1" si="870"/>
        <v>0</v>
      </c>
      <c r="AD312" s="120">
        <f t="shared" ref="AD312" ca="1" si="1159">(H312-TODAY())/365</f>
        <v>-4.1095890410958902E-2</v>
      </c>
      <c r="AE312" s="120">
        <f t="shared" ref="AE312" ca="1" si="1160">IF(I312&lt;&gt;0,20,0)</f>
        <v>20</v>
      </c>
      <c r="AF312" s="120"/>
      <c r="AG312" s="120"/>
      <c r="AH312" s="120">
        <f t="shared" ca="1" si="755"/>
        <v>2.9750000000000001</v>
      </c>
      <c r="AI312" s="120"/>
      <c r="AJ312" s="120">
        <f t="shared" ca="1" si="756"/>
        <v>0</v>
      </c>
      <c r="AK312" s="120"/>
      <c r="AL312" s="147"/>
      <c r="AM312" s="160"/>
      <c r="AN312" s="160"/>
      <c r="AO312" s="160"/>
      <c r="AP312" s="160"/>
      <c r="AQ312" s="160"/>
      <c r="AR312" s="160"/>
      <c r="AS312" s="160"/>
      <c r="AT312" s="160"/>
      <c r="AU312" s="160"/>
      <c r="AV312" s="160"/>
      <c r="AW312" s="160"/>
      <c r="AX312" s="160"/>
      <c r="AY312" s="160"/>
      <c r="AZ312" s="160"/>
      <c r="BA312" s="160"/>
      <c r="BB312" s="160"/>
      <c r="BC312" s="160"/>
      <c r="BD312" s="160"/>
      <c r="BE312" s="160"/>
      <c r="BF312" s="160"/>
      <c r="BG312" s="160"/>
      <c r="BS312" s="13">
        <v>2</v>
      </c>
      <c r="BT312" s="128">
        <v>44491</v>
      </c>
      <c r="BU312" s="121" t="s">
        <v>8</v>
      </c>
      <c r="BV312" s="120" t="s">
        <v>482</v>
      </c>
      <c r="BW312" s="121" t="s">
        <v>502</v>
      </c>
      <c r="BX312" s="120">
        <v>18400</v>
      </c>
      <c r="BY312" s="120">
        <v>41.7</v>
      </c>
      <c r="BZ312" s="120">
        <v>47.945</v>
      </c>
      <c r="CA312" s="124">
        <v>-3216.6708800000001</v>
      </c>
      <c r="CB312" s="120">
        <v>1.1497601918465228</v>
      </c>
      <c r="CC312" s="120">
        <v>500</v>
      </c>
      <c r="CD312" s="120">
        <v>50</v>
      </c>
      <c r="CE312" s="124">
        <v>20850</v>
      </c>
    </row>
    <row r="313" spans="1:83" hidden="1">
      <c r="A313" s="13">
        <f t="shared" ca="1" si="753"/>
        <v>306</v>
      </c>
      <c r="B313" s="128">
        <v>44708</v>
      </c>
      <c r="C313" s="121" t="s">
        <v>8</v>
      </c>
      <c r="D313" s="121">
        <v>1</v>
      </c>
      <c r="E313" s="120" t="s">
        <v>481</v>
      </c>
      <c r="F313" s="121" t="s">
        <v>502</v>
      </c>
      <c r="G313" s="120">
        <v>17000</v>
      </c>
      <c r="H313" s="122">
        <v>44742</v>
      </c>
      <c r="I313" s="120">
        <v>50</v>
      </c>
      <c r="J313" s="120">
        <v>120</v>
      </c>
      <c r="K313" s="120">
        <v>1.35</v>
      </c>
      <c r="L313" s="124">
        <f t="shared" ref="L313" ca="1" si="1161">IF(AND(K313&lt;&gt;0,I313&lt;&gt;0),(IF(C313="B",1,-1))*(K313-J313)*I313-AK313*2,0)*$D313*IF(MONTH($B$2)=MONTH($H313),1,0)</f>
        <v>0</v>
      </c>
      <c r="M313" s="124">
        <f t="shared" ref="M313" ca="1" si="1162">IF(AND(K313&lt;&gt;0,I313&lt;&gt;0),(IF(C313="B",1,-1))*(K313-J313)*I313-AK313*2,0)*$D313</f>
        <v>5932.5</v>
      </c>
      <c r="N313" s="120">
        <f t="shared" ref="N313" ca="1" si="1163">K313/$J313</f>
        <v>1.1250000000000001E-2</v>
      </c>
      <c r="O313" s="164">
        <f t="shared" ref="O313" ca="1" si="1164">J313*(1+$O$6*IF(C313="B",-1,1))</f>
        <v>150</v>
      </c>
      <c r="P313" s="168">
        <f t="shared" ca="1" si="754"/>
        <v>6000</v>
      </c>
      <c r="Q313" s="168" t="e">
        <f t="shared" ref="Q313" ca="1" si="1165">(W313-J313)*I313*IF(C313="B",1,-1)*IF(K313=0,1,0)</f>
        <v>#N/A</v>
      </c>
      <c r="R313" s="184">
        <f t="shared" ca="1" si="876"/>
        <v>0</v>
      </c>
      <c r="S313" s="124">
        <f t="shared" ref="S313" ca="1" si="1166">(1-$S$6)*J313</f>
        <v>11.999999999999996</v>
      </c>
      <c r="T313" s="120">
        <f ca="1">VLOOKUP(TRIM($F313),Reference!B:C,2,0)</f>
        <v>15938.65</v>
      </c>
      <c r="U313" s="181">
        <f t="shared" ref="U313" ca="1" si="1167">AC313</f>
        <v>0</v>
      </c>
      <c r="V313" s="125" t="str">
        <f t="shared" ca="1" si="865"/>
        <v>NIFTY22JUN17000CE</v>
      </c>
      <c r="W313" s="166" t="e">
        <f ca="1">VLOOKUP($V313,Reference!BA:BD,4,0)</f>
        <v>#N/A</v>
      </c>
      <c r="X313" s="168">
        <f t="shared" ca="1" si="866"/>
        <v>0</v>
      </c>
      <c r="Y313" s="168">
        <f t="shared" ca="1" si="867"/>
        <v>0</v>
      </c>
      <c r="Z313" s="168">
        <f t="shared" ca="1" si="879"/>
        <v>0</v>
      </c>
      <c r="AA313" s="168">
        <f t="shared" ca="1" si="868"/>
        <v>0</v>
      </c>
      <c r="AB313" s="168">
        <f t="shared" ca="1" si="869"/>
        <v>0</v>
      </c>
      <c r="AC313" s="124">
        <f t="shared" ca="1" si="870"/>
        <v>0</v>
      </c>
      <c r="AD313" s="120">
        <f t="shared" ref="AD313" ca="1" si="1168">(H313-TODAY())/365</f>
        <v>-4.1095890410958902E-2</v>
      </c>
      <c r="AE313" s="120">
        <f t="shared" ref="AE313" ca="1" si="1169">IF(I313&lt;&gt;0,20,0)</f>
        <v>20</v>
      </c>
      <c r="AF313" s="120"/>
      <c r="AG313" s="120"/>
      <c r="AH313" s="120">
        <f t="shared" ca="1" si="755"/>
        <v>3</v>
      </c>
      <c r="AI313" s="120"/>
      <c r="AJ313" s="120">
        <f t="shared" ca="1" si="756"/>
        <v>0</v>
      </c>
      <c r="AK313" s="120"/>
      <c r="AL313" s="147"/>
      <c r="AM313" s="160"/>
      <c r="AN313" s="160"/>
      <c r="AO313" s="160"/>
      <c r="AP313" s="160"/>
      <c r="AQ313" s="160"/>
      <c r="AR313" s="160"/>
      <c r="AS313" s="160"/>
      <c r="AT313" s="160"/>
      <c r="AU313" s="160"/>
      <c r="AV313" s="160"/>
      <c r="AW313" s="160"/>
      <c r="AX313" s="160"/>
      <c r="AY313" s="160"/>
      <c r="AZ313" s="160"/>
      <c r="BA313" s="160"/>
      <c r="BB313" s="160"/>
      <c r="BC313" s="160"/>
      <c r="BD313" s="160"/>
      <c r="BE313" s="160"/>
      <c r="BF313" s="160"/>
      <c r="BG313" s="160"/>
      <c r="BS313" s="13">
        <v>2</v>
      </c>
      <c r="BT313" s="128">
        <v>44491</v>
      </c>
      <c r="BU313" s="121" t="s">
        <v>8</v>
      </c>
      <c r="BV313" s="120" t="s">
        <v>482</v>
      </c>
      <c r="BW313" s="121" t="s">
        <v>502</v>
      </c>
      <c r="BX313" s="120">
        <v>18400</v>
      </c>
      <c r="BY313" s="120">
        <v>41.7</v>
      </c>
      <c r="BZ313" s="120">
        <v>47.945</v>
      </c>
      <c r="CA313" s="124">
        <v>-3216.6708800000001</v>
      </c>
      <c r="CB313" s="120">
        <v>1.1497601918465228</v>
      </c>
      <c r="CC313" s="120">
        <v>500</v>
      </c>
      <c r="CD313" s="120">
        <v>50</v>
      </c>
      <c r="CE313" s="124">
        <v>20850</v>
      </c>
    </row>
    <row r="314" spans="1:83" hidden="1">
      <c r="A314" s="13">
        <f t="shared" ca="1" si="753"/>
        <v>307</v>
      </c>
      <c r="B314" s="128">
        <v>44708</v>
      </c>
      <c r="C314" s="121" t="s">
        <v>8</v>
      </c>
      <c r="D314" s="121">
        <v>1</v>
      </c>
      <c r="E314" s="120" t="s">
        <v>482</v>
      </c>
      <c r="F314" s="121" t="s">
        <v>502</v>
      </c>
      <c r="G314" s="120">
        <v>15850</v>
      </c>
      <c r="H314" s="122">
        <v>44742</v>
      </c>
      <c r="I314" s="120">
        <v>50</v>
      </c>
      <c r="J314" s="120">
        <v>206.25</v>
      </c>
      <c r="K314" s="120">
        <v>429.4</v>
      </c>
      <c r="L314" s="124">
        <f ca="1">IF(AND(K314&lt;&gt;0,I314&lt;&gt;0),(IF(C314="B",1,-1))*(K314-J314)*I314-AK314*2,0)*$D314*IF(MONTH($B$2)=MONTH($H314),1,0)</f>
        <v>0</v>
      </c>
      <c r="M314" s="124">
        <f ca="1">IF(AND(K314&lt;&gt;0,I314&lt;&gt;0),(IF(C314="B",1,-1))*(K314-J314)*I314-AK314*2,0)*$D314</f>
        <v>-11157.499999999998</v>
      </c>
      <c r="N314" s="120">
        <f t="shared" ref="N314" ca="1" si="1170">K314/$J314</f>
        <v>2.0819393939393938</v>
      </c>
      <c r="O314" s="164">
        <f t="shared" ref="O314" ca="1" si="1171">J314*(1+$O$6*IF(C314="B",-1,1))</f>
        <v>257.8125</v>
      </c>
      <c r="P314" s="168">
        <f t="shared" ca="1" si="754"/>
        <v>10312.5</v>
      </c>
      <c r="Q314" s="168" t="e">
        <f t="shared" ref="Q314" ca="1" si="1172">(W314-J314)*I314*IF(C314="B",1,-1)*IF(K314=0,1,0)</f>
        <v>#N/A</v>
      </c>
      <c r="R314" s="184">
        <f t="shared" ca="1" si="876"/>
        <v>0</v>
      </c>
      <c r="S314" s="124">
        <f t="shared" ref="S314" ca="1" si="1173">(1-$S$6)*J314</f>
        <v>20.624999999999996</v>
      </c>
      <c r="T314" s="120">
        <f ca="1">VLOOKUP(TRIM($F314),Reference!B:C,2,0)</f>
        <v>15938.65</v>
      </c>
      <c r="U314" s="181">
        <f t="shared" ref="U314" ca="1" si="1174">AC314</f>
        <v>0</v>
      </c>
      <c r="V314" s="125" t="str">
        <f t="shared" ca="1" si="865"/>
        <v>NIFTY22JUN15850PE</v>
      </c>
      <c r="W314" s="166" t="e">
        <f ca="1">VLOOKUP($V314,Reference!BA:BD,4,0)</f>
        <v>#N/A</v>
      </c>
      <c r="X314" s="168">
        <f t="shared" ca="1" si="866"/>
        <v>0</v>
      </c>
      <c r="Y314" s="168">
        <f t="shared" ca="1" si="867"/>
        <v>0</v>
      </c>
      <c r="Z314" s="168">
        <f t="shared" ca="1" si="879"/>
        <v>0</v>
      </c>
      <c r="AA314" s="168">
        <f t="shared" ca="1" si="868"/>
        <v>0</v>
      </c>
      <c r="AB314" s="168">
        <f t="shared" ca="1" si="869"/>
        <v>0</v>
      </c>
      <c r="AC314" s="124">
        <f t="shared" ca="1" si="870"/>
        <v>0</v>
      </c>
      <c r="AD314" s="120">
        <f t="shared" ref="AD314" ca="1" si="1175">(H314-TODAY())/365</f>
        <v>-4.1095890410958902E-2</v>
      </c>
      <c r="AE314" s="120">
        <f t="shared" ref="AE314" ca="1" si="1176">IF(I314&lt;&gt;0,20,0)</f>
        <v>20</v>
      </c>
      <c r="AF314" s="120"/>
      <c r="AG314" s="120"/>
      <c r="AH314" s="120">
        <f t="shared" ca="1" si="755"/>
        <v>5.15625</v>
      </c>
      <c r="AI314" s="120"/>
      <c r="AJ314" s="120">
        <f t="shared" ca="1" si="756"/>
        <v>0</v>
      </c>
      <c r="AK314" s="120"/>
      <c r="AL314" s="147"/>
      <c r="AM314" s="160"/>
      <c r="AN314" s="160"/>
      <c r="AO314" s="160"/>
      <c r="AP314" s="160"/>
      <c r="AQ314" s="160"/>
      <c r="AR314" s="160"/>
      <c r="AS314" s="160"/>
      <c r="AT314" s="160"/>
      <c r="AU314" s="160"/>
      <c r="AV314" s="160"/>
      <c r="AW314" s="160"/>
      <c r="AX314" s="160"/>
      <c r="AY314" s="160"/>
      <c r="AZ314" s="160"/>
      <c r="BA314" s="160"/>
      <c r="BB314" s="160"/>
      <c r="BC314" s="160"/>
      <c r="BD314" s="160"/>
      <c r="BE314" s="160"/>
      <c r="BF314" s="160"/>
      <c r="BG314" s="160"/>
      <c r="BS314" s="13">
        <v>2</v>
      </c>
      <c r="BT314" s="128">
        <v>44491</v>
      </c>
      <c r="BU314" s="121" t="s">
        <v>8</v>
      </c>
      <c r="BV314" s="120" t="s">
        <v>482</v>
      </c>
      <c r="BW314" s="121" t="s">
        <v>502</v>
      </c>
      <c r="BX314" s="120">
        <v>18400</v>
      </c>
      <c r="BY314" s="120">
        <v>41.7</v>
      </c>
      <c r="BZ314" s="120">
        <v>47.945</v>
      </c>
      <c r="CA314" s="124">
        <v>-3216.6708800000001</v>
      </c>
      <c r="CB314" s="120">
        <v>1.1497601918465228</v>
      </c>
      <c r="CC314" s="120">
        <v>500</v>
      </c>
      <c r="CD314" s="120">
        <v>50</v>
      </c>
      <c r="CE314" s="124">
        <v>20850</v>
      </c>
    </row>
    <row r="315" spans="1:83" hidden="1">
      <c r="A315" s="13">
        <f t="shared" ca="1" si="753"/>
        <v>308</v>
      </c>
      <c r="B315" s="128">
        <v>44708</v>
      </c>
      <c r="C315" s="121" t="s">
        <v>8</v>
      </c>
      <c r="D315" s="121">
        <v>1</v>
      </c>
      <c r="E315" s="120" t="s">
        <v>482</v>
      </c>
      <c r="F315" s="121" t="s">
        <v>502</v>
      </c>
      <c r="G315" s="120">
        <v>15800</v>
      </c>
      <c r="H315" s="122">
        <v>44742</v>
      </c>
      <c r="I315" s="120">
        <v>50</v>
      </c>
      <c r="J315" s="120">
        <v>193.65</v>
      </c>
      <c r="K315" s="120">
        <v>113.5</v>
      </c>
      <c r="L315" s="124">
        <f t="shared" ref="L315:L317" ca="1" si="1177">IF(AND(K315&lt;&gt;0,I315&lt;&gt;0),(IF(C315="B",1,-1))*(K315-J315)*I315-AK315*2,0)*$D315*IF(MONTH($B$2)=MONTH($H315),1,0)</f>
        <v>0</v>
      </c>
      <c r="M315" s="124">
        <f t="shared" ref="M315:M317" ca="1" si="1178">IF(AND(K315&lt;&gt;0,I315&lt;&gt;0),(IF(C315="B",1,-1))*(K315-J315)*I315-AK315*2,0)*$D315</f>
        <v>4007.5000000000005</v>
      </c>
      <c r="N315" s="120">
        <f t="shared" ref="N315:N317" ca="1" si="1179">K315/$J315</f>
        <v>0.58610895946294861</v>
      </c>
      <c r="O315" s="164">
        <f t="shared" ref="O315:O317" ca="1" si="1180">J315*(1+$O$6*IF(C315="B",-1,1))</f>
        <v>242.0625</v>
      </c>
      <c r="P315" s="168">
        <f t="shared" ca="1" si="754"/>
        <v>9682.5</v>
      </c>
      <c r="Q315" s="168" t="e">
        <f t="shared" ref="Q315:Q317" ca="1" si="1181">(W315-J315)*I315*IF(C315="B",1,-1)*IF(K315=0,1,0)</f>
        <v>#N/A</v>
      </c>
      <c r="R315" s="184">
        <f t="shared" ca="1" si="876"/>
        <v>0</v>
      </c>
      <c r="S315" s="124">
        <f t="shared" ref="S315:S317" ca="1" si="1182">(1-$S$6)*J315</f>
        <v>19.364999999999995</v>
      </c>
      <c r="T315" s="120">
        <f ca="1">VLOOKUP(TRIM($F315),Reference!B:C,2,0)</f>
        <v>15938.65</v>
      </c>
      <c r="U315" s="181">
        <f t="shared" ref="U315:U317" ca="1" si="1183">AC315</f>
        <v>0</v>
      </c>
      <c r="V315" s="125" t="str">
        <f t="shared" ca="1" si="865"/>
        <v>NIFTY22JUN15800PE</v>
      </c>
      <c r="W315" s="166" t="e">
        <f ca="1">VLOOKUP($V315,Reference!BA:BD,4,0)</f>
        <v>#N/A</v>
      </c>
      <c r="X315" s="168">
        <f t="shared" ca="1" si="866"/>
        <v>0</v>
      </c>
      <c r="Y315" s="168">
        <f t="shared" ca="1" si="867"/>
        <v>0</v>
      </c>
      <c r="Z315" s="168">
        <f t="shared" ca="1" si="879"/>
        <v>0</v>
      </c>
      <c r="AA315" s="168">
        <f t="shared" ca="1" si="868"/>
        <v>0</v>
      </c>
      <c r="AB315" s="168">
        <f t="shared" ca="1" si="869"/>
        <v>0</v>
      </c>
      <c r="AC315" s="124">
        <f t="shared" ca="1" si="870"/>
        <v>0</v>
      </c>
      <c r="AD315" s="120">
        <f t="shared" ref="AD315:AD317" ca="1" si="1184">(H315-TODAY())/365</f>
        <v>-4.1095890410958902E-2</v>
      </c>
      <c r="AE315" s="120">
        <f t="shared" ref="AE315:AE317" ca="1" si="1185">IF(I315&lt;&gt;0,20,0)</f>
        <v>20</v>
      </c>
      <c r="AF315" s="120"/>
      <c r="AG315" s="120"/>
      <c r="AH315" s="120">
        <f t="shared" ca="1" si="755"/>
        <v>4.8412500000000005</v>
      </c>
      <c r="AI315" s="120"/>
      <c r="AJ315" s="120">
        <f t="shared" ca="1" si="756"/>
        <v>0</v>
      </c>
      <c r="AK315" s="120"/>
      <c r="AL315" s="147"/>
      <c r="AM315" s="160"/>
      <c r="AN315" s="160"/>
      <c r="AO315" s="160"/>
      <c r="AP315" s="160"/>
      <c r="AQ315" s="160"/>
      <c r="AR315" s="160"/>
      <c r="AS315" s="160"/>
      <c r="AT315" s="160"/>
      <c r="AU315" s="160"/>
      <c r="AV315" s="160"/>
      <c r="AW315" s="160"/>
      <c r="AX315" s="160"/>
      <c r="AY315" s="160"/>
      <c r="AZ315" s="160"/>
      <c r="BA315" s="160"/>
      <c r="BB315" s="160"/>
      <c r="BC315" s="160"/>
      <c r="BD315" s="160"/>
      <c r="BE315" s="160"/>
      <c r="BF315" s="160"/>
      <c r="BG315" s="160"/>
      <c r="BS315" s="13">
        <v>2</v>
      </c>
      <c r="BT315" s="128">
        <v>44491</v>
      </c>
      <c r="BU315" s="121" t="s">
        <v>8</v>
      </c>
      <c r="BV315" s="120" t="s">
        <v>482</v>
      </c>
      <c r="BW315" s="121" t="s">
        <v>502</v>
      </c>
      <c r="BX315" s="120">
        <v>18400</v>
      </c>
      <c r="BY315" s="120">
        <v>41.7</v>
      </c>
      <c r="BZ315" s="120">
        <v>47.945</v>
      </c>
      <c r="CA315" s="124">
        <v>-3216.6708800000001</v>
      </c>
      <c r="CB315" s="120">
        <v>1.1497601918465228</v>
      </c>
      <c r="CC315" s="120">
        <v>500</v>
      </c>
      <c r="CD315" s="120">
        <v>50</v>
      </c>
      <c r="CE315" s="124">
        <v>20850</v>
      </c>
    </row>
    <row r="316" spans="1:83" hidden="1">
      <c r="A316" s="13">
        <f t="shared" ca="1" si="753"/>
        <v>309</v>
      </c>
      <c r="B316" s="128">
        <v>44708</v>
      </c>
      <c r="C316" s="121" t="s">
        <v>8</v>
      </c>
      <c r="D316" s="121">
        <v>1</v>
      </c>
      <c r="E316" s="120" t="s">
        <v>482</v>
      </c>
      <c r="F316" s="121" t="s">
        <v>502</v>
      </c>
      <c r="G316" s="120">
        <v>15750</v>
      </c>
      <c r="H316" s="122">
        <v>44742</v>
      </c>
      <c r="I316" s="120">
        <v>50</v>
      </c>
      <c r="J316" s="120">
        <v>179.9</v>
      </c>
      <c r="K316" s="120">
        <v>92.25</v>
      </c>
      <c r="L316" s="124">
        <f t="shared" ca="1" si="1177"/>
        <v>0</v>
      </c>
      <c r="M316" s="124">
        <f t="shared" ca="1" si="1178"/>
        <v>4382.5</v>
      </c>
      <c r="N316" s="120">
        <f t="shared" ca="1" si="1179"/>
        <v>0.5127848804891606</v>
      </c>
      <c r="O316" s="164">
        <f t="shared" ca="1" si="1180"/>
        <v>224.875</v>
      </c>
      <c r="P316" s="168">
        <f t="shared" ca="1" si="754"/>
        <v>8995</v>
      </c>
      <c r="Q316" s="168" t="e">
        <f t="shared" ca="1" si="1181"/>
        <v>#N/A</v>
      </c>
      <c r="R316" s="184">
        <f t="shared" ca="1" si="876"/>
        <v>0</v>
      </c>
      <c r="S316" s="124">
        <f t="shared" ca="1" si="1182"/>
        <v>17.989999999999995</v>
      </c>
      <c r="T316" s="120">
        <f ca="1">VLOOKUP(TRIM($F316),Reference!B:C,2,0)</f>
        <v>15938.65</v>
      </c>
      <c r="U316" s="181">
        <f t="shared" ca="1" si="1183"/>
        <v>0</v>
      </c>
      <c r="V316" s="125" t="str">
        <f t="shared" ca="1" si="865"/>
        <v>NIFTY22JUN15750PE</v>
      </c>
      <c r="W316" s="166" t="e">
        <f ca="1">VLOOKUP($V316,Reference!BA:BD,4,0)</f>
        <v>#N/A</v>
      </c>
      <c r="X316" s="168">
        <f t="shared" ca="1" si="866"/>
        <v>0</v>
      </c>
      <c r="Y316" s="168">
        <f t="shared" ca="1" si="867"/>
        <v>0</v>
      </c>
      <c r="Z316" s="168">
        <f t="shared" ca="1" si="879"/>
        <v>0</v>
      </c>
      <c r="AA316" s="168">
        <f t="shared" ca="1" si="868"/>
        <v>0</v>
      </c>
      <c r="AB316" s="168">
        <f t="shared" ca="1" si="869"/>
        <v>0</v>
      </c>
      <c r="AC316" s="124">
        <f t="shared" ca="1" si="870"/>
        <v>0</v>
      </c>
      <c r="AD316" s="120">
        <f t="shared" ca="1" si="1184"/>
        <v>-4.1095890410958902E-2</v>
      </c>
      <c r="AE316" s="120">
        <f t="shared" ca="1" si="1185"/>
        <v>20</v>
      </c>
      <c r="AF316" s="120"/>
      <c r="AG316" s="120"/>
      <c r="AH316" s="120">
        <f t="shared" ca="1" si="755"/>
        <v>4.4975000000000005</v>
      </c>
      <c r="AI316" s="120"/>
      <c r="AJ316" s="120">
        <f t="shared" ca="1" si="756"/>
        <v>0</v>
      </c>
      <c r="AK316" s="120"/>
      <c r="AL316" s="147"/>
      <c r="AM316" s="160"/>
      <c r="AN316" s="160"/>
      <c r="AO316" s="160"/>
      <c r="AP316" s="160"/>
      <c r="AQ316" s="160"/>
      <c r="AR316" s="160"/>
      <c r="AS316" s="160"/>
      <c r="AT316" s="160"/>
      <c r="AU316" s="160"/>
      <c r="AV316" s="160"/>
      <c r="AW316" s="160"/>
      <c r="AX316" s="160"/>
      <c r="AY316" s="160"/>
      <c r="AZ316" s="160"/>
      <c r="BA316" s="160"/>
      <c r="BB316" s="160"/>
      <c r="BC316" s="160"/>
      <c r="BD316" s="160"/>
      <c r="BE316" s="160"/>
      <c r="BF316" s="160"/>
      <c r="BG316" s="160"/>
      <c r="BS316" s="13">
        <v>2</v>
      </c>
      <c r="BT316" s="128">
        <v>44491</v>
      </c>
      <c r="BU316" s="121" t="s">
        <v>8</v>
      </c>
      <c r="BV316" s="120" t="s">
        <v>482</v>
      </c>
      <c r="BW316" s="121" t="s">
        <v>502</v>
      </c>
      <c r="BX316" s="120">
        <v>18400</v>
      </c>
      <c r="BY316" s="120">
        <v>41.7</v>
      </c>
      <c r="BZ316" s="120">
        <v>47.945</v>
      </c>
      <c r="CA316" s="124">
        <v>-3216.6708800000001</v>
      </c>
      <c r="CB316" s="120">
        <v>1.1497601918465228</v>
      </c>
      <c r="CC316" s="120">
        <v>500</v>
      </c>
      <c r="CD316" s="120">
        <v>50</v>
      </c>
      <c r="CE316" s="124">
        <v>20850</v>
      </c>
    </row>
    <row r="317" spans="1:83" hidden="1">
      <c r="A317" s="13">
        <f t="shared" ca="1" si="753"/>
        <v>310</v>
      </c>
      <c r="B317" s="128">
        <v>44708</v>
      </c>
      <c r="C317" s="121" t="s">
        <v>8</v>
      </c>
      <c r="D317" s="121">
        <v>1</v>
      </c>
      <c r="E317" s="120" t="s">
        <v>481</v>
      </c>
      <c r="F317" s="121" t="s">
        <v>284</v>
      </c>
      <c r="G317" s="120">
        <v>470</v>
      </c>
      <c r="H317" s="122">
        <v>44742</v>
      </c>
      <c r="I317" s="120">
        <v>1425</v>
      </c>
      <c r="J317" s="120">
        <v>7.05</v>
      </c>
      <c r="K317" s="120">
        <v>0.25</v>
      </c>
      <c r="L317" s="124">
        <f t="shared" ca="1" si="1177"/>
        <v>0</v>
      </c>
      <c r="M317" s="124">
        <f t="shared" ca="1" si="1178"/>
        <v>9690</v>
      </c>
      <c r="N317" s="120">
        <f t="shared" ca="1" si="1179"/>
        <v>3.5460992907801421E-2</v>
      </c>
      <c r="O317" s="164">
        <f t="shared" ca="1" si="1180"/>
        <v>8.8125</v>
      </c>
      <c r="P317" s="168">
        <f t="shared" ca="1" si="754"/>
        <v>10046.25</v>
      </c>
      <c r="Q317" s="168" t="e">
        <f t="shared" ca="1" si="1181"/>
        <v>#N/A</v>
      </c>
      <c r="R317" s="184">
        <f t="shared" ca="1" si="876"/>
        <v>0</v>
      </c>
      <c r="S317" s="124">
        <f t="shared" ca="1" si="1182"/>
        <v>0.70499999999999985</v>
      </c>
      <c r="T317" s="120">
        <f ca="1">VLOOKUP(TRIM($F317),Reference!B:C,2,0)</f>
        <v>428</v>
      </c>
      <c r="U317" s="181">
        <f t="shared" ca="1" si="1183"/>
        <v>0</v>
      </c>
      <c r="V317" s="125" t="str">
        <f t="shared" ca="1" si="865"/>
        <v>TATAMOTORS22JUN470CE</v>
      </c>
      <c r="W317" s="166" t="e">
        <f ca="1">VLOOKUP($V317,Reference!BA:BD,4,0)</f>
        <v>#N/A</v>
      </c>
      <c r="X317" s="168">
        <f t="shared" ca="1" si="866"/>
        <v>0</v>
      </c>
      <c r="Y317" s="168">
        <f t="shared" ca="1" si="867"/>
        <v>0</v>
      </c>
      <c r="Z317" s="168">
        <f t="shared" ca="1" si="879"/>
        <v>0</v>
      </c>
      <c r="AA317" s="168">
        <f t="shared" ca="1" si="868"/>
        <v>0</v>
      </c>
      <c r="AB317" s="168">
        <f t="shared" ca="1" si="869"/>
        <v>0</v>
      </c>
      <c r="AC317" s="124">
        <f t="shared" ca="1" si="870"/>
        <v>0</v>
      </c>
      <c r="AD317" s="120">
        <f t="shared" ca="1" si="1184"/>
        <v>-4.1095890410958902E-2</v>
      </c>
      <c r="AE317" s="120">
        <f t="shared" ca="1" si="1185"/>
        <v>20</v>
      </c>
      <c r="AF317" s="120"/>
      <c r="AG317" s="120"/>
      <c r="AH317" s="120">
        <f t="shared" ca="1" si="755"/>
        <v>5.0231250000000003</v>
      </c>
      <c r="AI317" s="120"/>
      <c r="AJ317" s="120">
        <f t="shared" ca="1" si="756"/>
        <v>0</v>
      </c>
      <c r="AK317" s="120"/>
      <c r="AL317" s="147"/>
      <c r="AM317" s="160"/>
      <c r="AN317" s="160"/>
      <c r="AO317" s="160"/>
      <c r="AP317" s="160"/>
      <c r="AQ317" s="160"/>
      <c r="AR317" s="160"/>
      <c r="AS317" s="160"/>
      <c r="AT317" s="160"/>
      <c r="AU317" s="160"/>
      <c r="AV317" s="160"/>
      <c r="AW317" s="160"/>
      <c r="AX317" s="160"/>
      <c r="AY317" s="160"/>
      <c r="AZ317" s="160"/>
      <c r="BA317" s="160"/>
      <c r="BB317" s="160"/>
      <c r="BC317" s="160"/>
      <c r="BD317" s="160"/>
      <c r="BE317" s="160"/>
      <c r="BF317" s="160"/>
      <c r="BG317" s="160"/>
      <c r="BS317" s="13">
        <v>2</v>
      </c>
      <c r="BT317" s="128">
        <v>44491</v>
      </c>
      <c r="BU317" s="121" t="s">
        <v>8</v>
      </c>
      <c r="BV317" s="120" t="s">
        <v>482</v>
      </c>
      <c r="BW317" s="121" t="s">
        <v>502</v>
      </c>
      <c r="BX317" s="120">
        <v>18400</v>
      </c>
      <c r="BY317" s="120">
        <v>41.7</v>
      </c>
      <c r="BZ317" s="120">
        <v>47.945</v>
      </c>
      <c r="CA317" s="124">
        <v>-3216.6708800000001</v>
      </c>
      <c r="CB317" s="120">
        <v>1.1497601918465228</v>
      </c>
      <c r="CC317" s="120">
        <v>500</v>
      </c>
      <c r="CD317" s="120">
        <v>50</v>
      </c>
      <c r="CE317" s="124">
        <v>20850</v>
      </c>
    </row>
    <row r="318" spans="1:83" hidden="1">
      <c r="A318" s="13">
        <f t="shared" ca="1" si="753"/>
        <v>311</v>
      </c>
      <c r="B318" s="128">
        <v>44708</v>
      </c>
      <c r="C318" s="121" t="s">
        <v>6</v>
      </c>
      <c r="D318" s="121">
        <v>1</v>
      </c>
      <c r="E318" s="120" t="s">
        <v>482</v>
      </c>
      <c r="F318" s="121" t="s">
        <v>284</v>
      </c>
      <c r="G318" s="120">
        <v>400</v>
      </c>
      <c r="H318" s="122">
        <v>44770</v>
      </c>
      <c r="I318" s="120">
        <v>1425</v>
      </c>
      <c r="J318" s="120">
        <v>15.4</v>
      </c>
      <c r="K318" s="120">
        <v>9.0500000000000007</v>
      </c>
      <c r="L318" s="124">
        <f t="shared" ref="L318:L323" ca="1" si="1186">IF(AND(K318&lt;&gt;0,I318&lt;&gt;0),(IF(C318="B",1,-1))*(K318-J318)*I318-AK318*2,0)*$D318*IF(MONTH($B$2)=MONTH($H318),1,0)</f>
        <v>-9048.75</v>
      </c>
      <c r="M318" s="124">
        <f t="shared" ref="M318:M323" ca="1" si="1187">IF(AND(K318&lt;&gt;0,I318&lt;&gt;0),(IF(C318="B",1,-1))*(K318-J318)*I318-AK318*2,0)*$D318</f>
        <v>-9048.75</v>
      </c>
      <c r="N318" s="120">
        <f t="shared" ref="N318:N323" ca="1" si="1188">K318/$J318</f>
        <v>0.58766233766233766</v>
      </c>
      <c r="O318" s="164">
        <f t="shared" ref="O318:O323" ca="1" si="1189">J318*(1+$O$6*IF(C318="B",-1,1))</f>
        <v>11.55</v>
      </c>
      <c r="P318" s="168">
        <f t="shared" ca="1" si="754"/>
        <v>21945</v>
      </c>
      <c r="Q318" s="168" t="e">
        <f t="shared" ref="Q318:Q323" ca="1" si="1190">(W318-J318)*I318*IF(C318="B",1,-1)*IF(K318=0,1,0)</f>
        <v>#N/A</v>
      </c>
      <c r="R318" s="184">
        <f t="shared" ca="1" si="876"/>
        <v>0</v>
      </c>
      <c r="S318" s="124">
        <f t="shared" ref="S318:S323" ca="1" si="1191">(1-$S$6)*J318</f>
        <v>1.5399999999999996</v>
      </c>
      <c r="T318" s="120">
        <f ca="1">VLOOKUP(TRIM($F318),Reference!B:C,2,0)</f>
        <v>428</v>
      </c>
      <c r="U318" s="181">
        <f t="shared" ref="U318:U323" ca="1" si="1192">AC318</f>
        <v>0</v>
      </c>
      <c r="V318" s="125" t="str">
        <f t="shared" ca="1" si="865"/>
        <v>TATAMOTORS22JUL400PE</v>
      </c>
      <c r="W318" s="166" t="e">
        <f ca="1">VLOOKUP($V318,Reference!BA:BD,4,0)</f>
        <v>#N/A</v>
      </c>
      <c r="X318" s="168">
        <f t="shared" ca="1" si="866"/>
        <v>0</v>
      </c>
      <c r="Y318" s="168">
        <f t="shared" ca="1" si="867"/>
        <v>0</v>
      </c>
      <c r="Z318" s="168">
        <f t="shared" ca="1" si="879"/>
        <v>0</v>
      </c>
      <c r="AA318" s="168">
        <f t="shared" ca="1" si="868"/>
        <v>0</v>
      </c>
      <c r="AB318" s="168">
        <f t="shared" ca="1" si="869"/>
        <v>0</v>
      </c>
      <c r="AC318" s="124">
        <f t="shared" ca="1" si="870"/>
        <v>0</v>
      </c>
      <c r="AD318" s="120">
        <f t="shared" ref="AD318:AD323" ca="1" si="1193">(H318-TODAY())/365</f>
        <v>3.5616438356164383E-2</v>
      </c>
      <c r="AE318" s="120">
        <f t="shared" ref="AE318:AE323" ca="1" si="1194">IF(I318&lt;&gt;0,20,0)</f>
        <v>20</v>
      </c>
      <c r="AF318" s="120"/>
      <c r="AG318" s="120"/>
      <c r="AH318" s="120">
        <f t="shared" ca="1" si="755"/>
        <v>0</v>
      </c>
      <c r="AI318" s="120"/>
      <c r="AJ318" s="120">
        <f t="shared" ca="1" si="756"/>
        <v>0.65834999999999999</v>
      </c>
      <c r="AK318" s="120"/>
      <c r="AL318" s="147"/>
      <c r="AM318" s="160"/>
      <c r="AN318" s="160"/>
      <c r="AO318" s="160"/>
      <c r="AP318" s="160"/>
      <c r="AQ318" s="160"/>
      <c r="AR318" s="160"/>
      <c r="AS318" s="160"/>
      <c r="AT318" s="160"/>
      <c r="AU318" s="160"/>
      <c r="AV318" s="160"/>
      <c r="AW318" s="160"/>
      <c r="AX318" s="160"/>
      <c r="AY318" s="160"/>
      <c r="AZ318" s="160"/>
      <c r="BA318" s="160"/>
      <c r="BB318" s="160"/>
      <c r="BC318" s="160"/>
      <c r="BD318" s="160"/>
      <c r="BE318" s="160"/>
      <c r="BF318" s="160"/>
      <c r="BG318" s="160"/>
      <c r="BS318" s="13">
        <v>2</v>
      </c>
      <c r="BT318" s="128">
        <v>44491</v>
      </c>
      <c r="BU318" s="121" t="s">
        <v>8</v>
      </c>
      <c r="BV318" s="120" t="s">
        <v>482</v>
      </c>
      <c r="BW318" s="121" t="s">
        <v>502</v>
      </c>
      <c r="BX318" s="120">
        <v>18400</v>
      </c>
      <c r="BY318" s="120">
        <v>41.7</v>
      </c>
      <c r="BZ318" s="120">
        <v>47.945</v>
      </c>
      <c r="CA318" s="124">
        <v>-3216.6708800000001</v>
      </c>
      <c r="CB318" s="120">
        <v>1.1497601918465228</v>
      </c>
      <c r="CC318" s="120">
        <v>500</v>
      </c>
      <c r="CD318" s="120">
        <v>50</v>
      </c>
      <c r="CE318" s="124">
        <v>20850</v>
      </c>
    </row>
    <row r="319" spans="1:83" hidden="1">
      <c r="A319" s="13">
        <f t="shared" ca="1" si="753"/>
        <v>312</v>
      </c>
      <c r="B319" s="128">
        <v>44708</v>
      </c>
      <c r="C319" s="121" t="s">
        <v>8</v>
      </c>
      <c r="D319" s="121">
        <v>1</v>
      </c>
      <c r="E319" s="120" t="s">
        <v>481</v>
      </c>
      <c r="F319" s="121" t="s">
        <v>381</v>
      </c>
      <c r="G319" s="120">
        <v>3200</v>
      </c>
      <c r="H319" s="122">
        <v>44742</v>
      </c>
      <c r="I319" s="120">
        <v>200</v>
      </c>
      <c r="J319" s="120">
        <v>37.35</v>
      </c>
      <c r="K319" s="120">
        <v>0</v>
      </c>
      <c r="L319" s="124">
        <f t="shared" ca="1" si="1186"/>
        <v>0</v>
      </c>
      <c r="M319" s="124">
        <f t="shared" ca="1" si="1187"/>
        <v>0</v>
      </c>
      <c r="N319" s="120">
        <f t="shared" ca="1" si="1188"/>
        <v>0</v>
      </c>
      <c r="O319" s="164">
        <f t="shared" ca="1" si="1189"/>
        <v>46.6875</v>
      </c>
      <c r="P319" s="168">
        <f t="shared" ca="1" si="754"/>
        <v>7470</v>
      </c>
      <c r="Q319" s="168" t="e">
        <f t="shared" ca="1" si="1190"/>
        <v>#N/A</v>
      </c>
      <c r="R319" s="184">
        <f t="shared" ca="1" si="876"/>
        <v>0</v>
      </c>
      <c r="S319" s="124">
        <f t="shared" ca="1" si="1191"/>
        <v>3.7349999999999994</v>
      </c>
      <c r="T319" s="120">
        <f ca="1">VLOOKUP(TRIM($F319),Reference!B:C,2,0)</f>
        <v>2788</v>
      </c>
      <c r="U319" s="181">
        <f t="shared" ca="1" si="1192"/>
        <v>0</v>
      </c>
      <c r="V319" s="125" t="str">
        <f t="shared" ca="1" si="865"/>
        <v>MINDTREE22JUN3200CE</v>
      </c>
      <c r="W319" s="166" t="e">
        <f ca="1">VLOOKUP($V319,Reference!BA:BD,4,0)</f>
        <v>#N/A</v>
      </c>
      <c r="X319" s="168">
        <f t="shared" ca="1" si="866"/>
        <v>0</v>
      </c>
      <c r="Y319" s="168">
        <f t="shared" ca="1" si="867"/>
        <v>0</v>
      </c>
      <c r="Z319" s="168">
        <f t="shared" ca="1" si="879"/>
        <v>0</v>
      </c>
      <c r="AA319" s="168">
        <f t="shared" ca="1" si="868"/>
        <v>0</v>
      </c>
      <c r="AB319" s="168">
        <f t="shared" ca="1" si="869"/>
        <v>0</v>
      </c>
      <c r="AC319" s="124">
        <f t="shared" ca="1" si="870"/>
        <v>0</v>
      </c>
      <c r="AD319" s="120">
        <f t="shared" ca="1" si="1193"/>
        <v>-4.1095890410958902E-2</v>
      </c>
      <c r="AE319" s="120">
        <f t="shared" ca="1" si="1194"/>
        <v>20</v>
      </c>
      <c r="AF319" s="120"/>
      <c r="AG319" s="120"/>
      <c r="AH319" s="120">
        <f t="shared" ca="1" si="755"/>
        <v>3.7349999999999999</v>
      </c>
      <c r="AI319" s="120"/>
      <c r="AJ319" s="120">
        <f t="shared" ca="1" si="756"/>
        <v>0</v>
      </c>
      <c r="AK319" s="120"/>
      <c r="AL319" s="147"/>
      <c r="AM319" s="160"/>
      <c r="AN319" s="160"/>
      <c r="AO319" s="160"/>
      <c r="AP319" s="160"/>
      <c r="AQ319" s="160"/>
      <c r="AR319" s="160"/>
      <c r="AS319" s="160"/>
      <c r="AT319" s="160"/>
      <c r="AU319" s="160"/>
      <c r="AV319" s="160"/>
      <c r="AW319" s="160"/>
      <c r="AX319" s="160"/>
      <c r="AY319" s="160"/>
      <c r="AZ319" s="160"/>
      <c r="BA319" s="160"/>
      <c r="BB319" s="160"/>
      <c r="BC319" s="160"/>
      <c r="BD319" s="160"/>
      <c r="BE319" s="160"/>
      <c r="BF319" s="160"/>
      <c r="BG319" s="160"/>
      <c r="BS319" s="13">
        <v>2</v>
      </c>
      <c r="BT319" s="128">
        <v>44491</v>
      </c>
      <c r="BU319" s="121" t="s">
        <v>8</v>
      </c>
      <c r="BV319" s="120" t="s">
        <v>482</v>
      </c>
      <c r="BW319" s="121" t="s">
        <v>502</v>
      </c>
      <c r="BX319" s="120">
        <v>18400</v>
      </c>
      <c r="BY319" s="120">
        <v>41.7</v>
      </c>
      <c r="BZ319" s="120">
        <v>47.945</v>
      </c>
      <c r="CA319" s="124">
        <v>-3216.6708800000001</v>
      </c>
      <c r="CB319" s="120">
        <v>1.1497601918465228</v>
      </c>
      <c r="CC319" s="120">
        <v>500</v>
      </c>
      <c r="CD319" s="120">
        <v>50</v>
      </c>
      <c r="CE319" s="124">
        <v>20850</v>
      </c>
    </row>
    <row r="320" spans="1:83" hidden="1">
      <c r="A320" s="13">
        <f t="shared" ca="1" si="753"/>
        <v>313</v>
      </c>
      <c r="B320" s="128">
        <v>44711</v>
      </c>
      <c r="C320" s="121" t="s">
        <v>6</v>
      </c>
      <c r="D320" s="121">
        <v>1</v>
      </c>
      <c r="E320" s="120" t="s">
        <v>632</v>
      </c>
      <c r="F320" s="121" t="s">
        <v>90</v>
      </c>
      <c r="G320" s="120" t="s">
        <v>568</v>
      </c>
      <c r="H320" s="122">
        <v>44770</v>
      </c>
      <c r="I320" s="120">
        <v>300</v>
      </c>
      <c r="J320" s="120">
        <v>3338.63</v>
      </c>
      <c r="K320" s="120">
        <v>0</v>
      </c>
      <c r="L320" s="124">
        <f t="shared" ca="1" si="1186"/>
        <v>0</v>
      </c>
      <c r="M320" s="124">
        <f t="shared" ca="1" si="1187"/>
        <v>0</v>
      </c>
      <c r="N320" s="120">
        <f t="shared" ca="1" si="1188"/>
        <v>0</v>
      </c>
      <c r="O320" s="164">
        <f t="shared" ca="1" si="1189"/>
        <v>2503.9724999999999</v>
      </c>
      <c r="P320" s="168">
        <f t="shared" ca="1" si="754"/>
        <v>1001589</v>
      </c>
      <c r="Q320" s="168">
        <f t="shared" ca="1" si="1190"/>
        <v>-98423.999999999971</v>
      </c>
      <c r="R320" s="184">
        <f t="shared" ca="1" si="876"/>
        <v>900900</v>
      </c>
      <c r="S320" s="124">
        <f t="shared" ca="1" si="1191"/>
        <v>333.86299999999994</v>
      </c>
      <c r="T320" s="120">
        <f ca="1">VLOOKUP(TRIM($F320),Reference!B:C,2,0)</f>
        <v>3003</v>
      </c>
      <c r="U320" s="181">
        <f t="shared" ca="1" si="1192"/>
        <v>0</v>
      </c>
      <c r="V320" s="125" t="str">
        <f t="shared" ca="1" si="865"/>
        <v>TCS22JULFUT</v>
      </c>
      <c r="W320" s="166">
        <f ca="1">VLOOKUP($V320,Reference!BA:BD,4,0)</f>
        <v>3010.55</v>
      </c>
      <c r="X320" s="168">
        <f t="shared" ca="1" si="866"/>
        <v>903165</v>
      </c>
      <c r="Y320" s="168">
        <f t="shared" ca="1" si="867"/>
        <v>1</v>
      </c>
      <c r="Z320" s="168">
        <f t="shared" ca="1" si="879"/>
        <v>300</v>
      </c>
      <c r="AA320" s="168">
        <f t="shared" ca="1" si="868"/>
        <v>0</v>
      </c>
      <c r="AB320" s="168">
        <f t="shared" ca="1" si="869"/>
        <v>0</v>
      </c>
      <c r="AC320" s="124">
        <f t="shared" ca="1" si="870"/>
        <v>0</v>
      </c>
      <c r="AD320" s="120">
        <f t="shared" ca="1" si="1193"/>
        <v>3.5616438356164383E-2</v>
      </c>
      <c r="AE320" s="120">
        <f t="shared" ca="1" si="1194"/>
        <v>20</v>
      </c>
      <c r="AF320" s="120"/>
      <c r="AG320" s="120"/>
      <c r="AH320" s="120">
        <f t="shared" ca="1" si="755"/>
        <v>0</v>
      </c>
      <c r="AI320" s="120"/>
      <c r="AJ320" s="120">
        <f t="shared" ca="1" si="756"/>
        <v>30.04767</v>
      </c>
      <c r="AK320" s="120"/>
      <c r="AL320" s="147"/>
      <c r="AM320" s="160"/>
      <c r="AN320" s="160"/>
      <c r="AO320" s="160"/>
      <c r="AP320" s="160"/>
      <c r="AQ320" s="160"/>
      <c r="AR320" s="160"/>
      <c r="AS320" s="160"/>
      <c r="AT320" s="160"/>
      <c r="AU320" s="160"/>
      <c r="AV320" s="160"/>
      <c r="AW320" s="160"/>
      <c r="AX320" s="160"/>
      <c r="AY320" s="160"/>
      <c r="AZ320" s="160"/>
      <c r="BA320" s="160"/>
      <c r="BB320" s="160"/>
      <c r="BC320" s="160"/>
      <c r="BD320" s="160"/>
      <c r="BE320" s="160"/>
      <c r="BF320" s="160"/>
      <c r="BG320" s="160"/>
      <c r="BS320" s="13">
        <v>2</v>
      </c>
      <c r="BT320" s="128">
        <v>44491</v>
      </c>
      <c r="BU320" s="121" t="s">
        <v>8</v>
      </c>
      <c r="BV320" s="120" t="s">
        <v>482</v>
      </c>
      <c r="BW320" s="121" t="s">
        <v>502</v>
      </c>
      <c r="BX320" s="120">
        <v>18400</v>
      </c>
      <c r="BY320" s="120">
        <v>41.7</v>
      </c>
      <c r="BZ320" s="120">
        <v>47.945</v>
      </c>
      <c r="CA320" s="124">
        <v>-3216.6708800000001</v>
      </c>
      <c r="CB320" s="120">
        <v>1.1497601918465228</v>
      </c>
      <c r="CC320" s="120">
        <v>500</v>
      </c>
      <c r="CD320" s="120">
        <v>50</v>
      </c>
      <c r="CE320" s="124">
        <v>20850</v>
      </c>
    </row>
    <row r="321" spans="1:83" hidden="1">
      <c r="A321" s="13">
        <f t="shared" ca="1" si="753"/>
        <v>314</v>
      </c>
      <c r="B321" s="128">
        <v>44711</v>
      </c>
      <c r="C321" s="121" t="s">
        <v>6</v>
      </c>
      <c r="D321" s="121">
        <v>1</v>
      </c>
      <c r="E321" s="120" t="s">
        <v>632</v>
      </c>
      <c r="F321" s="121" t="s">
        <v>506</v>
      </c>
      <c r="G321" s="120"/>
      <c r="H321" s="122">
        <v>44770</v>
      </c>
      <c r="I321" s="120">
        <v>25</v>
      </c>
      <c r="J321" s="120">
        <v>36161.449999999997</v>
      </c>
      <c r="K321" s="120">
        <v>35179.550000000003</v>
      </c>
      <c r="L321" s="124">
        <f t="shared" ca="1" si="1186"/>
        <v>-24547.499999999854</v>
      </c>
      <c r="M321" s="124">
        <f t="shared" ca="1" si="1187"/>
        <v>-24547.499999999854</v>
      </c>
      <c r="N321" s="120">
        <f t="shared" ca="1" si="1188"/>
        <v>0.97284677467302905</v>
      </c>
      <c r="O321" s="164">
        <f t="shared" ca="1" si="1189"/>
        <v>27121.087499999998</v>
      </c>
      <c r="P321" s="168">
        <f t="shared" ca="1" si="754"/>
        <v>904036.24999999988</v>
      </c>
      <c r="Q321" s="168" t="e">
        <f t="shared" ca="1" si="1190"/>
        <v>#N/A</v>
      </c>
      <c r="R321" s="184">
        <f t="shared" ca="1" si="876"/>
        <v>0</v>
      </c>
      <c r="S321" s="124">
        <f t="shared" ca="1" si="1191"/>
        <v>3616.1449999999991</v>
      </c>
      <c r="T321" s="120">
        <f ca="1">VLOOKUP(TRIM($F321),Reference!B:C,2,0)</f>
        <v>34651.199999999997</v>
      </c>
      <c r="U321" s="181">
        <f t="shared" ca="1" si="1192"/>
        <v>0</v>
      </c>
      <c r="V321" s="125" t="str">
        <f t="shared" ca="1" si="865"/>
        <v>BANKNIFTY22JULFUT</v>
      </c>
      <c r="W321" s="166" t="e">
        <f ca="1">VLOOKUP($V321,Reference!BA:BD,4,0)</f>
        <v>#N/A</v>
      </c>
      <c r="X321" s="168">
        <f t="shared" ca="1" si="866"/>
        <v>0</v>
      </c>
      <c r="Y321" s="168">
        <f t="shared" ca="1" si="867"/>
        <v>0</v>
      </c>
      <c r="Z321" s="168">
        <f t="shared" ca="1" si="879"/>
        <v>0</v>
      </c>
      <c r="AA321" s="168">
        <f t="shared" ca="1" si="868"/>
        <v>0</v>
      </c>
      <c r="AB321" s="168">
        <f t="shared" ca="1" si="869"/>
        <v>0</v>
      </c>
      <c r="AC321" s="124">
        <f t="shared" ca="1" si="870"/>
        <v>0</v>
      </c>
      <c r="AD321" s="120">
        <f t="shared" ca="1" si="1193"/>
        <v>3.5616438356164383E-2</v>
      </c>
      <c r="AE321" s="120">
        <f t="shared" ca="1" si="1194"/>
        <v>20</v>
      </c>
      <c r="AF321" s="120"/>
      <c r="AG321" s="120"/>
      <c r="AH321" s="120">
        <f t="shared" ca="1" si="755"/>
        <v>0</v>
      </c>
      <c r="AI321" s="120"/>
      <c r="AJ321" s="120">
        <f t="shared" ca="1" si="756"/>
        <v>27.121087499999998</v>
      </c>
      <c r="AK321" s="120"/>
      <c r="AL321" s="147"/>
      <c r="AM321" s="160"/>
      <c r="AN321" s="160"/>
      <c r="AO321" s="160"/>
      <c r="AP321" s="160"/>
      <c r="AQ321" s="160"/>
      <c r="AR321" s="160"/>
      <c r="AS321" s="160"/>
      <c r="AT321" s="160"/>
      <c r="AU321" s="160"/>
      <c r="AV321" s="160"/>
      <c r="AW321" s="160"/>
      <c r="AX321" s="160"/>
      <c r="AY321" s="160"/>
      <c r="AZ321" s="160"/>
      <c r="BA321" s="160"/>
      <c r="BB321" s="160"/>
      <c r="BC321" s="160"/>
      <c r="BD321" s="160"/>
      <c r="BE321" s="160"/>
      <c r="BF321" s="160"/>
      <c r="BG321" s="160"/>
      <c r="BS321" s="13">
        <v>2</v>
      </c>
      <c r="BT321" s="128">
        <v>44491</v>
      </c>
      <c r="BU321" s="121" t="s">
        <v>8</v>
      </c>
      <c r="BV321" s="120" t="s">
        <v>482</v>
      </c>
      <c r="BW321" s="121" t="s">
        <v>502</v>
      </c>
      <c r="BX321" s="120">
        <v>18400</v>
      </c>
      <c r="BY321" s="120">
        <v>41.7</v>
      </c>
      <c r="BZ321" s="120">
        <v>47.945</v>
      </c>
      <c r="CA321" s="124">
        <v>-3216.6708800000001</v>
      </c>
      <c r="CB321" s="120">
        <v>1.1497601918465228</v>
      </c>
      <c r="CC321" s="120">
        <v>500</v>
      </c>
      <c r="CD321" s="120">
        <v>50</v>
      </c>
      <c r="CE321" s="124">
        <v>20850</v>
      </c>
    </row>
    <row r="322" spans="1:83" hidden="1">
      <c r="A322" s="13">
        <f t="shared" ca="1" si="753"/>
        <v>315</v>
      </c>
      <c r="B322" s="128">
        <v>44711</v>
      </c>
      <c r="C322" s="121" t="s">
        <v>6</v>
      </c>
      <c r="D322" s="121">
        <v>1</v>
      </c>
      <c r="E322" s="120" t="s">
        <v>632</v>
      </c>
      <c r="F322" s="121" t="s">
        <v>502</v>
      </c>
      <c r="G322" s="120" t="s">
        <v>568</v>
      </c>
      <c r="H322" s="122">
        <v>44770</v>
      </c>
      <c r="I322" s="120">
        <v>100</v>
      </c>
      <c r="J322" s="120">
        <v>16585.45</v>
      </c>
      <c r="K322" s="120">
        <v>0</v>
      </c>
      <c r="L322" s="124">
        <f ca="1">IF(AND(K322&lt;&gt;0,I322&lt;&gt;0),(IF(C322="B",1,-1))*(K322-J322)*I322-AK322*2,0)*$D322*IF(MONTH($B$2)=MONTH($H322),1,0)</f>
        <v>0</v>
      </c>
      <c r="M322" s="124">
        <f t="shared" ca="1" si="1187"/>
        <v>0</v>
      </c>
      <c r="N322" s="120">
        <f t="shared" ca="1" si="1188"/>
        <v>0</v>
      </c>
      <c r="O322" s="164">
        <f t="shared" ca="1" si="1189"/>
        <v>12439.087500000001</v>
      </c>
      <c r="P322" s="168">
        <f t="shared" ca="1" si="754"/>
        <v>1658545</v>
      </c>
      <c r="Q322" s="168">
        <f t="shared" ca="1" si="1190"/>
        <v>-64445.000000000073</v>
      </c>
      <c r="R322" s="184">
        <f t="shared" ca="1" si="876"/>
        <v>1593865</v>
      </c>
      <c r="S322" s="124">
        <f t="shared" ca="1" si="1191"/>
        <v>1658.5449999999996</v>
      </c>
      <c r="T322" s="120">
        <f ca="1">VLOOKUP(TRIM($F322),Reference!B:C,2,0)</f>
        <v>15938.65</v>
      </c>
      <c r="U322" s="181">
        <f t="shared" ca="1" si="1192"/>
        <v>0</v>
      </c>
      <c r="V322" s="125" t="str">
        <f t="shared" ca="1" si="865"/>
        <v>NIFTY22JULFUT</v>
      </c>
      <c r="W322" s="166">
        <f ca="1">VLOOKUP($V322,Reference!BA:BD,4,0)</f>
        <v>15941</v>
      </c>
      <c r="X322" s="168">
        <f t="shared" ca="1" si="866"/>
        <v>1594100</v>
      </c>
      <c r="Y322" s="168">
        <f t="shared" ca="1" si="867"/>
        <v>1</v>
      </c>
      <c r="Z322" s="168">
        <f t="shared" ca="1" si="879"/>
        <v>100</v>
      </c>
      <c r="AA322" s="168">
        <f t="shared" ca="1" si="868"/>
        <v>0</v>
      </c>
      <c r="AB322" s="168">
        <f t="shared" ca="1" si="869"/>
        <v>0</v>
      </c>
      <c r="AC322" s="124">
        <f t="shared" ca="1" si="870"/>
        <v>0</v>
      </c>
      <c r="AD322" s="120">
        <f t="shared" ca="1" si="1193"/>
        <v>3.5616438356164383E-2</v>
      </c>
      <c r="AE322" s="120">
        <f t="shared" ca="1" si="1194"/>
        <v>20</v>
      </c>
      <c r="AF322" s="120"/>
      <c r="AG322" s="120"/>
      <c r="AH322" s="120">
        <f t="shared" ca="1" si="755"/>
        <v>0</v>
      </c>
      <c r="AI322" s="120"/>
      <c r="AJ322" s="120">
        <f t="shared" ca="1" si="756"/>
        <v>49.756350000000005</v>
      </c>
      <c r="AK322" s="120"/>
      <c r="AL322" s="147"/>
      <c r="AM322" s="160"/>
      <c r="AN322" s="160"/>
      <c r="AO322" s="160"/>
      <c r="AP322" s="160"/>
      <c r="AQ322" s="160"/>
      <c r="AR322" s="160"/>
      <c r="AS322" s="160"/>
      <c r="AT322" s="160"/>
      <c r="AU322" s="160"/>
      <c r="AV322" s="160"/>
      <c r="AW322" s="160"/>
      <c r="AX322" s="160"/>
      <c r="AY322" s="160"/>
      <c r="AZ322" s="160"/>
      <c r="BA322" s="160"/>
      <c r="BB322" s="160"/>
      <c r="BC322" s="160"/>
      <c r="BD322" s="160"/>
      <c r="BE322" s="160"/>
      <c r="BF322" s="160"/>
      <c r="BG322" s="160"/>
      <c r="BS322" s="13">
        <v>2</v>
      </c>
      <c r="BT322" s="128">
        <v>44491</v>
      </c>
      <c r="BU322" s="121" t="s">
        <v>8</v>
      </c>
      <c r="BV322" s="120" t="s">
        <v>482</v>
      </c>
      <c r="BW322" s="121" t="s">
        <v>502</v>
      </c>
      <c r="BX322" s="120">
        <v>18400</v>
      </c>
      <c r="BY322" s="120">
        <v>41.7</v>
      </c>
      <c r="BZ322" s="120">
        <v>47.945</v>
      </c>
      <c r="CA322" s="124">
        <v>-3216.6708800000001</v>
      </c>
      <c r="CB322" s="120">
        <v>1.1497601918465228</v>
      </c>
      <c r="CC322" s="120">
        <v>500</v>
      </c>
      <c r="CD322" s="120">
        <v>50</v>
      </c>
      <c r="CE322" s="124">
        <v>20850</v>
      </c>
    </row>
    <row r="323" spans="1:83" hidden="1">
      <c r="A323" s="13">
        <f t="shared" ca="1" si="753"/>
        <v>316</v>
      </c>
      <c r="B323" s="128">
        <v>44711</v>
      </c>
      <c r="C323" s="121" t="s">
        <v>6</v>
      </c>
      <c r="D323" s="121">
        <v>1</v>
      </c>
      <c r="E323" s="120" t="s">
        <v>482</v>
      </c>
      <c r="F323" s="121" t="s">
        <v>390</v>
      </c>
      <c r="G323" s="120">
        <v>2300</v>
      </c>
      <c r="H323" s="122">
        <v>44742</v>
      </c>
      <c r="I323" s="120">
        <v>375</v>
      </c>
      <c r="J323" s="120">
        <v>50</v>
      </c>
      <c r="K323" s="120">
        <v>31</v>
      </c>
      <c r="L323" s="124">
        <f t="shared" ca="1" si="1186"/>
        <v>0</v>
      </c>
      <c r="M323" s="124">
        <f t="shared" ca="1" si="1187"/>
        <v>-7125</v>
      </c>
      <c r="N323" s="120">
        <f t="shared" ca="1" si="1188"/>
        <v>0.62</v>
      </c>
      <c r="O323" s="164">
        <f t="shared" ca="1" si="1189"/>
        <v>37.5</v>
      </c>
      <c r="P323" s="168">
        <f t="shared" ca="1" si="754"/>
        <v>18750</v>
      </c>
      <c r="Q323" s="168" t="e">
        <f t="shared" ca="1" si="1190"/>
        <v>#N/A</v>
      </c>
      <c r="R323" s="184">
        <f t="shared" ca="1" si="876"/>
        <v>0</v>
      </c>
      <c r="S323" s="124">
        <f t="shared" ca="1" si="1191"/>
        <v>4.9999999999999991</v>
      </c>
      <c r="T323" s="120">
        <f ca="1">VLOOKUP(TRIM($F323),Reference!B:C,2,0)</f>
        <v>2214</v>
      </c>
      <c r="U323" s="181">
        <f t="shared" ca="1" si="1192"/>
        <v>0</v>
      </c>
      <c r="V323" s="125" t="str">
        <f t="shared" ca="1" si="865"/>
        <v>SRF22JUN2300PE</v>
      </c>
      <c r="W323" s="166" t="e">
        <f ca="1">VLOOKUP($V323,Reference!BA:BD,4,0)</f>
        <v>#N/A</v>
      </c>
      <c r="X323" s="168">
        <f t="shared" ca="1" si="866"/>
        <v>0</v>
      </c>
      <c r="Y323" s="168">
        <f t="shared" ca="1" si="867"/>
        <v>0</v>
      </c>
      <c r="Z323" s="168">
        <f t="shared" ca="1" si="879"/>
        <v>0</v>
      </c>
      <c r="AA323" s="168">
        <f t="shared" ca="1" si="868"/>
        <v>0</v>
      </c>
      <c r="AB323" s="168">
        <f t="shared" ca="1" si="869"/>
        <v>0</v>
      </c>
      <c r="AC323" s="124">
        <f t="shared" ca="1" si="870"/>
        <v>0</v>
      </c>
      <c r="AD323" s="120">
        <f t="shared" ca="1" si="1193"/>
        <v>-4.1095890410958902E-2</v>
      </c>
      <c r="AE323" s="120">
        <f t="shared" ca="1" si="1194"/>
        <v>20</v>
      </c>
      <c r="AF323" s="120"/>
      <c r="AG323" s="120"/>
      <c r="AH323" s="120">
        <f t="shared" ca="1" si="755"/>
        <v>0</v>
      </c>
      <c r="AI323" s="120"/>
      <c r="AJ323" s="120">
        <f t="shared" ca="1" si="756"/>
        <v>0.5625</v>
      </c>
      <c r="AK323" s="120"/>
      <c r="AL323" s="147"/>
      <c r="AM323" s="160"/>
      <c r="AN323" s="160"/>
      <c r="AO323" s="160"/>
      <c r="AP323" s="160"/>
      <c r="AQ323" s="160"/>
      <c r="AR323" s="160"/>
      <c r="AS323" s="160"/>
      <c r="AT323" s="160"/>
      <c r="AU323" s="160"/>
      <c r="AV323" s="160"/>
      <c r="AW323" s="160"/>
      <c r="AX323" s="160"/>
      <c r="AY323" s="160"/>
      <c r="AZ323" s="160"/>
      <c r="BA323" s="160"/>
      <c r="BB323" s="160"/>
      <c r="BC323" s="160"/>
      <c r="BD323" s="160"/>
      <c r="BE323" s="160"/>
      <c r="BF323" s="160"/>
      <c r="BG323" s="160"/>
      <c r="BS323" s="13">
        <v>2</v>
      </c>
      <c r="BT323" s="128">
        <v>44491</v>
      </c>
      <c r="BU323" s="121" t="s">
        <v>8</v>
      </c>
      <c r="BV323" s="120" t="s">
        <v>482</v>
      </c>
      <c r="BW323" s="121" t="s">
        <v>502</v>
      </c>
      <c r="BX323" s="120">
        <v>18400</v>
      </c>
      <c r="BY323" s="120">
        <v>41.7</v>
      </c>
      <c r="BZ323" s="120">
        <v>47.945</v>
      </c>
      <c r="CA323" s="124">
        <v>-3216.6708800000001</v>
      </c>
      <c r="CB323" s="120">
        <v>1.1497601918465228</v>
      </c>
      <c r="CC323" s="120">
        <v>500</v>
      </c>
      <c r="CD323" s="120">
        <v>50</v>
      </c>
      <c r="CE323" s="124">
        <v>20850</v>
      </c>
    </row>
    <row r="324" spans="1:83" hidden="1">
      <c r="A324" s="13">
        <f t="shared" ca="1" si="753"/>
        <v>317</v>
      </c>
      <c r="B324" s="128">
        <v>44711</v>
      </c>
      <c r="C324" s="121" t="s">
        <v>6</v>
      </c>
      <c r="D324" s="121">
        <v>1</v>
      </c>
      <c r="E324" s="120" t="s">
        <v>482</v>
      </c>
      <c r="F324" s="121" t="s">
        <v>399</v>
      </c>
      <c r="G324" s="120">
        <v>1600</v>
      </c>
      <c r="H324" s="122">
        <v>44770</v>
      </c>
      <c r="I324" s="120">
        <v>300</v>
      </c>
      <c r="J324" s="120">
        <v>56.5</v>
      </c>
      <c r="K324" s="120">
        <v>15.4</v>
      </c>
      <c r="L324" s="124">
        <f t="shared" ref="L324" ca="1" si="1195">IF(AND(K324&lt;&gt;0,I324&lt;&gt;0),(IF(C324="B",1,-1))*(K324-J324)*I324-AK324*2,0)*$D324*IF(MONTH($B$2)=MONTH($H324),1,0)</f>
        <v>-12330</v>
      </c>
      <c r="M324" s="124">
        <f t="shared" ref="M324" ca="1" si="1196">IF(AND(K324&lt;&gt;0,I324&lt;&gt;0),(IF(C324="B",1,-1))*(K324-J324)*I324-AK324*2,0)*$D324</f>
        <v>-12330</v>
      </c>
      <c r="N324" s="120">
        <f t="shared" ref="N324" ca="1" si="1197">K324/$J324</f>
        <v>0.27256637168141595</v>
      </c>
      <c r="O324" s="164">
        <f t="shared" ref="O324" ca="1" si="1198">J324*(1+$O$6*IF(C324="B",-1,1))</f>
        <v>42.375</v>
      </c>
      <c r="P324" s="168">
        <f t="shared" ca="1" si="754"/>
        <v>16950</v>
      </c>
      <c r="Q324" s="168" t="e">
        <f t="shared" ref="Q324" ca="1" si="1199">(W324-J324)*I324*IF(C324="B",1,-1)*IF(K324=0,1,0)</f>
        <v>#N/A</v>
      </c>
      <c r="R324" s="184">
        <f t="shared" ca="1" si="876"/>
        <v>0</v>
      </c>
      <c r="S324" s="124">
        <f t="shared" ref="S324" ca="1" si="1200">(1-$S$6)*J324</f>
        <v>5.6499999999999986</v>
      </c>
      <c r="T324" s="120">
        <f ca="1">VLOOKUP(TRIM($F324),Reference!B:C,2,0)</f>
        <v>1646</v>
      </c>
      <c r="U324" s="181">
        <f t="shared" ref="U324" ca="1" si="1201">AC324</f>
        <v>0</v>
      </c>
      <c r="V324" s="125" t="str">
        <f t="shared" ca="1" si="865"/>
        <v>LT22JUL1600PE</v>
      </c>
      <c r="W324" s="166" t="e">
        <f ca="1">VLOOKUP($V324,Reference!BA:BD,4,0)</f>
        <v>#N/A</v>
      </c>
      <c r="X324" s="168">
        <f t="shared" ca="1" si="866"/>
        <v>0</v>
      </c>
      <c r="Y324" s="168">
        <f t="shared" ca="1" si="867"/>
        <v>0</v>
      </c>
      <c r="Z324" s="168">
        <f t="shared" ca="1" si="879"/>
        <v>0</v>
      </c>
      <c r="AA324" s="168">
        <f t="shared" ca="1" si="868"/>
        <v>0</v>
      </c>
      <c r="AB324" s="168">
        <f t="shared" ca="1" si="869"/>
        <v>0</v>
      </c>
      <c r="AC324" s="124">
        <f t="shared" ca="1" si="870"/>
        <v>0</v>
      </c>
      <c r="AD324" s="120">
        <f t="shared" ref="AD324" ca="1" si="1202">(H324-TODAY())/365</f>
        <v>3.5616438356164383E-2</v>
      </c>
      <c r="AE324" s="120">
        <f t="shared" ref="AE324" ca="1" si="1203">IF(I324&lt;&gt;0,20,0)</f>
        <v>20</v>
      </c>
      <c r="AF324" s="120"/>
      <c r="AG324" s="120"/>
      <c r="AH324" s="120">
        <f t="shared" ca="1" si="755"/>
        <v>0</v>
      </c>
      <c r="AI324" s="120"/>
      <c r="AJ324" s="120">
        <f t="shared" ca="1" si="756"/>
        <v>0.50850000000000006</v>
      </c>
      <c r="AK324" s="120"/>
      <c r="AL324" s="147"/>
      <c r="AM324" s="160"/>
      <c r="AN324" s="160"/>
      <c r="AO324" s="160"/>
      <c r="AP324" s="160"/>
      <c r="AQ324" s="160"/>
      <c r="AR324" s="160"/>
      <c r="AS324" s="160"/>
      <c r="AT324" s="160"/>
      <c r="AU324" s="160"/>
      <c r="AV324" s="160"/>
      <c r="AW324" s="160"/>
      <c r="AX324" s="160"/>
      <c r="AY324" s="160"/>
      <c r="AZ324" s="160"/>
      <c r="BA324" s="160"/>
      <c r="BB324" s="160"/>
      <c r="BC324" s="160"/>
      <c r="BD324" s="160"/>
      <c r="BE324" s="160"/>
      <c r="BF324" s="160"/>
      <c r="BG324" s="160"/>
      <c r="BS324" s="13">
        <v>2</v>
      </c>
      <c r="BT324" s="128">
        <v>44491</v>
      </c>
      <c r="BU324" s="121" t="s">
        <v>8</v>
      </c>
      <c r="BV324" s="120" t="s">
        <v>482</v>
      </c>
      <c r="BW324" s="121" t="s">
        <v>502</v>
      </c>
      <c r="BX324" s="120">
        <v>18400</v>
      </c>
      <c r="BY324" s="120">
        <v>41.7</v>
      </c>
      <c r="BZ324" s="120">
        <v>47.945</v>
      </c>
      <c r="CA324" s="124">
        <v>-3216.6708800000001</v>
      </c>
      <c r="CB324" s="120">
        <v>1.1497601918465228</v>
      </c>
      <c r="CC324" s="120">
        <v>500</v>
      </c>
      <c r="CD324" s="120">
        <v>50</v>
      </c>
      <c r="CE324" s="124">
        <v>20850</v>
      </c>
    </row>
    <row r="325" spans="1:83" hidden="1">
      <c r="A325" s="13">
        <f t="shared" ca="1" si="753"/>
        <v>318</v>
      </c>
      <c r="B325" s="128">
        <v>44711</v>
      </c>
      <c r="C325" s="121" t="s">
        <v>6</v>
      </c>
      <c r="D325" s="121">
        <v>1</v>
      </c>
      <c r="E325" s="120" t="s">
        <v>482</v>
      </c>
      <c r="F325" s="121" t="s">
        <v>90</v>
      </c>
      <c r="G325" s="120">
        <v>3200</v>
      </c>
      <c r="H325" s="122">
        <v>44770</v>
      </c>
      <c r="I325" s="120">
        <v>150</v>
      </c>
      <c r="J325" s="120">
        <v>69.25</v>
      </c>
      <c r="K325" s="120">
        <v>0</v>
      </c>
      <c r="L325" s="124">
        <f t="shared" ref="L325:L329" ca="1" si="1204">IF(AND(K325&lt;&gt;0,I325&lt;&gt;0),(IF(C325="B",1,-1))*(K325-J325)*I325-AK325*2,0)*$D325*IF(MONTH($B$2)=MONTH($H325),1,0)</f>
        <v>0</v>
      </c>
      <c r="M325" s="124">
        <f t="shared" ref="M325:M329" ca="1" si="1205">IF(AND(K325&lt;&gt;0,I325&lt;&gt;0),(IF(C325="B",1,-1))*(K325-J325)*I325-AK325*2,0)*$D325</f>
        <v>0</v>
      </c>
      <c r="N325" s="120">
        <f t="shared" ref="N325:N329" ca="1" si="1206">K325/$J325</f>
        <v>0</v>
      </c>
      <c r="O325" s="164">
        <f t="shared" ref="O325:O329" ca="1" si="1207">J325*(1+$O$6*IF(C325="B",-1,1))</f>
        <v>51.9375</v>
      </c>
      <c r="P325" s="168">
        <f t="shared" ca="1" si="754"/>
        <v>10387.5</v>
      </c>
      <c r="Q325" s="168">
        <f t="shared" ref="Q325:Q329" ca="1" si="1208">(W325-J325)*I325*IF(C325="B",1,-1)*IF(K325=0,1,0)</f>
        <v>19072.5</v>
      </c>
      <c r="R325" s="184">
        <f t="shared" ca="1" si="876"/>
        <v>-418445.34474788891</v>
      </c>
      <c r="S325" s="124">
        <f t="shared" ref="S325:S329" ca="1" si="1209">(1-$S$6)*J325</f>
        <v>6.924999999999998</v>
      </c>
      <c r="T325" s="120">
        <f ca="1">VLOOKUP(TRIM($F325),Reference!B:C,2,0)</f>
        <v>3003</v>
      </c>
      <c r="U325" s="181">
        <f t="shared" ref="U325:U329" ca="1" si="1210">AC325</f>
        <v>0.22122211605739472</v>
      </c>
      <c r="V325" s="125" t="str">
        <f t="shared" ca="1" si="865"/>
        <v>TCS22JUL3200PE</v>
      </c>
      <c r="W325" s="166">
        <f ca="1">VLOOKUP($V325,Reference!BA:BD,4,0)</f>
        <v>196.4</v>
      </c>
      <c r="X325" s="168">
        <f t="shared" ca="1" si="866"/>
        <v>29459.999999999876</v>
      </c>
      <c r="Y325" s="168">
        <f t="shared" ca="1" si="867"/>
        <v>-0.92894959428990764</v>
      </c>
      <c r="Z325" s="168">
        <f t="shared" ca="1" si="879"/>
        <v>-139.34243914348616</v>
      </c>
      <c r="AA325" s="168">
        <f t="shared" ca="1" si="868"/>
        <v>-159.57003532369222</v>
      </c>
      <c r="AB325" s="168">
        <f t="shared" ca="1" si="869"/>
        <v>0</v>
      </c>
      <c r="AC325" s="124">
        <f t="shared" ca="1" si="870"/>
        <v>0.22122211605739472</v>
      </c>
      <c r="AD325" s="120">
        <f t="shared" ref="AD325:AD329" ca="1" si="1211">(H325-TODAY())/365</f>
        <v>3.5616438356164383E-2</v>
      </c>
      <c r="AE325" s="120">
        <f t="shared" ref="AE325:AE329" ca="1" si="1212">IF(I325&lt;&gt;0,20,0)</f>
        <v>20</v>
      </c>
      <c r="AF325" s="120"/>
      <c r="AG325" s="120"/>
      <c r="AH325" s="120">
        <f t="shared" ca="1" si="755"/>
        <v>0</v>
      </c>
      <c r="AI325" s="120"/>
      <c r="AJ325" s="120">
        <f t="shared" ca="1" si="756"/>
        <v>0.31162499999999999</v>
      </c>
      <c r="AK325" s="120"/>
      <c r="AL325" s="147"/>
      <c r="AM325" s="160"/>
      <c r="AN325" s="160"/>
      <c r="AO325" s="160"/>
      <c r="AP325" s="160"/>
      <c r="AQ325" s="160"/>
      <c r="AR325" s="160"/>
      <c r="AS325" s="160"/>
      <c r="AT325" s="160"/>
      <c r="AU325" s="160"/>
      <c r="AV325" s="160"/>
      <c r="AW325" s="160"/>
      <c r="AX325" s="160"/>
      <c r="AY325" s="160"/>
      <c r="AZ325" s="160"/>
      <c r="BA325" s="160"/>
      <c r="BB325" s="160"/>
      <c r="BC325" s="160"/>
      <c r="BD325" s="160"/>
      <c r="BE325" s="160"/>
      <c r="BF325" s="160"/>
      <c r="BG325" s="160"/>
      <c r="BS325" s="13">
        <v>2</v>
      </c>
      <c r="BT325" s="128">
        <v>44491</v>
      </c>
      <c r="BU325" s="121" t="s">
        <v>8</v>
      </c>
      <c r="BV325" s="120" t="s">
        <v>482</v>
      </c>
      <c r="BW325" s="121" t="s">
        <v>502</v>
      </c>
      <c r="BX325" s="120">
        <v>18400</v>
      </c>
      <c r="BY325" s="120">
        <v>41.7</v>
      </c>
      <c r="BZ325" s="120">
        <v>47.945</v>
      </c>
      <c r="CA325" s="124">
        <v>-3216.6708800000001</v>
      </c>
      <c r="CB325" s="120">
        <v>1.1497601918465228</v>
      </c>
      <c r="CC325" s="120">
        <v>500</v>
      </c>
      <c r="CD325" s="120">
        <v>50</v>
      </c>
      <c r="CE325" s="124">
        <v>20850</v>
      </c>
    </row>
    <row r="326" spans="1:83" hidden="1">
      <c r="A326" s="13">
        <f t="shared" ca="1" si="753"/>
        <v>319</v>
      </c>
      <c r="B326" s="128">
        <v>44711</v>
      </c>
      <c r="C326" s="121" t="s">
        <v>6</v>
      </c>
      <c r="D326" s="121">
        <v>1</v>
      </c>
      <c r="E326" s="120" t="s">
        <v>632</v>
      </c>
      <c r="F326" s="121" t="s">
        <v>284</v>
      </c>
      <c r="G326" s="120" t="s">
        <v>568</v>
      </c>
      <c r="H326" s="122">
        <v>44770</v>
      </c>
      <c r="I326" s="120">
        <v>2850</v>
      </c>
      <c r="J326" s="120">
        <v>442</v>
      </c>
      <c r="K326" s="120">
        <v>438</v>
      </c>
      <c r="L326" s="124">
        <f t="shared" ca="1" si="1204"/>
        <v>-11400</v>
      </c>
      <c r="M326" s="124">
        <f t="shared" ca="1" si="1205"/>
        <v>-11400</v>
      </c>
      <c r="N326" s="120">
        <f t="shared" ca="1" si="1206"/>
        <v>0.99095022624434392</v>
      </c>
      <c r="O326" s="164">
        <f t="shared" ca="1" si="1207"/>
        <v>331.5</v>
      </c>
      <c r="P326" s="168">
        <f t="shared" ca="1" si="754"/>
        <v>1259700</v>
      </c>
      <c r="Q326" s="168" t="e">
        <f t="shared" ca="1" si="1208"/>
        <v>#N/A</v>
      </c>
      <c r="R326" s="184">
        <f t="shared" ca="1" si="876"/>
        <v>0</v>
      </c>
      <c r="S326" s="124">
        <f t="shared" ca="1" si="1209"/>
        <v>44.199999999999989</v>
      </c>
      <c r="T326" s="120">
        <f ca="1">VLOOKUP(TRIM($F326),Reference!B:C,2,0)</f>
        <v>428</v>
      </c>
      <c r="U326" s="181">
        <f t="shared" ca="1" si="1210"/>
        <v>0</v>
      </c>
      <c r="V326" s="125" t="str">
        <f t="shared" ca="1" si="865"/>
        <v>TATAMOTORS22JULFUT</v>
      </c>
      <c r="W326" s="166" t="e">
        <f ca="1">VLOOKUP($V326,Reference!BA:BD,4,0)</f>
        <v>#N/A</v>
      </c>
      <c r="X326" s="168">
        <f t="shared" ca="1" si="866"/>
        <v>0</v>
      </c>
      <c r="Y326" s="168">
        <f t="shared" ca="1" si="867"/>
        <v>0</v>
      </c>
      <c r="Z326" s="168">
        <f t="shared" ca="1" si="879"/>
        <v>0</v>
      </c>
      <c r="AA326" s="168">
        <f t="shared" ca="1" si="868"/>
        <v>0</v>
      </c>
      <c r="AB326" s="168">
        <f t="shared" ca="1" si="869"/>
        <v>0</v>
      </c>
      <c r="AC326" s="124">
        <f t="shared" ca="1" si="870"/>
        <v>0</v>
      </c>
      <c r="AD326" s="120">
        <f t="shared" ca="1" si="1211"/>
        <v>3.5616438356164383E-2</v>
      </c>
      <c r="AE326" s="120">
        <f t="shared" ca="1" si="1212"/>
        <v>20</v>
      </c>
      <c r="AF326" s="120"/>
      <c r="AG326" s="120"/>
      <c r="AH326" s="120">
        <f t="shared" ca="1" si="755"/>
        <v>0</v>
      </c>
      <c r="AI326" s="120"/>
      <c r="AJ326" s="120">
        <f t="shared" ca="1" si="756"/>
        <v>37.791000000000004</v>
      </c>
      <c r="AK326" s="120"/>
      <c r="AL326" s="147"/>
      <c r="AM326" s="160"/>
      <c r="AN326" s="160"/>
      <c r="AO326" s="160"/>
      <c r="AP326" s="160"/>
      <c r="AQ326" s="160"/>
      <c r="AR326" s="160"/>
      <c r="AS326" s="160"/>
      <c r="AT326" s="160"/>
      <c r="AU326" s="160"/>
      <c r="AV326" s="160"/>
      <c r="AW326" s="160"/>
      <c r="AX326" s="160"/>
      <c r="AY326" s="160"/>
      <c r="AZ326" s="160"/>
      <c r="BA326" s="160"/>
      <c r="BB326" s="160"/>
      <c r="BC326" s="160"/>
      <c r="BD326" s="160"/>
      <c r="BE326" s="160"/>
      <c r="BF326" s="160"/>
      <c r="BG326" s="160"/>
      <c r="BS326" s="13">
        <v>2</v>
      </c>
      <c r="BT326" s="128">
        <v>44491</v>
      </c>
      <c r="BU326" s="121" t="s">
        <v>8</v>
      </c>
      <c r="BV326" s="120" t="s">
        <v>482</v>
      </c>
      <c r="BW326" s="121" t="s">
        <v>502</v>
      </c>
      <c r="BX326" s="120">
        <v>18400</v>
      </c>
      <c r="BY326" s="120">
        <v>41.7</v>
      </c>
      <c r="BZ326" s="120">
        <v>47.945</v>
      </c>
      <c r="CA326" s="124">
        <v>-3216.6708800000001</v>
      </c>
      <c r="CB326" s="120">
        <v>1.1497601918465228</v>
      </c>
      <c r="CC326" s="120">
        <v>500</v>
      </c>
      <c r="CD326" s="120">
        <v>50</v>
      </c>
      <c r="CE326" s="124">
        <v>20850</v>
      </c>
    </row>
    <row r="327" spans="1:83" hidden="1">
      <c r="A327" s="13">
        <f t="shared" ca="1" si="753"/>
        <v>320</v>
      </c>
      <c r="B327" s="128">
        <v>44711</v>
      </c>
      <c r="C327" s="121" t="s">
        <v>6</v>
      </c>
      <c r="D327" s="121">
        <v>1</v>
      </c>
      <c r="E327" s="120" t="s">
        <v>482</v>
      </c>
      <c r="F327" s="121" t="s">
        <v>284</v>
      </c>
      <c r="G327" s="120">
        <v>400</v>
      </c>
      <c r="H327" s="122">
        <v>44770</v>
      </c>
      <c r="I327" s="120">
        <v>1425</v>
      </c>
      <c r="J327" s="120">
        <v>11.45</v>
      </c>
      <c r="K327" s="120">
        <v>9.0500000000000007</v>
      </c>
      <c r="L327" s="124">
        <f t="shared" ca="1" si="1204"/>
        <v>-3419.9999999999982</v>
      </c>
      <c r="M327" s="124">
        <f t="shared" ca="1" si="1205"/>
        <v>-3419.9999999999982</v>
      </c>
      <c r="N327" s="120">
        <f t="shared" ca="1" si="1206"/>
        <v>0.79039301310043675</v>
      </c>
      <c r="O327" s="164">
        <f t="shared" ca="1" si="1207"/>
        <v>8.5874999999999986</v>
      </c>
      <c r="P327" s="168">
        <f t="shared" ca="1" si="754"/>
        <v>16316.249999999998</v>
      </c>
      <c r="Q327" s="168" t="e">
        <f t="shared" ca="1" si="1208"/>
        <v>#N/A</v>
      </c>
      <c r="R327" s="184">
        <f t="shared" ca="1" si="876"/>
        <v>0</v>
      </c>
      <c r="S327" s="124">
        <f t="shared" ca="1" si="1209"/>
        <v>1.1449999999999996</v>
      </c>
      <c r="T327" s="120">
        <f ca="1">VLOOKUP(TRIM($F327),Reference!B:C,2,0)</f>
        <v>428</v>
      </c>
      <c r="U327" s="181">
        <f t="shared" ca="1" si="1210"/>
        <v>0</v>
      </c>
      <c r="V327" s="125" t="str">
        <f t="shared" ca="1" si="865"/>
        <v>TATAMOTORS22JUL400PE</v>
      </c>
      <c r="W327" s="166" t="e">
        <f ca="1">VLOOKUP($V327,Reference!BA:BD,4,0)</f>
        <v>#N/A</v>
      </c>
      <c r="X327" s="168">
        <f t="shared" ca="1" si="866"/>
        <v>0</v>
      </c>
      <c r="Y327" s="168">
        <f t="shared" ca="1" si="867"/>
        <v>0</v>
      </c>
      <c r="Z327" s="168">
        <f t="shared" ca="1" si="879"/>
        <v>0</v>
      </c>
      <c r="AA327" s="168">
        <f t="shared" ca="1" si="868"/>
        <v>0</v>
      </c>
      <c r="AB327" s="168">
        <f t="shared" ca="1" si="869"/>
        <v>0</v>
      </c>
      <c r="AC327" s="124">
        <f t="shared" ca="1" si="870"/>
        <v>0</v>
      </c>
      <c r="AD327" s="120">
        <f t="shared" ca="1" si="1211"/>
        <v>3.5616438356164383E-2</v>
      </c>
      <c r="AE327" s="120">
        <f t="shared" ca="1" si="1212"/>
        <v>20</v>
      </c>
      <c r="AF327" s="120"/>
      <c r="AG327" s="120"/>
      <c r="AH327" s="120">
        <f t="shared" ca="1" si="755"/>
        <v>0</v>
      </c>
      <c r="AI327" s="120"/>
      <c r="AJ327" s="120">
        <f t="shared" ca="1" si="756"/>
        <v>0.48948749999999996</v>
      </c>
      <c r="AK327" s="120"/>
      <c r="AL327" s="147"/>
      <c r="AM327" s="160"/>
      <c r="AN327" s="160"/>
      <c r="AO327" s="160"/>
      <c r="AP327" s="160"/>
      <c r="AQ327" s="160"/>
      <c r="AR327" s="160"/>
      <c r="AS327" s="160"/>
      <c r="AT327" s="160"/>
      <c r="AU327" s="160"/>
      <c r="AV327" s="160"/>
      <c r="AW327" s="160"/>
      <c r="AX327" s="160"/>
      <c r="AY327" s="160"/>
      <c r="AZ327" s="160"/>
      <c r="BA327" s="160"/>
      <c r="BB327" s="160"/>
      <c r="BC327" s="160"/>
      <c r="BD327" s="160"/>
      <c r="BE327" s="160"/>
      <c r="BF327" s="160"/>
      <c r="BG327" s="160"/>
      <c r="BS327" s="13">
        <v>2</v>
      </c>
      <c r="BT327" s="128">
        <v>44491</v>
      </c>
      <c r="BU327" s="121" t="s">
        <v>8</v>
      </c>
      <c r="BV327" s="120" t="s">
        <v>482</v>
      </c>
      <c r="BW327" s="121" t="s">
        <v>502</v>
      </c>
      <c r="BX327" s="120">
        <v>18400</v>
      </c>
      <c r="BY327" s="120">
        <v>41.7</v>
      </c>
      <c r="BZ327" s="120">
        <v>47.945</v>
      </c>
      <c r="CA327" s="124">
        <v>-3216.6708800000001</v>
      </c>
      <c r="CB327" s="120">
        <v>1.1497601918465228</v>
      </c>
      <c r="CC327" s="120">
        <v>500</v>
      </c>
      <c r="CD327" s="120">
        <v>50</v>
      </c>
      <c r="CE327" s="124">
        <v>20850</v>
      </c>
    </row>
    <row r="328" spans="1:83" hidden="1">
      <c r="A328" s="13">
        <f t="shared" ca="1" si="753"/>
        <v>321</v>
      </c>
      <c r="B328" s="128">
        <v>44711</v>
      </c>
      <c r="C328" s="121" t="s">
        <v>8</v>
      </c>
      <c r="D328" s="121">
        <v>1</v>
      </c>
      <c r="E328" s="120" t="s">
        <v>482</v>
      </c>
      <c r="F328" s="121" t="s">
        <v>130</v>
      </c>
      <c r="G328" s="120">
        <v>235</v>
      </c>
      <c r="H328" s="122">
        <v>44742</v>
      </c>
      <c r="I328" s="120">
        <v>3375</v>
      </c>
      <c r="J328" s="120">
        <v>12.7</v>
      </c>
      <c r="K328" s="120">
        <v>26.95</v>
      </c>
      <c r="L328" s="124">
        <f t="shared" ca="1" si="1204"/>
        <v>0</v>
      </c>
      <c r="M328" s="124">
        <f t="shared" ca="1" si="1205"/>
        <v>-48093.75</v>
      </c>
      <c r="N328" s="120">
        <f t="shared" ca="1" si="1206"/>
        <v>2.1220472440944884</v>
      </c>
      <c r="O328" s="164">
        <f t="shared" ca="1" si="1207"/>
        <v>15.875</v>
      </c>
      <c r="P328" s="168">
        <f t="shared" ca="1" si="754"/>
        <v>42862.5</v>
      </c>
      <c r="Q328" s="168" t="e">
        <f t="shared" ca="1" si="1208"/>
        <v>#N/A</v>
      </c>
      <c r="R328" s="184">
        <f t="shared" ca="1" si="876"/>
        <v>0</v>
      </c>
      <c r="S328" s="124">
        <f t="shared" ca="1" si="1209"/>
        <v>1.2699999999999996</v>
      </c>
      <c r="T328" s="120">
        <f ca="1">VLOOKUP(TRIM($F328),Reference!B:C,2,0)</f>
        <v>221.6</v>
      </c>
      <c r="U328" s="181">
        <f t="shared" ca="1" si="1210"/>
        <v>0</v>
      </c>
      <c r="V328" s="125" t="str">
        <f t="shared" ref="V328:V391" ca="1" si="1213">TRIM(F328)&amp;TEXT(H328,"YY")&amp;UPPER(TEXT(H328,"MMM"))&amp;TRIM(G328)&amp;TRIM(E328)</f>
        <v>TATAPOWER22JUN235PE</v>
      </c>
      <c r="W328" s="166" t="e">
        <f ca="1">VLOOKUP($V328,Reference!BA:BD,4,0)</f>
        <v>#N/A</v>
      </c>
      <c r="X328" s="168">
        <f t="shared" ref="X328:X391" ca="1" si="1214">IF(OR($AD328&lt;0,$K328&lt;&gt;0),0,IF($E328="FUT",W328,OptionPrice(LEFT($E328),$T328,$G328,$AD328,RISKFREE_RATE,$U328,NIFTY_DIVYLD))*IF(C328="B",1,-1)*IF(I328=0,0,1)*IF(K328=0,1,0)*I328)</f>
        <v>0</v>
      </c>
      <c r="Y328" s="168">
        <f t="shared" ref="Y328:Y391" ca="1" si="1215">IF(OR($AD328&lt;0,$K328&lt;&gt;0),0,IF($E328="FUT",1,OptionDelta(LEFT(E328),T328,G328,AD328,RISKFREE_RATE,U328,NIFTY_DIVYLD)))</f>
        <v>0</v>
      </c>
      <c r="Z328" s="168">
        <f t="shared" ca="1" si="879"/>
        <v>0</v>
      </c>
      <c r="AA328" s="168">
        <f t="shared" ref="AA328:AA391" ca="1" si="1216">IF(OR($AD328&lt;0,$K328&lt;&gt;0),0,IF($E328="FUT",0,OptionTheta(LEFT(E328),T328,G328,AD328,RISKFREE_RATE,U328,NIFTY_DIVYLD))*IF(C328="B",1,-1)*IF(I328=0,0,1)*IF(K328=0,1,0)*I328)</f>
        <v>0</v>
      </c>
      <c r="AB328" s="168">
        <f t="shared" ref="AB328:AB391" ca="1" si="1217">IF(OR($AD328&lt;0,$K328&lt;&gt;0),0,IF($E328="FUT",0,OptionGamma(T328,G328,AD328,RISKFREE_RATE,U328,NIFTY_DIVYLD))*IF(C328="B",1,-1)*IF(I328=0,0,1)*IF(K328=0,1,0))</f>
        <v>0</v>
      </c>
      <c r="AC328" s="124">
        <f t="shared" ref="AC328:AC391" ca="1" si="1218">IF(OR($AD328&lt;0,$K328&lt;&gt;0),0,IF($E328="FUT",0,ImpliedVolatility(LEFT(E328),T328,G328,RISKFREE_RATE,AD328,NIFTY_DIVYLD,W328,$AC$6)))</f>
        <v>0</v>
      </c>
      <c r="AD328" s="120">
        <f t="shared" ca="1" si="1211"/>
        <v>-4.1095890410958902E-2</v>
      </c>
      <c r="AE328" s="120">
        <f t="shared" ca="1" si="1212"/>
        <v>20</v>
      </c>
      <c r="AF328" s="120"/>
      <c r="AG328" s="120"/>
      <c r="AH328" s="120">
        <f t="shared" ca="1" si="755"/>
        <v>21.431250000000002</v>
      </c>
      <c r="AI328" s="120"/>
      <c r="AJ328" s="120">
        <f t="shared" ca="1" si="756"/>
        <v>0</v>
      </c>
      <c r="AK328" s="120"/>
      <c r="AL328" s="147"/>
      <c r="AM328" s="160"/>
      <c r="AN328" s="160"/>
      <c r="AO328" s="160"/>
      <c r="AP328" s="160"/>
      <c r="AQ328" s="160"/>
      <c r="AR328" s="160"/>
      <c r="AS328" s="160"/>
      <c r="AT328" s="160"/>
      <c r="AU328" s="160"/>
      <c r="AV328" s="160"/>
      <c r="AW328" s="160"/>
      <c r="AX328" s="160"/>
      <c r="AY328" s="160"/>
      <c r="AZ328" s="160"/>
      <c r="BA328" s="160"/>
      <c r="BB328" s="160"/>
      <c r="BC328" s="160"/>
      <c r="BD328" s="160"/>
      <c r="BE328" s="160"/>
      <c r="BF328" s="160"/>
      <c r="BG328" s="160"/>
      <c r="BS328" s="13">
        <v>2</v>
      </c>
      <c r="BT328" s="128">
        <v>44491</v>
      </c>
      <c r="BU328" s="121" t="s">
        <v>8</v>
      </c>
      <c r="BV328" s="120" t="s">
        <v>482</v>
      </c>
      <c r="BW328" s="121" t="s">
        <v>502</v>
      </c>
      <c r="BX328" s="120">
        <v>18400</v>
      </c>
      <c r="BY328" s="120">
        <v>41.7</v>
      </c>
      <c r="BZ328" s="120">
        <v>47.945</v>
      </c>
      <c r="CA328" s="124">
        <v>-3216.6708800000001</v>
      </c>
      <c r="CB328" s="120">
        <v>1.1497601918465228</v>
      </c>
      <c r="CC328" s="120">
        <v>500</v>
      </c>
      <c r="CD328" s="120">
        <v>50</v>
      </c>
      <c r="CE328" s="124">
        <v>20850</v>
      </c>
    </row>
    <row r="329" spans="1:83" hidden="1">
      <c r="A329" s="13">
        <f t="shared" ca="1" si="753"/>
        <v>322</v>
      </c>
      <c r="B329" s="128">
        <v>44711</v>
      </c>
      <c r="C329" s="121" t="s">
        <v>6</v>
      </c>
      <c r="D329" s="121">
        <v>1</v>
      </c>
      <c r="E329" s="120" t="s">
        <v>482</v>
      </c>
      <c r="F329" s="121" t="s">
        <v>399</v>
      </c>
      <c r="G329" s="120">
        <v>1600</v>
      </c>
      <c r="H329" s="122">
        <v>44770</v>
      </c>
      <c r="I329" s="120">
        <v>300</v>
      </c>
      <c r="J329" s="120">
        <v>45</v>
      </c>
      <c r="K329" s="120">
        <v>15.4</v>
      </c>
      <c r="L329" s="124">
        <f t="shared" ca="1" si="1204"/>
        <v>-8880</v>
      </c>
      <c r="M329" s="124">
        <f t="shared" ca="1" si="1205"/>
        <v>-8880</v>
      </c>
      <c r="N329" s="120">
        <f t="shared" ca="1" si="1206"/>
        <v>0.34222222222222221</v>
      </c>
      <c r="O329" s="164">
        <f t="shared" ca="1" si="1207"/>
        <v>33.75</v>
      </c>
      <c r="P329" s="168">
        <f t="shared" ca="1" si="754"/>
        <v>13500</v>
      </c>
      <c r="Q329" s="168" t="e">
        <f t="shared" ca="1" si="1208"/>
        <v>#N/A</v>
      </c>
      <c r="R329" s="184">
        <f t="shared" ref="R329:R392" ca="1" si="1219">Z329*T329</f>
        <v>0</v>
      </c>
      <c r="S329" s="124">
        <f t="shared" ca="1" si="1209"/>
        <v>4.4999999999999991</v>
      </c>
      <c r="T329" s="120">
        <f ca="1">VLOOKUP(TRIM($F329),Reference!B:C,2,0)</f>
        <v>1646</v>
      </c>
      <c r="U329" s="181">
        <f t="shared" ca="1" si="1210"/>
        <v>0</v>
      </c>
      <c r="V329" s="125" t="str">
        <f t="shared" ca="1" si="1213"/>
        <v>LT22JUL1600PE</v>
      </c>
      <c r="W329" s="166" t="e">
        <f ca="1">VLOOKUP($V329,Reference!BA:BD,4,0)</f>
        <v>#N/A</v>
      </c>
      <c r="X329" s="168">
        <f t="shared" ca="1" si="1214"/>
        <v>0</v>
      </c>
      <c r="Y329" s="168">
        <f t="shared" ca="1" si="1215"/>
        <v>0</v>
      </c>
      <c r="Z329" s="168">
        <f t="shared" ref="Z329:Z392" ca="1" si="1220">Y329*IF(C329="B",1,-1)*IF(I329=0,0,1)*IF(K329=0,1,0)*I329</f>
        <v>0</v>
      </c>
      <c r="AA329" s="168">
        <f t="shared" ca="1" si="1216"/>
        <v>0</v>
      </c>
      <c r="AB329" s="168">
        <f t="shared" ca="1" si="1217"/>
        <v>0</v>
      </c>
      <c r="AC329" s="124">
        <f t="shared" ca="1" si="1218"/>
        <v>0</v>
      </c>
      <c r="AD329" s="120">
        <f t="shared" ca="1" si="1211"/>
        <v>3.5616438356164383E-2</v>
      </c>
      <c r="AE329" s="120">
        <f t="shared" ca="1" si="1212"/>
        <v>20</v>
      </c>
      <c r="AF329" s="120"/>
      <c r="AG329" s="120"/>
      <c r="AH329" s="120">
        <f t="shared" ca="1" si="755"/>
        <v>0</v>
      </c>
      <c r="AI329" s="120"/>
      <c r="AJ329" s="120">
        <f t="shared" ca="1" si="756"/>
        <v>0.40500000000000003</v>
      </c>
      <c r="AK329" s="120"/>
      <c r="AL329" s="147"/>
      <c r="AM329" s="160"/>
      <c r="AN329" s="160"/>
      <c r="AO329" s="160"/>
      <c r="AP329" s="160"/>
      <c r="AQ329" s="160"/>
      <c r="AR329" s="160"/>
      <c r="AS329" s="160"/>
      <c r="AT329" s="160"/>
      <c r="AU329" s="160"/>
      <c r="AV329" s="160"/>
      <c r="AW329" s="160"/>
      <c r="AX329" s="160"/>
      <c r="AY329" s="160"/>
      <c r="AZ329" s="160"/>
      <c r="BA329" s="160"/>
      <c r="BB329" s="160"/>
      <c r="BC329" s="160"/>
      <c r="BD329" s="160"/>
      <c r="BE329" s="160"/>
      <c r="BF329" s="160"/>
      <c r="BG329" s="160"/>
      <c r="BS329" s="13">
        <v>2</v>
      </c>
      <c r="BT329" s="128">
        <v>44491</v>
      </c>
      <c r="BU329" s="121" t="s">
        <v>8</v>
      </c>
      <c r="BV329" s="120" t="s">
        <v>482</v>
      </c>
      <c r="BW329" s="121" t="s">
        <v>502</v>
      </c>
      <c r="BX329" s="120">
        <v>18400</v>
      </c>
      <c r="BY329" s="120">
        <v>41.7</v>
      </c>
      <c r="BZ329" s="120">
        <v>47.945</v>
      </c>
      <c r="CA329" s="124">
        <v>-3216.6708800000001</v>
      </c>
      <c r="CB329" s="120">
        <v>1.1497601918465228</v>
      </c>
      <c r="CC329" s="120">
        <v>500</v>
      </c>
      <c r="CD329" s="120">
        <v>50</v>
      </c>
      <c r="CE329" s="124">
        <v>20850</v>
      </c>
    </row>
    <row r="330" spans="1:83" hidden="1">
      <c r="A330" s="13">
        <f t="shared" ca="1" si="753"/>
        <v>323</v>
      </c>
      <c r="B330" s="128">
        <v>44711</v>
      </c>
      <c r="C330" s="121" t="s">
        <v>8</v>
      </c>
      <c r="D330" s="121">
        <v>1</v>
      </c>
      <c r="E330" s="120" t="s">
        <v>481</v>
      </c>
      <c r="F330" s="121" t="s">
        <v>399</v>
      </c>
      <c r="G330" s="120">
        <v>1680</v>
      </c>
      <c r="H330" s="122">
        <v>44742</v>
      </c>
      <c r="I330" s="120">
        <v>575</v>
      </c>
      <c r="J330" s="120">
        <v>33</v>
      </c>
      <c r="K330" s="120">
        <v>0.15</v>
      </c>
      <c r="L330" s="124">
        <f t="shared" ref="L330:L334" ca="1" si="1221">IF(AND(K330&lt;&gt;0,I330&lt;&gt;0),(IF(C330="B",1,-1))*(K330-J330)*I330-AK330*2,0)*$D330*IF(MONTH($B$2)=MONTH($H330),1,0)</f>
        <v>0</v>
      </c>
      <c r="M330" s="124">
        <f t="shared" ref="M330:M334" ca="1" si="1222">IF(AND(K330&lt;&gt;0,I330&lt;&gt;0),(IF(C330="B",1,-1))*(K330-J330)*I330-AK330*2,0)*$D330</f>
        <v>18888.75</v>
      </c>
      <c r="N330" s="120">
        <f t="shared" ref="N330:N334" ca="1" si="1223">K330/$J330</f>
        <v>4.5454545454545452E-3</v>
      </c>
      <c r="O330" s="164">
        <f t="shared" ref="O330:O334" ca="1" si="1224">J330*(1+$O$6*IF(C330="B",-1,1))</f>
        <v>41.25</v>
      </c>
      <c r="P330" s="168">
        <f t="shared" ca="1" si="754"/>
        <v>18975</v>
      </c>
      <c r="Q330" s="168" t="e">
        <f t="shared" ref="Q330:Q334" ca="1" si="1225">(W330-J330)*I330*IF(C330="B",1,-1)*IF(K330=0,1,0)</f>
        <v>#N/A</v>
      </c>
      <c r="R330" s="184">
        <f t="shared" ca="1" si="1219"/>
        <v>0</v>
      </c>
      <c r="S330" s="124">
        <f t="shared" ref="S330:S334" ca="1" si="1226">(1-$S$6)*J330</f>
        <v>3.2999999999999994</v>
      </c>
      <c r="T330" s="120">
        <f ca="1">VLOOKUP(TRIM($F330),Reference!B:C,2,0)</f>
        <v>1646</v>
      </c>
      <c r="U330" s="181">
        <f t="shared" ref="U330:U334" ca="1" si="1227">AC330</f>
        <v>0</v>
      </c>
      <c r="V330" s="125" t="str">
        <f t="shared" ca="1" si="1213"/>
        <v>LT22JUN1680CE</v>
      </c>
      <c r="W330" s="166" t="e">
        <f ca="1">VLOOKUP($V330,Reference!BA:BD,4,0)</f>
        <v>#N/A</v>
      </c>
      <c r="X330" s="168">
        <f t="shared" ca="1" si="1214"/>
        <v>0</v>
      </c>
      <c r="Y330" s="168">
        <f t="shared" ca="1" si="1215"/>
        <v>0</v>
      </c>
      <c r="Z330" s="168">
        <f t="shared" ca="1" si="1220"/>
        <v>0</v>
      </c>
      <c r="AA330" s="168">
        <f t="shared" ca="1" si="1216"/>
        <v>0</v>
      </c>
      <c r="AB330" s="168">
        <f t="shared" ca="1" si="1217"/>
        <v>0</v>
      </c>
      <c r="AC330" s="124">
        <f t="shared" ca="1" si="1218"/>
        <v>0</v>
      </c>
      <c r="AD330" s="120">
        <f t="shared" ref="AD330:AD334" ca="1" si="1228">(H330-TODAY())/365</f>
        <v>-4.1095890410958902E-2</v>
      </c>
      <c r="AE330" s="120">
        <f t="shared" ref="AE330:AE334" ca="1" si="1229">IF(I330&lt;&gt;0,20,0)</f>
        <v>20</v>
      </c>
      <c r="AF330" s="120"/>
      <c r="AG330" s="120"/>
      <c r="AH330" s="120">
        <f t="shared" ca="1" si="755"/>
        <v>9.4875000000000007</v>
      </c>
      <c r="AI330" s="120"/>
      <c r="AJ330" s="120">
        <f t="shared" ca="1" si="756"/>
        <v>0</v>
      </c>
      <c r="AK330" s="120"/>
      <c r="AL330" s="147"/>
      <c r="AM330" s="160"/>
      <c r="AN330" s="160"/>
      <c r="AO330" s="160"/>
      <c r="AP330" s="160"/>
      <c r="AQ330" s="160"/>
      <c r="AR330" s="160"/>
      <c r="AS330" s="160"/>
      <c r="AT330" s="160"/>
      <c r="AU330" s="160"/>
      <c r="AV330" s="160"/>
      <c r="AW330" s="160"/>
      <c r="AX330" s="160"/>
      <c r="AY330" s="160"/>
      <c r="AZ330" s="160"/>
      <c r="BA330" s="160"/>
      <c r="BB330" s="160"/>
      <c r="BC330" s="160"/>
      <c r="BD330" s="160"/>
      <c r="BE330" s="160"/>
      <c r="BF330" s="160"/>
      <c r="BG330" s="160"/>
      <c r="BS330" s="13">
        <v>2</v>
      </c>
      <c r="BT330" s="128">
        <v>44491</v>
      </c>
      <c r="BU330" s="121" t="s">
        <v>8</v>
      </c>
      <c r="BV330" s="120" t="s">
        <v>482</v>
      </c>
      <c r="BW330" s="121" t="s">
        <v>502</v>
      </c>
      <c r="BX330" s="120">
        <v>18400</v>
      </c>
      <c r="BY330" s="120">
        <v>41.7</v>
      </c>
      <c r="BZ330" s="120">
        <v>47.945</v>
      </c>
      <c r="CA330" s="124">
        <v>-3216.6708800000001</v>
      </c>
      <c r="CB330" s="120">
        <v>1.1497601918465228</v>
      </c>
      <c r="CC330" s="120">
        <v>500</v>
      </c>
      <c r="CD330" s="120">
        <v>50</v>
      </c>
      <c r="CE330" s="124">
        <v>20850</v>
      </c>
    </row>
    <row r="331" spans="1:83" hidden="1">
      <c r="A331" s="13">
        <f t="shared" ca="1" si="753"/>
        <v>324</v>
      </c>
      <c r="B331" s="128">
        <v>44711</v>
      </c>
      <c r="C331" s="121" t="s">
        <v>8</v>
      </c>
      <c r="D331" s="121">
        <v>1</v>
      </c>
      <c r="E331" s="120" t="s">
        <v>481</v>
      </c>
      <c r="F331" s="121" t="s">
        <v>502</v>
      </c>
      <c r="G331" s="120">
        <v>17000</v>
      </c>
      <c r="H331" s="122">
        <v>44742</v>
      </c>
      <c r="I331" s="120">
        <v>50</v>
      </c>
      <c r="J331" s="120">
        <v>186</v>
      </c>
      <c r="K331" s="120">
        <v>1.35</v>
      </c>
      <c r="L331" s="124">
        <f t="shared" ca="1" si="1221"/>
        <v>0</v>
      </c>
      <c r="M331" s="124">
        <f t="shared" ca="1" si="1222"/>
        <v>9232.5</v>
      </c>
      <c r="N331" s="120">
        <f t="shared" ca="1" si="1223"/>
        <v>7.2580645161290326E-3</v>
      </c>
      <c r="O331" s="164">
        <f t="shared" ca="1" si="1224"/>
        <v>232.5</v>
      </c>
      <c r="P331" s="168">
        <f t="shared" ca="1" si="754"/>
        <v>9300</v>
      </c>
      <c r="Q331" s="168" t="e">
        <f t="shared" ca="1" si="1225"/>
        <v>#N/A</v>
      </c>
      <c r="R331" s="184">
        <f t="shared" ca="1" si="1219"/>
        <v>0</v>
      </c>
      <c r="S331" s="124">
        <f t="shared" ca="1" si="1226"/>
        <v>18.599999999999994</v>
      </c>
      <c r="T331" s="120">
        <f ca="1">VLOOKUP(TRIM($F331),Reference!B:C,2,0)</f>
        <v>15938.65</v>
      </c>
      <c r="U331" s="181">
        <f t="shared" ca="1" si="1227"/>
        <v>0</v>
      </c>
      <c r="V331" s="125" t="str">
        <f t="shared" ca="1" si="1213"/>
        <v>NIFTY22JUN17000CE</v>
      </c>
      <c r="W331" s="166" t="e">
        <f ca="1">VLOOKUP($V331,Reference!BA:BD,4,0)</f>
        <v>#N/A</v>
      </c>
      <c r="X331" s="168">
        <f t="shared" ca="1" si="1214"/>
        <v>0</v>
      </c>
      <c r="Y331" s="168">
        <f t="shared" ca="1" si="1215"/>
        <v>0</v>
      </c>
      <c r="Z331" s="168">
        <f t="shared" ca="1" si="1220"/>
        <v>0</v>
      </c>
      <c r="AA331" s="168">
        <f t="shared" ca="1" si="1216"/>
        <v>0</v>
      </c>
      <c r="AB331" s="168">
        <f t="shared" ca="1" si="1217"/>
        <v>0</v>
      </c>
      <c r="AC331" s="124">
        <f t="shared" ca="1" si="1218"/>
        <v>0</v>
      </c>
      <c r="AD331" s="120">
        <f t="shared" ca="1" si="1228"/>
        <v>-4.1095890410958902E-2</v>
      </c>
      <c r="AE331" s="120">
        <f t="shared" ca="1" si="1229"/>
        <v>20</v>
      </c>
      <c r="AF331" s="120"/>
      <c r="AG331" s="120"/>
      <c r="AH331" s="120">
        <f t="shared" ca="1" si="755"/>
        <v>4.6500000000000004</v>
      </c>
      <c r="AI331" s="120"/>
      <c r="AJ331" s="120">
        <f t="shared" ca="1" si="756"/>
        <v>0</v>
      </c>
      <c r="AK331" s="120"/>
      <c r="AL331" s="147"/>
      <c r="AM331" s="160"/>
      <c r="AN331" s="160"/>
      <c r="AO331" s="160"/>
      <c r="AP331" s="160"/>
      <c r="AQ331" s="160"/>
      <c r="AR331" s="160"/>
      <c r="AS331" s="160"/>
      <c r="AT331" s="160"/>
      <c r="AU331" s="160"/>
      <c r="AV331" s="160"/>
      <c r="AW331" s="160"/>
      <c r="AX331" s="160"/>
      <c r="AY331" s="160"/>
      <c r="AZ331" s="160"/>
      <c r="BA331" s="160"/>
      <c r="BB331" s="160"/>
      <c r="BC331" s="160"/>
      <c r="BD331" s="160"/>
      <c r="BE331" s="160"/>
      <c r="BF331" s="160"/>
      <c r="BG331" s="160"/>
      <c r="BS331" s="13">
        <v>2</v>
      </c>
      <c r="BT331" s="128">
        <v>44491</v>
      </c>
      <c r="BU331" s="121" t="s">
        <v>8</v>
      </c>
      <c r="BV331" s="120" t="s">
        <v>482</v>
      </c>
      <c r="BW331" s="121" t="s">
        <v>502</v>
      </c>
      <c r="BX331" s="120">
        <v>18400</v>
      </c>
      <c r="BY331" s="120">
        <v>41.7</v>
      </c>
      <c r="BZ331" s="120">
        <v>47.945</v>
      </c>
      <c r="CA331" s="124">
        <v>-3216.6708800000001</v>
      </c>
      <c r="CB331" s="120">
        <v>1.1497601918465228</v>
      </c>
      <c r="CC331" s="120">
        <v>500</v>
      </c>
      <c r="CD331" s="120">
        <v>50</v>
      </c>
      <c r="CE331" s="124">
        <v>20850</v>
      </c>
    </row>
    <row r="332" spans="1:83" hidden="1">
      <c r="A332" s="13">
        <f t="shared" ca="1" si="753"/>
        <v>325</v>
      </c>
      <c r="B332" s="128">
        <v>44711</v>
      </c>
      <c r="C332" s="121" t="s">
        <v>8</v>
      </c>
      <c r="D332" s="121">
        <v>1</v>
      </c>
      <c r="E332" s="120" t="s">
        <v>481</v>
      </c>
      <c r="F332" s="121" t="s">
        <v>90</v>
      </c>
      <c r="G332" s="120">
        <v>3500</v>
      </c>
      <c r="H332" s="122">
        <v>44742</v>
      </c>
      <c r="I332" s="120">
        <v>150</v>
      </c>
      <c r="J332" s="120">
        <v>36.549999999999997</v>
      </c>
      <c r="K332" s="120">
        <v>1.45</v>
      </c>
      <c r="L332" s="124">
        <f t="shared" ca="1" si="1221"/>
        <v>0</v>
      </c>
      <c r="M332" s="124">
        <f t="shared" ca="1" si="1222"/>
        <v>5264.9999999999991</v>
      </c>
      <c r="N332" s="120">
        <f t="shared" ca="1" si="1223"/>
        <v>3.9671682626538987E-2</v>
      </c>
      <c r="O332" s="164">
        <f t="shared" ca="1" si="1224"/>
        <v>45.6875</v>
      </c>
      <c r="P332" s="168">
        <f t="shared" ca="1" si="754"/>
        <v>5482.5</v>
      </c>
      <c r="Q332" s="168" t="e">
        <f t="shared" ca="1" si="1225"/>
        <v>#N/A</v>
      </c>
      <c r="R332" s="184">
        <f t="shared" ca="1" si="1219"/>
        <v>0</v>
      </c>
      <c r="S332" s="124">
        <f t="shared" ca="1" si="1226"/>
        <v>3.6549999999999989</v>
      </c>
      <c r="T332" s="120">
        <f ca="1">VLOOKUP(TRIM($F332),Reference!B:C,2,0)</f>
        <v>3003</v>
      </c>
      <c r="U332" s="181">
        <f t="shared" ca="1" si="1227"/>
        <v>0</v>
      </c>
      <c r="V332" s="125" t="str">
        <f t="shared" ca="1" si="1213"/>
        <v>TCS22JUN3500CE</v>
      </c>
      <c r="W332" s="166" t="e">
        <f ca="1">VLOOKUP($V332,Reference!BA:BD,4,0)</f>
        <v>#N/A</v>
      </c>
      <c r="X332" s="168">
        <f t="shared" ca="1" si="1214"/>
        <v>0</v>
      </c>
      <c r="Y332" s="168">
        <f t="shared" ca="1" si="1215"/>
        <v>0</v>
      </c>
      <c r="Z332" s="168">
        <f t="shared" ca="1" si="1220"/>
        <v>0</v>
      </c>
      <c r="AA332" s="168">
        <f t="shared" ca="1" si="1216"/>
        <v>0</v>
      </c>
      <c r="AB332" s="168">
        <f t="shared" ca="1" si="1217"/>
        <v>0</v>
      </c>
      <c r="AC332" s="124">
        <f t="shared" ca="1" si="1218"/>
        <v>0</v>
      </c>
      <c r="AD332" s="120">
        <f t="shared" ca="1" si="1228"/>
        <v>-4.1095890410958902E-2</v>
      </c>
      <c r="AE332" s="120">
        <f t="shared" ca="1" si="1229"/>
        <v>20</v>
      </c>
      <c r="AF332" s="120"/>
      <c r="AG332" s="120"/>
      <c r="AH332" s="120">
        <f t="shared" ca="1" si="755"/>
        <v>2.74125</v>
      </c>
      <c r="AI332" s="120"/>
      <c r="AJ332" s="120">
        <f t="shared" ca="1" si="756"/>
        <v>0</v>
      </c>
      <c r="AK332" s="120"/>
      <c r="AL332" s="147"/>
      <c r="AM332" s="160"/>
      <c r="AN332" s="160"/>
      <c r="AO332" s="160"/>
      <c r="AP332" s="160"/>
      <c r="AQ332" s="160"/>
      <c r="AR332" s="160"/>
      <c r="AS332" s="160"/>
      <c r="AT332" s="160"/>
      <c r="AU332" s="160"/>
      <c r="AV332" s="160"/>
      <c r="AW332" s="160"/>
      <c r="AX332" s="160"/>
      <c r="AY332" s="160"/>
      <c r="AZ332" s="160"/>
      <c r="BA332" s="160"/>
      <c r="BB332" s="160"/>
      <c r="BC332" s="160"/>
      <c r="BD332" s="160"/>
      <c r="BE332" s="160"/>
      <c r="BF332" s="160"/>
      <c r="BG332" s="160"/>
      <c r="BS332" s="13">
        <v>2</v>
      </c>
      <c r="BT332" s="128">
        <v>44491</v>
      </c>
      <c r="BU332" s="121" t="s">
        <v>8</v>
      </c>
      <c r="BV332" s="120" t="s">
        <v>482</v>
      </c>
      <c r="BW332" s="121" t="s">
        <v>502</v>
      </c>
      <c r="BX332" s="120">
        <v>18400</v>
      </c>
      <c r="BY332" s="120">
        <v>41.7</v>
      </c>
      <c r="BZ332" s="120">
        <v>47.945</v>
      </c>
      <c r="CA332" s="124">
        <v>-3216.6708800000001</v>
      </c>
      <c r="CB332" s="120">
        <v>1.1497601918465228</v>
      </c>
      <c r="CC332" s="120">
        <v>500</v>
      </c>
      <c r="CD332" s="120">
        <v>50</v>
      </c>
      <c r="CE332" s="124">
        <v>20850</v>
      </c>
    </row>
    <row r="333" spans="1:83" hidden="1">
      <c r="A333" s="13">
        <f t="shared" ca="1" si="753"/>
        <v>326</v>
      </c>
      <c r="B333" s="128">
        <v>44712</v>
      </c>
      <c r="C333" s="121" t="s">
        <v>6</v>
      </c>
      <c r="D333" s="121">
        <v>1</v>
      </c>
      <c r="E333" s="120" t="s">
        <v>632</v>
      </c>
      <c r="F333" s="121" t="s">
        <v>390</v>
      </c>
      <c r="G333" s="120" t="s">
        <v>568</v>
      </c>
      <c r="H333" s="122">
        <v>44770</v>
      </c>
      <c r="I333" s="120">
        <v>375</v>
      </c>
      <c r="J333" s="120">
        <v>2470</v>
      </c>
      <c r="K333" s="120">
        <v>0</v>
      </c>
      <c r="L333" s="124">
        <f t="shared" ca="1" si="1221"/>
        <v>0</v>
      </c>
      <c r="M333" s="124">
        <f t="shared" ca="1" si="1222"/>
        <v>0</v>
      </c>
      <c r="N333" s="120">
        <f t="shared" ca="1" si="1223"/>
        <v>0</v>
      </c>
      <c r="O333" s="164">
        <f t="shared" ca="1" si="1224"/>
        <v>1852.5</v>
      </c>
      <c r="P333" s="168">
        <f t="shared" ca="1" si="754"/>
        <v>926250</v>
      </c>
      <c r="Q333" s="168">
        <f t="shared" ca="1" si="1225"/>
        <v>-97125</v>
      </c>
      <c r="R333" s="184">
        <f t="shared" ca="1" si="1219"/>
        <v>830250</v>
      </c>
      <c r="S333" s="124">
        <f t="shared" ca="1" si="1226"/>
        <v>246.99999999999994</v>
      </c>
      <c r="T333" s="120">
        <f ca="1">VLOOKUP(TRIM($F333),Reference!B:C,2,0)</f>
        <v>2214</v>
      </c>
      <c r="U333" s="181">
        <f t="shared" ca="1" si="1227"/>
        <v>0</v>
      </c>
      <c r="V333" s="125" t="str">
        <f t="shared" ca="1" si="1213"/>
        <v>SRF22JULFUT</v>
      </c>
      <c r="W333" s="166">
        <f ca="1">VLOOKUP($V333,Reference!BA:BD,4,0)</f>
        <v>2211</v>
      </c>
      <c r="X333" s="168">
        <f t="shared" ca="1" si="1214"/>
        <v>829125</v>
      </c>
      <c r="Y333" s="168">
        <f t="shared" ca="1" si="1215"/>
        <v>1</v>
      </c>
      <c r="Z333" s="168">
        <f t="shared" ca="1" si="1220"/>
        <v>375</v>
      </c>
      <c r="AA333" s="168">
        <f t="shared" ca="1" si="1216"/>
        <v>0</v>
      </c>
      <c r="AB333" s="168">
        <f t="shared" ca="1" si="1217"/>
        <v>0</v>
      </c>
      <c r="AC333" s="124">
        <f t="shared" ca="1" si="1218"/>
        <v>0</v>
      </c>
      <c r="AD333" s="120">
        <f t="shared" ca="1" si="1228"/>
        <v>3.5616438356164383E-2</v>
      </c>
      <c r="AE333" s="120">
        <f t="shared" ca="1" si="1229"/>
        <v>20</v>
      </c>
      <c r="AF333" s="120"/>
      <c r="AG333" s="120"/>
      <c r="AH333" s="120">
        <f t="shared" ca="1" si="755"/>
        <v>0</v>
      </c>
      <c r="AI333" s="120"/>
      <c r="AJ333" s="120">
        <f t="shared" ca="1" si="756"/>
        <v>27.787500000000001</v>
      </c>
      <c r="AK333" s="120"/>
      <c r="AL333" s="147"/>
      <c r="AM333" s="160"/>
      <c r="AN333" s="160"/>
      <c r="AO333" s="160"/>
      <c r="AP333" s="160"/>
      <c r="AQ333" s="160"/>
      <c r="AR333" s="160"/>
      <c r="AS333" s="160"/>
      <c r="AT333" s="160"/>
      <c r="AU333" s="160"/>
      <c r="AV333" s="160"/>
      <c r="AW333" s="160"/>
      <c r="AX333" s="160"/>
      <c r="AY333" s="160"/>
      <c r="AZ333" s="160"/>
      <c r="BA333" s="160"/>
      <c r="BB333" s="160"/>
      <c r="BC333" s="160"/>
      <c r="BD333" s="160"/>
      <c r="BE333" s="160"/>
      <c r="BF333" s="160"/>
      <c r="BG333" s="160"/>
      <c r="BS333" s="13">
        <v>2</v>
      </c>
      <c r="BT333" s="128">
        <v>44491</v>
      </c>
      <c r="BU333" s="121" t="s">
        <v>8</v>
      </c>
      <c r="BV333" s="120" t="s">
        <v>482</v>
      </c>
      <c r="BW333" s="121" t="s">
        <v>502</v>
      </c>
      <c r="BX333" s="120">
        <v>18400</v>
      </c>
      <c r="BY333" s="120">
        <v>41.7</v>
      </c>
      <c r="BZ333" s="120">
        <v>47.945</v>
      </c>
      <c r="CA333" s="124">
        <v>-3216.6708800000001</v>
      </c>
      <c r="CB333" s="120">
        <v>1.1497601918465228</v>
      </c>
      <c r="CC333" s="120">
        <v>500</v>
      </c>
      <c r="CD333" s="120">
        <v>50</v>
      </c>
      <c r="CE333" s="124">
        <v>20850</v>
      </c>
    </row>
    <row r="334" spans="1:83" hidden="1">
      <c r="A334" s="13">
        <f t="shared" ca="1" si="753"/>
        <v>327</v>
      </c>
      <c r="B334" s="128">
        <v>44719</v>
      </c>
      <c r="C334" s="121" t="s">
        <v>6</v>
      </c>
      <c r="D334" s="121">
        <v>1</v>
      </c>
      <c r="E334" s="120" t="s">
        <v>632</v>
      </c>
      <c r="F334" s="121" t="s">
        <v>130</v>
      </c>
      <c r="G334" s="120" t="s">
        <v>568</v>
      </c>
      <c r="H334" s="122">
        <v>44770</v>
      </c>
      <c r="I334" s="120">
        <v>3375</v>
      </c>
      <c r="J334" s="120">
        <v>235.4</v>
      </c>
      <c r="K334" s="120">
        <v>0</v>
      </c>
      <c r="L334" s="124">
        <f t="shared" ca="1" si="1221"/>
        <v>0</v>
      </c>
      <c r="M334" s="124">
        <f t="shared" ca="1" si="1222"/>
        <v>0</v>
      </c>
      <c r="N334" s="120">
        <f t="shared" ca="1" si="1223"/>
        <v>0</v>
      </c>
      <c r="O334" s="164">
        <f t="shared" ca="1" si="1224"/>
        <v>176.55</v>
      </c>
      <c r="P334" s="168">
        <f t="shared" ca="1" si="754"/>
        <v>794475</v>
      </c>
      <c r="Q334" s="168">
        <f t="shared" ca="1" si="1225"/>
        <v>-44718.75</v>
      </c>
      <c r="R334" s="184">
        <f t="shared" ca="1" si="1219"/>
        <v>747900</v>
      </c>
      <c r="S334" s="124">
        <f t="shared" ca="1" si="1226"/>
        <v>23.539999999999996</v>
      </c>
      <c r="T334" s="120">
        <f ca="1">VLOOKUP(TRIM($F334),Reference!B:C,2,0)</f>
        <v>221.6</v>
      </c>
      <c r="U334" s="181">
        <f t="shared" ca="1" si="1227"/>
        <v>0</v>
      </c>
      <c r="V334" s="125" t="str">
        <f t="shared" ca="1" si="1213"/>
        <v>TATAPOWER22JULFUT</v>
      </c>
      <c r="W334" s="166">
        <f ca="1">VLOOKUP($V334,Reference!BA:BD,4,0)</f>
        <v>222.15</v>
      </c>
      <c r="X334" s="168">
        <f t="shared" ca="1" si="1214"/>
        <v>749756.25</v>
      </c>
      <c r="Y334" s="168">
        <f t="shared" ca="1" si="1215"/>
        <v>1</v>
      </c>
      <c r="Z334" s="168">
        <f t="shared" ca="1" si="1220"/>
        <v>3375</v>
      </c>
      <c r="AA334" s="168">
        <f t="shared" ca="1" si="1216"/>
        <v>0</v>
      </c>
      <c r="AB334" s="168">
        <f t="shared" ca="1" si="1217"/>
        <v>0</v>
      </c>
      <c r="AC334" s="124">
        <f t="shared" ca="1" si="1218"/>
        <v>0</v>
      </c>
      <c r="AD334" s="120">
        <f t="shared" ca="1" si="1228"/>
        <v>3.5616438356164383E-2</v>
      </c>
      <c r="AE334" s="120">
        <f t="shared" ca="1" si="1229"/>
        <v>20</v>
      </c>
      <c r="AF334" s="120"/>
      <c r="AG334" s="120"/>
      <c r="AH334" s="120">
        <f t="shared" ca="1" si="755"/>
        <v>0</v>
      </c>
      <c r="AI334" s="120"/>
      <c r="AJ334" s="120">
        <f t="shared" ca="1" si="756"/>
        <v>23.834250000000001</v>
      </c>
      <c r="AK334" s="120"/>
      <c r="AL334" s="147"/>
      <c r="AM334" s="160"/>
      <c r="AN334" s="160"/>
      <c r="AO334" s="160"/>
      <c r="AP334" s="160"/>
      <c r="AQ334" s="160"/>
      <c r="AR334" s="160"/>
      <c r="AS334" s="160"/>
      <c r="AT334" s="160"/>
      <c r="AU334" s="160"/>
      <c r="AV334" s="160"/>
      <c r="AW334" s="160"/>
      <c r="AX334" s="160"/>
      <c r="AY334" s="160"/>
      <c r="AZ334" s="160"/>
      <c r="BA334" s="160"/>
      <c r="BB334" s="160"/>
      <c r="BC334" s="160"/>
      <c r="BD334" s="160"/>
      <c r="BE334" s="160"/>
      <c r="BF334" s="160"/>
      <c r="BG334" s="160"/>
      <c r="BS334" s="13">
        <v>2</v>
      </c>
      <c r="BT334" s="128">
        <v>44491</v>
      </c>
      <c r="BU334" s="121" t="s">
        <v>8</v>
      </c>
      <c r="BV334" s="120" t="s">
        <v>482</v>
      </c>
      <c r="BW334" s="121" t="s">
        <v>502</v>
      </c>
      <c r="BX334" s="120">
        <v>18400</v>
      </c>
      <c r="BY334" s="120">
        <v>41.7</v>
      </c>
      <c r="BZ334" s="120">
        <v>47.945</v>
      </c>
      <c r="CA334" s="124">
        <v>-3216.6708800000001</v>
      </c>
      <c r="CB334" s="120">
        <v>1.1497601918465228</v>
      </c>
      <c r="CC334" s="120">
        <v>500</v>
      </c>
      <c r="CD334" s="120">
        <v>50</v>
      </c>
      <c r="CE334" s="124">
        <v>20850</v>
      </c>
    </row>
    <row r="335" spans="1:83">
      <c r="A335" s="13">
        <f t="shared" ca="1" si="753"/>
        <v>328</v>
      </c>
      <c r="B335" s="128">
        <v>44720</v>
      </c>
      <c r="C335" s="121" t="s">
        <v>6</v>
      </c>
      <c r="D335" s="121">
        <v>1</v>
      </c>
      <c r="E335" s="120" t="s">
        <v>632</v>
      </c>
      <c r="F335" s="121" t="s">
        <v>104</v>
      </c>
      <c r="G335" s="120" t="s">
        <v>568</v>
      </c>
      <c r="H335" s="122">
        <v>44770</v>
      </c>
      <c r="I335" s="120">
        <v>300</v>
      </c>
      <c r="J335" s="120">
        <v>2197.4</v>
      </c>
      <c r="K335" s="120">
        <v>2394.3000000000002</v>
      </c>
      <c r="L335" s="124">
        <f t="shared" ref="L335:L339" ca="1" si="1230">IF(AND(K335&lt;&gt;0,I335&lt;&gt;0),(IF(C335="B",1,-1))*(K335-J335)*I335-AK335*2,0)*$D335*IF(MONTH($B$2)=MONTH($H335),1,0)</f>
        <v>59070.000000000029</v>
      </c>
      <c r="M335" s="124">
        <f t="shared" ref="M335:M339" ca="1" si="1231">IF(AND(K335&lt;&gt;0,I335&lt;&gt;0),(IF(C335="B",1,-1))*(K335-J335)*I335-AK335*2,0)*$D335</f>
        <v>59070.000000000029</v>
      </c>
      <c r="N335" s="120">
        <f t="shared" ref="N335:N339" ca="1" si="1232">K335/$J335</f>
        <v>1.0896058978793119</v>
      </c>
      <c r="O335" s="164">
        <f t="shared" ref="O335:O339" ca="1" si="1233">J335*(1+$O$6*IF(C335="B",-1,1))</f>
        <v>1648.0500000000002</v>
      </c>
      <c r="P335" s="168">
        <f t="shared" ca="1" si="754"/>
        <v>659220</v>
      </c>
      <c r="Q335" s="168" t="e">
        <f t="shared" ref="Q335:Q339" ca="1" si="1234">(W335-J335)*I335*IF(C335="B",1,-1)*IF(K335=0,1,0)</f>
        <v>#N/A</v>
      </c>
      <c r="R335" s="184">
        <f t="shared" ca="1" si="1219"/>
        <v>0</v>
      </c>
      <c r="S335" s="124">
        <f t="shared" ref="S335:S339" ca="1" si="1235">(1-$S$6)*J335</f>
        <v>219.73999999999995</v>
      </c>
      <c r="T335" s="120">
        <f ca="1">VLOOKUP(TRIM($F335),Reference!B:C,2,0)</f>
        <v>2495.85</v>
      </c>
      <c r="U335" s="181">
        <f t="shared" ref="U335:U339" ca="1" si="1236">AC335</f>
        <v>0</v>
      </c>
      <c r="V335" s="125" t="str">
        <f t="shared" ca="1" si="1213"/>
        <v>HINDUNILVR22JULFUT</v>
      </c>
      <c r="W335" s="166" t="e">
        <f ca="1">VLOOKUP($V335,Reference!BA:BD,4,0)</f>
        <v>#N/A</v>
      </c>
      <c r="X335" s="168">
        <f t="shared" ca="1" si="1214"/>
        <v>0</v>
      </c>
      <c r="Y335" s="168">
        <f t="shared" ca="1" si="1215"/>
        <v>0</v>
      </c>
      <c r="Z335" s="168">
        <f t="shared" ca="1" si="1220"/>
        <v>0</v>
      </c>
      <c r="AA335" s="168">
        <f t="shared" ca="1" si="1216"/>
        <v>0</v>
      </c>
      <c r="AB335" s="168">
        <f t="shared" ca="1" si="1217"/>
        <v>0</v>
      </c>
      <c r="AC335" s="124">
        <f t="shared" ca="1" si="1218"/>
        <v>0</v>
      </c>
      <c r="AD335" s="120">
        <f t="shared" ref="AD335:AD339" ca="1" si="1237">(H335-TODAY())/365</f>
        <v>3.5616438356164383E-2</v>
      </c>
      <c r="AE335" s="120">
        <f t="shared" ref="AE335:AE339" ca="1" si="1238">IF(I335&lt;&gt;0,20,0)</f>
        <v>20</v>
      </c>
      <c r="AF335" s="120"/>
      <c r="AG335" s="120"/>
      <c r="AH335" s="120">
        <f t="shared" ca="1" si="755"/>
        <v>0</v>
      </c>
      <c r="AI335" s="120"/>
      <c r="AJ335" s="120">
        <f t="shared" ca="1" si="756"/>
        <v>19.776600000000002</v>
      </c>
      <c r="AK335" s="120"/>
      <c r="AL335" s="147"/>
      <c r="AM335" s="160"/>
      <c r="AN335" s="160"/>
      <c r="AO335" s="160"/>
      <c r="AP335" s="160"/>
      <c r="AQ335" s="160"/>
      <c r="AR335" s="160"/>
      <c r="AS335" s="160"/>
      <c r="AT335" s="160"/>
      <c r="AU335" s="160"/>
      <c r="AV335" s="160"/>
      <c r="AW335" s="160"/>
      <c r="AX335" s="160"/>
      <c r="AY335" s="160"/>
      <c r="AZ335" s="160"/>
      <c r="BA335" s="160"/>
      <c r="BB335" s="160"/>
      <c r="BC335" s="160"/>
      <c r="BD335" s="160"/>
      <c r="BE335" s="160"/>
      <c r="BF335" s="160"/>
      <c r="BG335" s="160"/>
      <c r="BS335" s="13">
        <v>2</v>
      </c>
      <c r="BT335" s="128">
        <v>44491</v>
      </c>
      <c r="BU335" s="121" t="s">
        <v>8</v>
      </c>
      <c r="BV335" s="120" t="s">
        <v>482</v>
      </c>
      <c r="BW335" s="121" t="s">
        <v>502</v>
      </c>
      <c r="BX335" s="120">
        <v>18400</v>
      </c>
      <c r="BY335" s="120">
        <v>41.7</v>
      </c>
      <c r="BZ335" s="120">
        <v>47.945</v>
      </c>
      <c r="CA335" s="124">
        <v>-3216.6708800000001</v>
      </c>
      <c r="CB335" s="120">
        <v>1.1497601918465228</v>
      </c>
      <c r="CC335" s="120">
        <v>500</v>
      </c>
      <c r="CD335" s="120">
        <v>50</v>
      </c>
      <c r="CE335" s="124">
        <v>20850</v>
      </c>
    </row>
    <row r="336" spans="1:83">
      <c r="A336" s="13">
        <f t="shared" ca="1" si="753"/>
        <v>329</v>
      </c>
      <c r="B336" s="128">
        <v>44720</v>
      </c>
      <c r="C336" s="121" t="s">
        <v>6</v>
      </c>
      <c r="D336" s="121">
        <v>1</v>
      </c>
      <c r="E336" s="120" t="s">
        <v>482</v>
      </c>
      <c r="F336" s="121" t="s">
        <v>104</v>
      </c>
      <c r="G336" s="120">
        <v>2160</v>
      </c>
      <c r="H336" s="122">
        <v>44742</v>
      </c>
      <c r="I336" s="120">
        <v>300</v>
      </c>
      <c r="J336" s="120">
        <v>39.799999999999997</v>
      </c>
      <c r="K336" s="120">
        <v>1.1499999999999999</v>
      </c>
      <c r="L336" s="124">
        <f t="shared" ca="1" si="1230"/>
        <v>0</v>
      </c>
      <c r="M336" s="124">
        <f t="shared" ca="1" si="1231"/>
        <v>-11595</v>
      </c>
      <c r="N336" s="120">
        <f t="shared" ca="1" si="1232"/>
        <v>2.8894472361809045E-2</v>
      </c>
      <c r="O336" s="164">
        <f t="shared" ca="1" si="1233"/>
        <v>29.849999999999998</v>
      </c>
      <c r="P336" s="168">
        <f t="shared" ca="1" si="754"/>
        <v>11940</v>
      </c>
      <c r="Q336" s="168" t="e">
        <f t="shared" ca="1" si="1234"/>
        <v>#N/A</v>
      </c>
      <c r="R336" s="184">
        <f t="shared" ca="1" si="1219"/>
        <v>0</v>
      </c>
      <c r="S336" s="124">
        <f t="shared" ca="1" si="1235"/>
        <v>3.9799999999999986</v>
      </c>
      <c r="T336" s="120">
        <f ca="1">VLOOKUP(TRIM($F336),Reference!B:C,2,0)</f>
        <v>2495.85</v>
      </c>
      <c r="U336" s="181">
        <f t="shared" ca="1" si="1236"/>
        <v>0</v>
      </c>
      <c r="V336" s="125" t="str">
        <f t="shared" ca="1" si="1213"/>
        <v>HINDUNILVR22JUN2160PE</v>
      </c>
      <c r="W336" s="166" t="e">
        <f ca="1">VLOOKUP($V336,Reference!BA:BD,4,0)</f>
        <v>#N/A</v>
      </c>
      <c r="X336" s="168">
        <f t="shared" ca="1" si="1214"/>
        <v>0</v>
      </c>
      <c r="Y336" s="168">
        <f t="shared" ca="1" si="1215"/>
        <v>0</v>
      </c>
      <c r="Z336" s="168">
        <f t="shared" ca="1" si="1220"/>
        <v>0</v>
      </c>
      <c r="AA336" s="168">
        <f t="shared" ca="1" si="1216"/>
        <v>0</v>
      </c>
      <c r="AB336" s="168">
        <f t="shared" ca="1" si="1217"/>
        <v>0</v>
      </c>
      <c r="AC336" s="124">
        <f t="shared" ca="1" si="1218"/>
        <v>0</v>
      </c>
      <c r="AD336" s="120">
        <f t="shared" ca="1" si="1237"/>
        <v>-4.1095890410958902E-2</v>
      </c>
      <c r="AE336" s="120">
        <f t="shared" ca="1" si="1238"/>
        <v>20</v>
      </c>
      <c r="AF336" s="120"/>
      <c r="AG336" s="120"/>
      <c r="AH336" s="120">
        <f t="shared" ca="1" si="755"/>
        <v>0</v>
      </c>
      <c r="AI336" s="120"/>
      <c r="AJ336" s="120">
        <f t="shared" ca="1" si="756"/>
        <v>0.35820000000000002</v>
      </c>
      <c r="AK336" s="120"/>
      <c r="AL336" s="147"/>
      <c r="AM336" s="160"/>
      <c r="AN336" s="160"/>
      <c r="AO336" s="160"/>
      <c r="AP336" s="160"/>
      <c r="AQ336" s="160"/>
      <c r="AR336" s="160"/>
      <c r="AS336" s="160"/>
      <c r="AT336" s="160"/>
      <c r="AU336" s="160"/>
      <c r="AV336" s="160"/>
      <c r="AW336" s="160"/>
      <c r="AX336" s="160"/>
      <c r="AY336" s="160"/>
      <c r="AZ336" s="160"/>
      <c r="BA336" s="160"/>
      <c r="BB336" s="160"/>
      <c r="BC336" s="160"/>
      <c r="BD336" s="160"/>
      <c r="BE336" s="160"/>
      <c r="BF336" s="160"/>
      <c r="BG336" s="160"/>
      <c r="BS336" s="13">
        <v>2</v>
      </c>
      <c r="BT336" s="128">
        <v>44491</v>
      </c>
      <c r="BU336" s="121" t="s">
        <v>8</v>
      </c>
      <c r="BV336" s="120" t="s">
        <v>482</v>
      </c>
      <c r="BW336" s="121" t="s">
        <v>502</v>
      </c>
      <c r="BX336" s="120">
        <v>18400</v>
      </c>
      <c r="BY336" s="120">
        <v>41.7</v>
      </c>
      <c r="BZ336" s="120">
        <v>47.945</v>
      </c>
      <c r="CA336" s="124">
        <v>-3216.6708800000001</v>
      </c>
      <c r="CB336" s="120">
        <v>1.1497601918465228</v>
      </c>
      <c r="CC336" s="120">
        <v>500</v>
      </c>
      <c r="CD336" s="120">
        <v>50</v>
      </c>
      <c r="CE336" s="124">
        <v>20850</v>
      </c>
    </row>
    <row r="337" spans="1:83" hidden="1">
      <c r="A337" s="13">
        <f t="shared" ca="1" si="753"/>
        <v>330</v>
      </c>
      <c r="B337" s="128">
        <v>44721</v>
      </c>
      <c r="C337" s="121" t="s">
        <v>6</v>
      </c>
      <c r="D337" s="121">
        <v>1</v>
      </c>
      <c r="E337" s="120" t="s">
        <v>632</v>
      </c>
      <c r="F337" s="121" t="s">
        <v>126</v>
      </c>
      <c r="G337" s="120" t="s">
        <v>568</v>
      </c>
      <c r="H337" s="122">
        <v>44770</v>
      </c>
      <c r="I337" s="120">
        <v>3750</v>
      </c>
      <c r="J337" s="120">
        <v>184</v>
      </c>
      <c r="K337" s="120">
        <v>184.1</v>
      </c>
      <c r="L337" s="124">
        <f t="shared" ca="1" si="1230"/>
        <v>374.99999999997868</v>
      </c>
      <c r="M337" s="124">
        <f t="shared" ca="1" si="1231"/>
        <v>374.99999999997868</v>
      </c>
      <c r="N337" s="120">
        <f t="shared" ca="1" si="1232"/>
        <v>1.0005434782608695</v>
      </c>
      <c r="O337" s="164">
        <f t="shared" ca="1" si="1233"/>
        <v>138</v>
      </c>
      <c r="P337" s="168">
        <f t="shared" ca="1" si="754"/>
        <v>690000</v>
      </c>
      <c r="Q337" s="168">
        <f t="shared" ca="1" si="1234"/>
        <v>0</v>
      </c>
      <c r="R337" s="184">
        <f t="shared" ca="1" si="1219"/>
        <v>0</v>
      </c>
      <c r="S337" s="124">
        <f t="shared" ca="1" si="1235"/>
        <v>18.399999999999995</v>
      </c>
      <c r="T337" s="120">
        <f ca="1">VLOOKUP(TRIM($F337),Reference!B:C,2,0)</f>
        <v>162.15</v>
      </c>
      <c r="U337" s="181">
        <f t="shared" ca="1" si="1236"/>
        <v>0</v>
      </c>
      <c r="V337" s="125" t="str">
        <f t="shared" ca="1" si="1213"/>
        <v>IEX22JULFUT</v>
      </c>
      <c r="W337" s="166">
        <f ca="1">VLOOKUP($V337,Reference!BA:BD,4,0)</f>
        <v>162.85</v>
      </c>
      <c r="X337" s="168">
        <f t="shared" ca="1" si="1214"/>
        <v>0</v>
      </c>
      <c r="Y337" s="168">
        <f t="shared" ca="1" si="1215"/>
        <v>0</v>
      </c>
      <c r="Z337" s="168">
        <f t="shared" ca="1" si="1220"/>
        <v>0</v>
      </c>
      <c r="AA337" s="168">
        <f t="shared" ca="1" si="1216"/>
        <v>0</v>
      </c>
      <c r="AB337" s="168">
        <f t="shared" ca="1" si="1217"/>
        <v>0</v>
      </c>
      <c r="AC337" s="124">
        <f t="shared" ca="1" si="1218"/>
        <v>0</v>
      </c>
      <c r="AD337" s="120">
        <f t="shared" ca="1" si="1237"/>
        <v>3.5616438356164383E-2</v>
      </c>
      <c r="AE337" s="120">
        <f t="shared" ca="1" si="1238"/>
        <v>20</v>
      </c>
      <c r="AF337" s="120"/>
      <c r="AG337" s="120"/>
      <c r="AH337" s="120">
        <f t="shared" ca="1" si="755"/>
        <v>0</v>
      </c>
      <c r="AI337" s="120"/>
      <c r="AJ337" s="120">
        <f t="shared" ca="1" si="756"/>
        <v>20.7</v>
      </c>
      <c r="AK337" s="120"/>
      <c r="AL337" s="147"/>
      <c r="AM337" s="160"/>
      <c r="AN337" s="160"/>
      <c r="AO337" s="160"/>
      <c r="AP337" s="160"/>
      <c r="AQ337" s="160"/>
      <c r="AR337" s="160"/>
      <c r="AS337" s="160"/>
      <c r="AT337" s="160"/>
      <c r="AU337" s="160"/>
      <c r="AV337" s="160"/>
      <c r="AW337" s="160"/>
      <c r="AX337" s="160"/>
      <c r="AY337" s="160"/>
      <c r="AZ337" s="160"/>
      <c r="BA337" s="160"/>
      <c r="BB337" s="160"/>
      <c r="BC337" s="160"/>
      <c r="BD337" s="160"/>
      <c r="BE337" s="160"/>
      <c r="BF337" s="160"/>
      <c r="BG337" s="160"/>
      <c r="BS337" s="13">
        <v>2</v>
      </c>
      <c r="BT337" s="128">
        <v>44491</v>
      </c>
      <c r="BU337" s="121" t="s">
        <v>8</v>
      </c>
      <c r="BV337" s="120" t="s">
        <v>482</v>
      </c>
      <c r="BW337" s="121" t="s">
        <v>502</v>
      </c>
      <c r="BX337" s="120">
        <v>18400</v>
      </c>
      <c r="BY337" s="120">
        <v>41.7</v>
      </c>
      <c r="BZ337" s="120">
        <v>47.945</v>
      </c>
      <c r="CA337" s="124">
        <v>-3216.6708800000001</v>
      </c>
      <c r="CB337" s="120">
        <v>1.1497601918465228</v>
      </c>
      <c r="CC337" s="120">
        <v>500</v>
      </c>
      <c r="CD337" s="120">
        <v>50</v>
      </c>
      <c r="CE337" s="124">
        <v>20850</v>
      </c>
    </row>
    <row r="338" spans="1:83" hidden="1">
      <c r="A338" s="13">
        <f t="shared" ca="1" si="753"/>
        <v>331</v>
      </c>
      <c r="B338" s="128">
        <v>44721</v>
      </c>
      <c r="C338" s="121" t="s">
        <v>8</v>
      </c>
      <c r="D338" s="121">
        <v>1</v>
      </c>
      <c r="E338" s="120" t="s">
        <v>481</v>
      </c>
      <c r="F338" s="121" t="s">
        <v>126</v>
      </c>
      <c r="G338" s="120">
        <v>190</v>
      </c>
      <c r="H338" s="122">
        <v>44742</v>
      </c>
      <c r="I338" s="120">
        <v>3750</v>
      </c>
      <c r="J338" s="120">
        <v>5.65</v>
      </c>
      <c r="K338" s="120">
        <v>0</v>
      </c>
      <c r="L338" s="124">
        <f t="shared" ca="1" si="1230"/>
        <v>0</v>
      </c>
      <c r="M338" s="124">
        <f t="shared" ca="1" si="1231"/>
        <v>0</v>
      </c>
      <c r="N338" s="120">
        <f t="shared" ca="1" si="1232"/>
        <v>0</v>
      </c>
      <c r="O338" s="164">
        <f t="shared" ca="1" si="1233"/>
        <v>7.0625</v>
      </c>
      <c r="P338" s="168">
        <f t="shared" ca="1" si="754"/>
        <v>21187.5</v>
      </c>
      <c r="Q338" s="168" t="e">
        <f t="shared" ca="1" si="1234"/>
        <v>#N/A</v>
      </c>
      <c r="R338" s="184">
        <f t="shared" ca="1" si="1219"/>
        <v>0</v>
      </c>
      <c r="S338" s="124">
        <f t="shared" ca="1" si="1235"/>
        <v>0.56499999999999995</v>
      </c>
      <c r="T338" s="120">
        <f ca="1">VLOOKUP(TRIM($F338),Reference!B:C,2,0)</f>
        <v>162.15</v>
      </c>
      <c r="U338" s="181">
        <f t="shared" ca="1" si="1236"/>
        <v>0</v>
      </c>
      <c r="V338" s="125" t="str">
        <f t="shared" ca="1" si="1213"/>
        <v>IEX22JUN190CE</v>
      </c>
      <c r="W338" s="166" t="e">
        <f ca="1">VLOOKUP($V338,Reference!BA:BD,4,0)</f>
        <v>#N/A</v>
      </c>
      <c r="X338" s="168">
        <f t="shared" ca="1" si="1214"/>
        <v>0</v>
      </c>
      <c r="Y338" s="168">
        <f t="shared" ca="1" si="1215"/>
        <v>0</v>
      </c>
      <c r="Z338" s="168">
        <f t="shared" ca="1" si="1220"/>
        <v>0</v>
      </c>
      <c r="AA338" s="168">
        <f t="shared" ca="1" si="1216"/>
        <v>0</v>
      </c>
      <c r="AB338" s="168">
        <f t="shared" ca="1" si="1217"/>
        <v>0</v>
      </c>
      <c r="AC338" s="124">
        <f t="shared" ca="1" si="1218"/>
        <v>0</v>
      </c>
      <c r="AD338" s="120">
        <f t="shared" ca="1" si="1237"/>
        <v>-4.1095890410958902E-2</v>
      </c>
      <c r="AE338" s="120">
        <f t="shared" ca="1" si="1238"/>
        <v>20</v>
      </c>
      <c r="AF338" s="120"/>
      <c r="AG338" s="120"/>
      <c r="AH338" s="120">
        <f t="shared" ca="1" si="755"/>
        <v>10.59375</v>
      </c>
      <c r="AI338" s="120"/>
      <c r="AJ338" s="120">
        <f t="shared" ca="1" si="756"/>
        <v>0</v>
      </c>
      <c r="AK338" s="120"/>
      <c r="AL338" s="147"/>
      <c r="AM338" s="160"/>
      <c r="AN338" s="160"/>
      <c r="AO338" s="160"/>
      <c r="AP338" s="160"/>
      <c r="AQ338" s="160"/>
      <c r="AR338" s="160"/>
      <c r="AS338" s="160"/>
      <c r="AT338" s="160"/>
      <c r="AU338" s="160"/>
      <c r="AV338" s="160"/>
      <c r="AW338" s="160"/>
      <c r="AX338" s="160"/>
      <c r="AY338" s="160"/>
      <c r="AZ338" s="160"/>
      <c r="BA338" s="160"/>
      <c r="BB338" s="160"/>
      <c r="BC338" s="160"/>
      <c r="BD338" s="160"/>
      <c r="BE338" s="160"/>
      <c r="BF338" s="160"/>
      <c r="BG338" s="160"/>
      <c r="BS338" s="13">
        <v>2</v>
      </c>
      <c r="BT338" s="128">
        <v>44491</v>
      </c>
      <c r="BU338" s="121" t="s">
        <v>8</v>
      </c>
      <c r="BV338" s="120" t="s">
        <v>482</v>
      </c>
      <c r="BW338" s="121" t="s">
        <v>502</v>
      </c>
      <c r="BX338" s="120">
        <v>18400</v>
      </c>
      <c r="BY338" s="120">
        <v>41.7</v>
      </c>
      <c r="BZ338" s="120">
        <v>47.945</v>
      </c>
      <c r="CA338" s="124">
        <v>-3216.6708800000001</v>
      </c>
      <c r="CB338" s="120">
        <v>1.1497601918465228</v>
      </c>
      <c r="CC338" s="120">
        <v>500</v>
      </c>
      <c r="CD338" s="120">
        <v>50</v>
      </c>
      <c r="CE338" s="124">
        <v>20850</v>
      </c>
    </row>
    <row r="339" spans="1:83" hidden="1">
      <c r="A339" s="13">
        <f t="shared" ca="1" si="753"/>
        <v>332</v>
      </c>
      <c r="B339" s="128">
        <v>44722</v>
      </c>
      <c r="C339" s="121" t="s">
        <v>8</v>
      </c>
      <c r="D339" s="121">
        <v>1</v>
      </c>
      <c r="E339" s="120" t="s">
        <v>482</v>
      </c>
      <c r="F339" s="121" t="s">
        <v>502</v>
      </c>
      <c r="G339" s="120">
        <v>15800</v>
      </c>
      <c r="H339" s="122">
        <v>44742</v>
      </c>
      <c r="I339" s="120">
        <v>50</v>
      </c>
      <c r="J339" s="120">
        <v>135</v>
      </c>
      <c r="K339" s="120">
        <v>113.5</v>
      </c>
      <c r="L339" s="124">
        <f t="shared" ca="1" si="1230"/>
        <v>0</v>
      </c>
      <c r="M339" s="124">
        <f t="shared" ca="1" si="1231"/>
        <v>1075</v>
      </c>
      <c r="N339" s="120">
        <f t="shared" ca="1" si="1232"/>
        <v>0.84074074074074079</v>
      </c>
      <c r="O339" s="164">
        <f t="shared" ca="1" si="1233"/>
        <v>168.75</v>
      </c>
      <c r="P339" s="168">
        <f t="shared" ca="1" si="754"/>
        <v>6750</v>
      </c>
      <c r="Q339" s="168" t="e">
        <f t="shared" ca="1" si="1234"/>
        <v>#N/A</v>
      </c>
      <c r="R339" s="184">
        <f t="shared" ca="1" si="1219"/>
        <v>0</v>
      </c>
      <c r="S339" s="124">
        <f t="shared" ca="1" si="1235"/>
        <v>13.499999999999996</v>
      </c>
      <c r="T339" s="120">
        <f ca="1">VLOOKUP(TRIM($F339),Reference!B:C,2,0)</f>
        <v>15938.65</v>
      </c>
      <c r="U339" s="181">
        <f t="shared" ca="1" si="1236"/>
        <v>0</v>
      </c>
      <c r="V339" s="125" t="str">
        <f t="shared" ca="1" si="1213"/>
        <v>NIFTY22JUN15800PE</v>
      </c>
      <c r="W339" s="166" t="e">
        <f ca="1">VLOOKUP($V339,Reference!BA:BD,4,0)</f>
        <v>#N/A</v>
      </c>
      <c r="X339" s="168">
        <f t="shared" ca="1" si="1214"/>
        <v>0</v>
      </c>
      <c r="Y339" s="168">
        <f t="shared" ca="1" si="1215"/>
        <v>0</v>
      </c>
      <c r="Z339" s="168">
        <f t="shared" ca="1" si="1220"/>
        <v>0</v>
      </c>
      <c r="AA339" s="168">
        <f t="shared" ca="1" si="1216"/>
        <v>0</v>
      </c>
      <c r="AB339" s="168">
        <f t="shared" ca="1" si="1217"/>
        <v>0</v>
      </c>
      <c r="AC339" s="124">
        <f t="shared" ca="1" si="1218"/>
        <v>0</v>
      </c>
      <c r="AD339" s="120">
        <f t="shared" ca="1" si="1237"/>
        <v>-4.1095890410958902E-2</v>
      </c>
      <c r="AE339" s="120">
        <f t="shared" ca="1" si="1238"/>
        <v>20</v>
      </c>
      <c r="AF339" s="120"/>
      <c r="AG339" s="120"/>
      <c r="AH339" s="120">
        <f t="shared" ca="1" si="755"/>
        <v>3.375</v>
      </c>
      <c r="AI339" s="120"/>
      <c r="AJ339" s="120">
        <f t="shared" ca="1" si="756"/>
        <v>0</v>
      </c>
      <c r="AK339" s="120"/>
      <c r="AL339" s="147"/>
      <c r="AM339" s="160"/>
      <c r="AN339" s="160"/>
      <c r="AO339" s="160"/>
      <c r="AP339" s="160"/>
      <c r="AQ339" s="160"/>
      <c r="AR339" s="160"/>
      <c r="AS339" s="160"/>
      <c r="AT339" s="160"/>
      <c r="AU339" s="160"/>
      <c r="AV339" s="160"/>
      <c r="AW339" s="160"/>
      <c r="AX339" s="160"/>
      <c r="AY339" s="160"/>
      <c r="AZ339" s="160"/>
      <c r="BA339" s="160"/>
      <c r="BB339" s="160"/>
      <c r="BC339" s="160"/>
      <c r="BD339" s="160"/>
      <c r="BE339" s="160"/>
      <c r="BF339" s="160"/>
      <c r="BG339" s="160"/>
      <c r="BS339" s="13">
        <v>2</v>
      </c>
      <c r="BT339" s="128">
        <v>44491</v>
      </c>
      <c r="BU339" s="121" t="s">
        <v>8</v>
      </c>
      <c r="BV339" s="120" t="s">
        <v>482</v>
      </c>
      <c r="BW339" s="121" t="s">
        <v>502</v>
      </c>
      <c r="BX339" s="120">
        <v>18400</v>
      </c>
      <c r="BY339" s="120">
        <v>41.7</v>
      </c>
      <c r="BZ339" s="120">
        <v>47.945</v>
      </c>
      <c r="CA339" s="124">
        <v>-3216.6708800000001</v>
      </c>
      <c r="CB339" s="120">
        <v>1.1497601918465228</v>
      </c>
      <c r="CC339" s="120">
        <v>500</v>
      </c>
      <c r="CD339" s="120">
        <v>50</v>
      </c>
      <c r="CE339" s="124">
        <v>20850</v>
      </c>
    </row>
    <row r="340" spans="1:83" hidden="1">
      <c r="A340" s="13">
        <f t="shared" ca="1" si="753"/>
        <v>333</v>
      </c>
      <c r="B340" s="128">
        <v>44722</v>
      </c>
      <c r="C340" s="121" t="s">
        <v>8</v>
      </c>
      <c r="D340" s="121">
        <v>1</v>
      </c>
      <c r="E340" s="120" t="s">
        <v>482</v>
      </c>
      <c r="F340" s="121" t="s">
        <v>502</v>
      </c>
      <c r="G340" s="120">
        <v>15800</v>
      </c>
      <c r="H340" s="122">
        <v>44742</v>
      </c>
      <c r="I340" s="120">
        <v>50</v>
      </c>
      <c r="J340" s="120">
        <v>139</v>
      </c>
      <c r="K340" s="120">
        <v>100.1</v>
      </c>
      <c r="L340" s="124">
        <f t="shared" ref="L340" ca="1" si="1239">IF(AND(K340&lt;&gt;0,I340&lt;&gt;0),(IF(C340="B",1,-1))*(K340-J340)*I340-AK340*2,0)*$D340*IF(MONTH($B$2)=MONTH($H340),1,0)</f>
        <v>0</v>
      </c>
      <c r="M340" s="124">
        <f t="shared" ref="M340" ca="1" si="1240">IF(AND(K340&lt;&gt;0,I340&lt;&gt;0),(IF(C340="B",1,-1))*(K340-J340)*I340-AK340*2,0)*$D340</f>
        <v>1945.0000000000002</v>
      </c>
      <c r="N340" s="120">
        <f t="shared" ref="N340" ca="1" si="1241">K340/$J340</f>
        <v>0.72014388489208625</v>
      </c>
      <c r="O340" s="164">
        <f t="shared" ref="O340" ca="1" si="1242">J340*(1+$O$6*IF(C340="B",-1,1))</f>
        <v>173.75</v>
      </c>
      <c r="P340" s="168">
        <f t="shared" ca="1" si="754"/>
        <v>6950</v>
      </c>
      <c r="Q340" s="168" t="e">
        <f t="shared" ref="Q340" ca="1" si="1243">(W340-J340)*I340*IF(C340="B",1,-1)*IF(K340=0,1,0)</f>
        <v>#N/A</v>
      </c>
      <c r="R340" s="184">
        <f t="shared" ca="1" si="1219"/>
        <v>0</v>
      </c>
      <c r="S340" s="124">
        <f t="shared" ref="S340" ca="1" si="1244">(1-$S$6)*J340</f>
        <v>13.899999999999997</v>
      </c>
      <c r="T340" s="120">
        <f ca="1">VLOOKUP(TRIM($F340),Reference!B:C,2,0)</f>
        <v>15938.65</v>
      </c>
      <c r="U340" s="181">
        <f t="shared" ref="U340" ca="1" si="1245">AC340</f>
        <v>0</v>
      </c>
      <c r="V340" s="125" t="str">
        <f t="shared" ca="1" si="1213"/>
        <v>NIFTY22JUN15800PE</v>
      </c>
      <c r="W340" s="166" t="e">
        <f ca="1">VLOOKUP($V340,Reference!BA:BD,4,0)</f>
        <v>#N/A</v>
      </c>
      <c r="X340" s="168">
        <f t="shared" ca="1" si="1214"/>
        <v>0</v>
      </c>
      <c r="Y340" s="168">
        <f t="shared" ca="1" si="1215"/>
        <v>0</v>
      </c>
      <c r="Z340" s="168">
        <f t="shared" ca="1" si="1220"/>
        <v>0</v>
      </c>
      <c r="AA340" s="168">
        <f t="shared" ca="1" si="1216"/>
        <v>0</v>
      </c>
      <c r="AB340" s="168">
        <f t="shared" ca="1" si="1217"/>
        <v>0</v>
      </c>
      <c r="AC340" s="124">
        <f t="shared" ca="1" si="1218"/>
        <v>0</v>
      </c>
      <c r="AD340" s="120">
        <f t="shared" ref="AD340" ca="1" si="1246">(H340-TODAY())/365</f>
        <v>-4.1095890410958902E-2</v>
      </c>
      <c r="AE340" s="120">
        <f t="shared" ref="AE340" ca="1" si="1247">IF(I340&lt;&gt;0,20,0)</f>
        <v>20</v>
      </c>
      <c r="AF340" s="120"/>
      <c r="AG340" s="120"/>
      <c r="AH340" s="120">
        <f t="shared" ca="1" si="755"/>
        <v>3.4750000000000001</v>
      </c>
      <c r="AI340" s="120"/>
      <c r="AJ340" s="120">
        <f t="shared" ca="1" si="756"/>
        <v>0</v>
      </c>
      <c r="AK340" s="120"/>
      <c r="AL340" s="147"/>
      <c r="AM340" s="160"/>
      <c r="AN340" s="160"/>
      <c r="AO340" s="160"/>
      <c r="AP340" s="160"/>
      <c r="AQ340" s="160"/>
      <c r="AR340" s="160"/>
      <c r="AS340" s="160"/>
      <c r="AT340" s="160"/>
      <c r="AU340" s="160"/>
      <c r="AV340" s="160"/>
      <c r="AW340" s="160"/>
      <c r="AX340" s="160"/>
      <c r="AY340" s="160"/>
      <c r="AZ340" s="160"/>
      <c r="BA340" s="160"/>
      <c r="BB340" s="160"/>
      <c r="BC340" s="160"/>
      <c r="BD340" s="160"/>
      <c r="BE340" s="160"/>
      <c r="BF340" s="160"/>
      <c r="BG340" s="160"/>
      <c r="BS340" s="13">
        <v>2</v>
      </c>
      <c r="BT340" s="128">
        <v>44491</v>
      </c>
      <c r="BU340" s="121" t="s">
        <v>8</v>
      </c>
      <c r="BV340" s="120" t="s">
        <v>482</v>
      </c>
      <c r="BW340" s="121" t="s">
        <v>502</v>
      </c>
      <c r="BX340" s="120">
        <v>18400</v>
      </c>
      <c r="BY340" s="120">
        <v>41.7</v>
      </c>
      <c r="BZ340" s="120">
        <v>47.945</v>
      </c>
      <c r="CA340" s="124">
        <v>-3216.6708800000001</v>
      </c>
      <c r="CB340" s="120">
        <v>1.1497601918465228</v>
      </c>
      <c r="CC340" s="120">
        <v>500</v>
      </c>
      <c r="CD340" s="120">
        <v>50</v>
      </c>
      <c r="CE340" s="124">
        <v>20850</v>
      </c>
    </row>
    <row r="341" spans="1:83" hidden="1">
      <c r="A341" s="13">
        <f t="shared" ca="1" si="753"/>
        <v>334</v>
      </c>
      <c r="B341" s="128">
        <v>44722</v>
      </c>
      <c r="C341" s="121" t="s">
        <v>8</v>
      </c>
      <c r="D341" s="121">
        <v>1</v>
      </c>
      <c r="E341" s="120" t="s">
        <v>482</v>
      </c>
      <c r="F341" s="121" t="s">
        <v>502</v>
      </c>
      <c r="G341" s="120">
        <v>15750</v>
      </c>
      <c r="H341" s="122">
        <v>44742</v>
      </c>
      <c r="I341" s="120">
        <v>50</v>
      </c>
      <c r="J341" s="120">
        <v>125</v>
      </c>
      <c r="K341" s="120">
        <v>84.2</v>
      </c>
      <c r="L341" s="124">
        <f t="shared" ref="L341:L342" ca="1" si="1248">IF(AND(K341&lt;&gt;0,I341&lt;&gt;0),(IF(C341="B",1,-1))*(K341-J341)*I341-AK341*2,0)*$D341*IF(MONTH($B$2)=MONTH($H341),1,0)</f>
        <v>0</v>
      </c>
      <c r="M341" s="124">
        <f t="shared" ref="M341:M342" ca="1" si="1249">IF(AND(K341&lt;&gt;0,I341&lt;&gt;0),(IF(C341="B",1,-1))*(K341-J341)*I341-AK341*2,0)*$D341</f>
        <v>2039.9999999999998</v>
      </c>
      <c r="N341" s="120">
        <f t="shared" ref="N341:N342" ca="1" si="1250">K341/$J341</f>
        <v>0.67359999999999998</v>
      </c>
      <c r="O341" s="164">
        <f t="shared" ref="O341:O342" ca="1" si="1251">J341*(1+$O$6*IF(C341="B",-1,1))</f>
        <v>156.25</v>
      </c>
      <c r="P341" s="168">
        <f t="shared" ca="1" si="754"/>
        <v>6250</v>
      </c>
      <c r="Q341" s="168" t="e">
        <f t="shared" ref="Q341:Q342" ca="1" si="1252">(W341-J341)*I341*IF(C341="B",1,-1)*IF(K341=0,1,0)</f>
        <v>#N/A</v>
      </c>
      <c r="R341" s="184">
        <f t="shared" ca="1" si="1219"/>
        <v>0</v>
      </c>
      <c r="S341" s="124">
        <f t="shared" ref="S341:S342" ca="1" si="1253">(1-$S$6)*J341</f>
        <v>12.499999999999996</v>
      </c>
      <c r="T341" s="120">
        <f ca="1">VLOOKUP(TRIM($F341),Reference!B:C,2,0)</f>
        <v>15938.65</v>
      </c>
      <c r="U341" s="181">
        <f t="shared" ref="U341:U342" ca="1" si="1254">AC341</f>
        <v>0</v>
      </c>
      <c r="V341" s="125" t="str">
        <f t="shared" ca="1" si="1213"/>
        <v>NIFTY22JUN15750PE</v>
      </c>
      <c r="W341" s="166" t="e">
        <f ca="1">VLOOKUP($V341,Reference!BA:BD,4,0)</f>
        <v>#N/A</v>
      </c>
      <c r="X341" s="168">
        <f t="shared" ca="1" si="1214"/>
        <v>0</v>
      </c>
      <c r="Y341" s="168">
        <f t="shared" ca="1" si="1215"/>
        <v>0</v>
      </c>
      <c r="Z341" s="168">
        <f t="shared" ca="1" si="1220"/>
        <v>0</v>
      </c>
      <c r="AA341" s="168">
        <f t="shared" ca="1" si="1216"/>
        <v>0</v>
      </c>
      <c r="AB341" s="168">
        <f t="shared" ca="1" si="1217"/>
        <v>0</v>
      </c>
      <c r="AC341" s="124">
        <f t="shared" ca="1" si="1218"/>
        <v>0</v>
      </c>
      <c r="AD341" s="120">
        <f t="shared" ref="AD341:AD342" ca="1" si="1255">(H341-TODAY())/365</f>
        <v>-4.1095890410958902E-2</v>
      </c>
      <c r="AE341" s="120">
        <f t="shared" ref="AE341:AE342" ca="1" si="1256">IF(I341&lt;&gt;0,20,0)</f>
        <v>20</v>
      </c>
      <c r="AF341" s="120"/>
      <c r="AG341" s="120"/>
      <c r="AH341" s="120">
        <f t="shared" ca="1" si="755"/>
        <v>3.125</v>
      </c>
      <c r="AI341" s="120"/>
      <c r="AJ341" s="120">
        <f t="shared" ca="1" si="756"/>
        <v>0</v>
      </c>
      <c r="AK341" s="120"/>
      <c r="AL341" s="147"/>
      <c r="AM341" s="160"/>
      <c r="AN341" s="160"/>
      <c r="AO341" s="160"/>
      <c r="AP341" s="160"/>
      <c r="AQ341" s="160"/>
      <c r="AR341" s="160"/>
      <c r="AS341" s="160"/>
      <c r="AT341" s="160"/>
      <c r="AU341" s="160"/>
      <c r="AV341" s="160"/>
      <c r="AW341" s="160"/>
      <c r="AX341" s="160"/>
      <c r="AY341" s="160"/>
      <c r="AZ341" s="160"/>
      <c r="BA341" s="160"/>
      <c r="BB341" s="160"/>
      <c r="BC341" s="160"/>
      <c r="BD341" s="160"/>
      <c r="BE341" s="160"/>
      <c r="BF341" s="160"/>
      <c r="BG341" s="160"/>
      <c r="BS341" s="13">
        <v>2</v>
      </c>
      <c r="BT341" s="128">
        <v>44491</v>
      </c>
      <c r="BU341" s="121" t="s">
        <v>8</v>
      </c>
      <c r="BV341" s="120" t="s">
        <v>482</v>
      </c>
      <c r="BW341" s="121" t="s">
        <v>502</v>
      </c>
      <c r="BX341" s="120">
        <v>18400</v>
      </c>
      <c r="BY341" s="120">
        <v>41.7</v>
      </c>
      <c r="BZ341" s="120">
        <v>47.945</v>
      </c>
      <c r="CA341" s="124">
        <v>-3216.6708800000001</v>
      </c>
      <c r="CB341" s="120">
        <v>1.1497601918465228</v>
      </c>
      <c r="CC341" s="120">
        <v>500</v>
      </c>
      <c r="CD341" s="120">
        <v>50</v>
      </c>
      <c r="CE341" s="124">
        <v>20850</v>
      </c>
    </row>
    <row r="342" spans="1:83" hidden="1">
      <c r="A342" s="13">
        <f t="shared" ca="1" si="753"/>
        <v>335</v>
      </c>
      <c r="B342" s="128">
        <v>44725</v>
      </c>
      <c r="C342" s="121" t="s">
        <v>6</v>
      </c>
      <c r="D342" s="121">
        <v>1</v>
      </c>
      <c r="E342" s="120" t="s">
        <v>632</v>
      </c>
      <c r="F342" s="121" t="s">
        <v>126</v>
      </c>
      <c r="G342" s="120" t="s">
        <v>568</v>
      </c>
      <c r="H342" s="122">
        <v>44770</v>
      </c>
      <c r="I342" s="120">
        <v>3750</v>
      </c>
      <c r="J342" s="120">
        <v>178</v>
      </c>
      <c r="K342" s="120">
        <v>0</v>
      </c>
      <c r="L342" s="124">
        <f t="shared" ca="1" si="1248"/>
        <v>0</v>
      </c>
      <c r="M342" s="124">
        <f t="shared" ca="1" si="1249"/>
        <v>0</v>
      </c>
      <c r="N342" s="120">
        <f t="shared" ca="1" si="1250"/>
        <v>0</v>
      </c>
      <c r="O342" s="164">
        <f t="shared" ca="1" si="1251"/>
        <v>133.5</v>
      </c>
      <c r="P342" s="168">
        <f t="shared" ca="1" si="754"/>
        <v>667500</v>
      </c>
      <c r="Q342" s="168">
        <f t="shared" ca="1" si="1252"/>
        <v>-56812.500000000022</v>
      </c>
      <c r="R342" s="184">
        <f t="shared" ca="1" si="1219"/>
        <v>608062.5</v>
      </c>
      <c r="S342" s="124">
        <f t="shared" ca="1" si="1253"/>
        <v>17.799999999999997</v>
      </c>
      <c r="T342" s="120">
        <f ca="1">VLOOKUP(TRIM($F342),Reference!B:C,2,0)</f>
        <v>162.15</v>
      </c>
      <c r="U342" s="181">
        <f t="shared" ca="1" si="1254"/>
        <v>0</v>
      </c>
      <c r="V342" s="125" t="str">
        <f t="shared" ca="1" si="1213"/>
        <v>IEX22JULFUT</v>
      </c>
      <c r="W342" s="166">
        <f ca="1">VLOOKUP($V342,Reference!BA:BD,4,0)</f>
        <v>162.85</v>
      </c>
      <c r="X342" s="168">
        <f t="shared" ca="1" si="1214"/>
        <v>610687.5</v>
      </c>
      <c r="Y342" s="168">
        <f t="shared" ca="1" si="1215"/>
        <v>1</v>
      </c>
      <c r="Z342" s="168">
        <f t="shared" ca="1" si="1220"/>
        <v>3750</v>
      </c>
      <c r="AA342" s="168">
        <f t="shared" ca="1" si="1216"/>
        <v>0</v>
      </c>
      <c r="AB342" s="168">
        <f t="shared" ca="1" si="1217"/>
        <v>0</v>
      </c>
      <c r="AC342" s="124">
        <f t="shared" ca="1" si="1218"/>
        <v>0</v>
      </c>
      <c r="AD342" s="120">
        <f t="shared" ca="1" si="1255"/>
        <v>3.5616438356164383E-2</v>
      </c>
      <c r="AE342" s="120">
        <f t="shared" ca="1" si="1256"/>
        <v>20</v>
      </c>
      <c r="AF342" s="120"/>
      <c r="AG342" s="120"/>
      <c r="AH342" s="120">
        <f t="shared" ca="1" si="755"/>
        <v>0</v>
      </c>
      <c r="AI342" s="120"/>
      <c r="AJ342" s="120">
        <f t="shared" ca="1" si="756"/>
        <v>20.025000000000002</v>
      </c>
      <c r="AK342" s="120"/>
      <c r="AL342" s="147"/>
      <c r="AM342" s="160"/>
      <c r="AN342" s="160"/>
      <c r="AO342" s="160"/>
      <c r="AP342" s="160"/>
      <c r="AQ342" s="160"/>
      <c r="AR342" s="160"/>
      <c r="AS342" s="160"/>
      <c r="AT342" s="160"/>
      <c r="AU342" s="160"/>
      <c r="AV342" s="160"/>
      <c r="AW342" s="160"/>
      <c r="AX342" s="160"/>
      <c r="AY342" s="160"/>
      <c r="AZ342" s="160"/>
      <c r="BA342" s="160"/>
      <c r="BB342" s="160"/>
      <c r="BC342" s="160"/>
      <c r="BD342" s="160"/>
      <c r="BE342" s="160"/>
      <c r="BF342" s="160"/>
      <c r="BG342" s="160"/>
      <c r="BS342" s="13">
        <v>2</v>
      </c>
      <c r="BT342" s="128">
        <v>44491</v>
      </c>
      <c r="BU342" s="121" t="s">
        <v>8</v>
      </c>
      <c r="BV342" s="120" t="s">
        <v>482</v>
      </c>
      <c r="BW342" s="121" t="s">
        <v>502</v>
      </c>
      <c r="BX342" s="120">
        <v>18400</v>
      </c>
      <c r="BY342" s="120">
        <v>41.7</v>
      </c>
      <c r="BZ342" s="120">
        <v>47.945</v>
      </c>
      <c r="CA342" s="124">
        <v>-3216.6708800000001</v>
      </c>
      <c r="CB342" s="120">
        <v>1.1497601918465228</v>
      </c>
      <c r="CC342" s="120">
        <v>500</v>
      </c>
      <c r="CD342" s="120">
        <v>50</v>
      </c>
      <c r="CE342" s="124">
        <v>20850</v>
      </c>
    </row>
    <row r="343" spans="1:83" hidden="1">
      <c r="A343" s="13">
        <f t="shared" ca="1" si="753"/>
        <v>336</v>
      </c>
      <c r="B343" s="128">
        <v>44725</v>
      </c>
      <c r="C343" s="121" t="s">
        <v>6</v>
      </c>
      <c r="D343" s="121">
        <v>1</v>
      </c>
      <c r="E343" s="120" t="s">
        <v>632</v>
      </c>
      <c r="F343" s="121" t="s">
        <v>506</v>
      </c>
      <c r="G343" s="120" t="s">
        <v>568</v>
      </c>
      <c r="H343" s="122">
        <v>44770</v>
      </c>
      <c r="I343" s="120">
        <v>25</v>
      </c>
      <c r="J343" s="120">
        <v>33459.4</v>
      </c>
      <c r="K343" s="120">
        <v>32586</v>
      </c>
      <c r="L343" s="124">
        <f t="shared" ref="L343" ca="1" si="1257">IF(AND(K343&lt;&gt;0,I343&lt;&gt;0),(IF(C343="B",1,-1))*(K343-J343)*I343-AK343*2,0)*$D343*IF(MONTH($B$2)=MONTH($H343),1,0)</f>
        <v>-21835.000000000036</v>
      </c>
      <c r="M343" s="124">
        <f t="shared" ref="M343" ca="1" si="1258">IF(AND(K343&lt;&gt;0,I343&lt;&gt;0),(IF(C343="B",1,-1))*(K343-J343)*I343-AK343*2,0)*$D343</f>
        <v>-21835.000000000036</v>
      </c>
      <c r="N343" s="120">
        <f t="shared" ref="N343" ca="1" si="1259">K343/$J343</f>
        <v>0.97389672259514515</v>
      </c>
      <c r="O343" s="164">
        <f t="shared" ref="O343" ca="1" si="1260">J343*(1+$O$6*IF(C343="B",-1,1))</f>
        <v>25094.550000000003</v>
      </c>
      <c r="P343" s="168">
        <f t="shared" ca="1" si="754"/>
        <v>836485</v>
      </c>
      <c r="Q343" s="168" t="e">
        <f t="shared" ref="Q343" ca="1" si="1261">(W343-J343)*I343*IF(C343="B",1,-1)*IF(K343=0,1,0)</f>
        <v>#N/A</v>
      </c>
      <c r="R343" s="184">
        <f t="shared" ca="1" si="1219"/>
        <v>0</v>
      </c>
      <c r="S343" s="124">
        <f t="shared" ref="S343" ca="1" si="1262">(1-$S$6)*J343</f>
        <v>3345.9399999999996</v>
      </c>
      <c r="T343" s="120">
        <f ca="1">VLOOKUP(TRIM($F343),Reference!B:C,2,0)</f>
        <v>34651.199999999997</v>
      </c>
      <c r="U343" s="181">
        <f t="shared" ref="U343" ca="1" si="1263">AC343</f>
        <v>0</v>
      </c>
      <c r="V343" s="125" t="str">
        <f t="shared" ca="1" si="1213"/>
        <v>BANKNIFTY22JULFUT</v>
      </c>
      <c r="W343" s="166" t="e">
        <f ca="1">VLOOKUP($V343,Reference!BA:BD,4,0)</f>
        <v>#N/A</v>
      </c>
      <c r="X343" s="168">
        <f t="shared" ca="1" si="1214"/>
        <v>0</v>
      </c>
      <c r="Y343" s="168">
        <f t="shared" ca="1" si="1215"/>
        <v>0</v>
      </c>
      <c r="Z343" s="168">
        <f t="shared" ca="1" si="1220"/>
        <v>0</v>
      </c>
      <c r="AA343" s="168">
        <f t="shared" ca="1" si="1216"/>
        <v>0</v>
      </c>
      <c r="AB343" s="168">
        <f t="shared" ca="1" si="1217"/>
        <v>0</v>
      </c>
      <c r="AC343" s="124">
        <f t="shared" ca="1" si="1218"/>
        <v>0</v>
      </c>
      <c r="AD343" s="120">
        <f t="shared" ref="AD343" ca="1" si="1264">(H343-TODAY())/365</f>
        <v>3.5616438356164383E-2</v>
      </c>
      <c r="AE343" s="120">
        <f t="shared" ref="AE343" ca="1" si="1265">IF(I343&lt;&gt;0,20,0)</f>
        <v>20</v>
      </c>
      <c r="AF343" s="120"/>
      <c r="AG343" s="120"/>
      <c r="AH343" s="120">
        <f t="shared" ca="1" si="755"/>
        <v>0</v>
      </c>
      <c r="AI343" s="120"/>
      <c r="AJ343" s="120">
        <f t="shared" ca="1" si="756"/>
        <v>25.094550000000002</v>
      </c>
      <c r="AK343" s="120"/>
      <c r="AL343" s="147"/>
      <c r="AM343" s="160"/>
      <c r="AN343" s="160"/>
      <c r="AO343" s="160"/>
      <c r="AP343" s="160"/>
      <c r="AQ343" s="160"/>
      <c r="AR343" s="160"/>
      <c r="AS343" s="160"/>
      <c r="AT343" s="160"/>
      <c r="AU343" s="160"/>
      <c r="AV343" s="160"/>
      <c r="AW343" s="160"/>
      <c r="AX343" s="160"/>
      <c r="AY343" s="160"/>
      <c r="AZ343" s="160"/>
      <c r="BA343" s="160"/>
      <c r="BB343" s="160"/>
      <c r="BC343" s="160"/>
      <c r="BD343" s="160"/>
      <c r="BE343" s="160"/>
      <c r="BF343" s="160"/>
      <c r="BG343" s="160"/>
      <c r="BS343" s="13">
        <v>2</v>
      </c>
      <c r="BT343" s="128">
        <v>44491</v>
      </c>
      <c r="BU343" s="121" t="s">
        <v>8</v>
      </c>
      <c r="BV343" s="120" t="s">
        <v>482</v>
      </c>
      <c r="BW343" s="121" t="s">
        <v>502</v>
      </c>
      <c r="BX343" s="120">
        <v>18400</v>
      </c>
      <c r="BY343" s="120">
        <v>41.7</v>
      </c>
      <c r="BZ343" s="120">
        <v>47.945</v>
      </c>
      <c r="CA343" s="124">
        <v>-3216.6708800000001</v>
      </c>
      <c r="CB343" s="120">
        <v>1.1497601918465228</v>
      </c>
      <c r="CC343" s="120">
        <v>500</v>
      </c>
      <c r="CD343" s="120">
        <v>50</v>
      </c>
      <c r="CE343" s="124">
        <v>20850</v>
      </c>
    </row>
    <row r="344" spans="1:83" hidden="1">
      <c r="A344" s="13">
        <f t="shared" ca="1" si="753"/>
        <v>337</v>
      </c>
      <c r="B344" s="128">
        <v>44725</v>
      </c>
      <c r="C344" s="121" t="s">
        <v>6</v>
      </c>
      <c r="D344" s="121">
        <v>1</v>
      </c>
      <c r="E344" s="120" t="s">
        <v>632</v>
      </c>
      <c r="F344" s="121" t="s">
        <v>502</v>
      </c>
      <c r="G344" s="120" t="s">
        <v>568</v>
      </c>
      <c r="H344" s="122">
        <v>44770</v>
      </c>
      <c r="I344" s="120">
        <v>50</v>
      </c>
      <c r="J344" s="120">
        <v>15814.65</v>
      </c>
      <c r="K344" s="120">
        <v>15275</v>
      </c>
      <c r="L344" s="124">
        <f t="shared" ref="L344:L352" ca="1" si="1266">IF(AND(K344&lt;&gt;0,I344&lt;&gt;0),(IF(C344="B",1,-1))*(K344-J344)*I344-AK344*2,0)*$D344*IF(MONTH($B$2)=MONTH($H344),1,0)</f>
        <v>-26982.499999999982</v>
      </c>
      <c r="M344" s="124">
        <f t="shared" ref="M344:M352" ca="1" si="1267">IF(AND(K344&lt;&gt;0,I344&lt;&gt;0),(IF(C344="B",1,-1))*(K344-J344)*I344-AK344*2,0)*$D344</f>
        <v>-26982.499999999982</v>
      </c>
      <c r="N344" s="120">
        <f t="shared" ref="N344" ca="1" si="1268">K344/$J344</f>
        <v>0.96587657646549241</v>
      </c>
      <c r="O344" s="164">
        <f t="shared" ref="O344" ca="1" si="1269">J344*(1+$O$6*IF(C344="B",-1,1))</f>
        <v>11860.987499999999</v>
      </c>
      <c r="P344" s="168">
        <f t="shared" ca="1" si="754"/>
        <v>790732.5</v>
      </c>
      <c r="Q344" s="168">
        <f t="shared" ref="Q344" ca="1" si="1270">(W344-J344)*I344*IF(C344="B",1,-1)*IF(K344=0,1,0)</f>
        <v>0</v>
      </c>
      <c r="R344" s="184">
        <f t="shared" ca="1" si="1219"/>
        <v>0</v>
      </c>
      <c r="S344" s="124">
        <f t="shared" ref="S344" ca="1" si="1271">(1-$S$6)*J344</f>
        <v>1581.4649999999997</v>
      </c>
      <c r="T344" s="120">
        <f ca="1">VLOOKUP(TRIM($F344),Reference!B:C,2,0)</f>
        <v>15938.65</v>
      </c>
      <c r="U344" s="181">
        <f t="shared" ref="U344" ca="1" si="1272">AC344</f>
        <v>0</v>
      </c>
      <c r="V344" s="125" t="str">
        <f t="shared" ca="1" si="1213"/>
        <v>NIFTY22JULFUT</v>
      </c>
      <c r="W344" s="166">
        <f ca="1">VLOOKUP($V344,Reference!BA:BD,4,0)</f>
        <v>15941</v>
      </c>
      <c r="X344" s="168">
        <f t="shared" ca="1" si="1214"/>
        <v>0</v>
      </c>
      <c r="Y344" s="168">
        <f t="shared" ca="1" si="1215"/>
        <v>0</v>
      </c>
      <c r="Z344" s="168">
        <f t="shared" ca="1" si="1220"/>
        <v>0</v>
      </c>
      <c r="AA344" s="168">
        <f t="shared" ca="1" si="1216"/>
        <v>0</v>
      </c>
      <c r="AB344" s="168">
        <f t="shared" ca="1" si="1217"/>
        <v>0</v>
      </c>
      <c r="AC344" s="124">
        <f t="shared" ca="1" si="1218"/>
        <v>0</v>
      </c>
      <c r="AD344" s="120">
        <f t="shared" ref="AD344" ca="1" si="1273">(H344-TODAY())/365</f>
        <v>3.5616438356164383E-2</v>
      </c>
      <c r="AE344" s="120">
        <f t="shared" ref="AE344" ca="1" si="1274">IF(I344&lt;&gt;0,20,0)</f>
        <v>20</v>
      </c>
      <c r="AF344" s="120"/>
      <c r="AG344" s="120"/>
      <c r="AH344" s="120">
        <f t="shared" ca="1" si="755"/>
        <v>0</v>
      </c>
      <c r="AI344" s="120"/>
      <c r="AJ344" s="120">
        <f t="shared" ca="1" si="756"/>
        <v>23.721975</v>
      </c>
      <c r="AK344" s="120"/>
      <c r="AL344" s="147"/>
      <c r="AM344" s="160"/>
      <c r="AN344" s="160"/>
      <c r="AO344" s="160"/>
      <c r="AP344" s="160"/>
      <c r="AQ344" s="160"/>
      <c r="AR344" s="160"/>
      <c r="AS344" s="160"/>
      <c r="AT344" s="160"/>
      <c r="AU344" s="160"/>
      <c r="AV344" s="160"/>
      <c r="AW344" s="160"/>
      <c r="AX344" s="160"/>
      <c r="AY344" s="160"/>
      <c r="AZ344" s="160"/>
      <c r="BA344" s="160"/>
      <c r="BB344" s="160"/>
      <c r="BC344" s="160"/>
      <c r="BD344" s="160"/>
      <c r="BE344" s="160"/>
      <c r="BF344" s="160"/>
      <c r="BG344" s="160"/>
      <c r="BS344" s="13">
        <v>2</v>
      </c>
      <c r="BT344" s="128">
        <v>44491</v>
      </c>
      <c r="BU344" s="121" t="s">
        <v>8</v>
      </c>
      <c r="BV344" s="120" t="s">
        <v>482</v>
      </c>
      <c r="BW344" s="121" t="s">
        <v>502</v>
      </c>
      <c r="BX344" s="120">
        <v>18400</v>
      </c>
      <c r="BY344" s="120">
        <v>41.7</v>
      </c>
      <c r="BZ344" s="120">
        <v>47.945</v>
      </c>
      <c r="CA344" s="124">
        <v>-3216.6708800000001</v>
      </c>
      <c r="CB344" s="120">
        <v>1.1497601918465228</v>
      </c>
      <c r="CC344" s="120">
        <v>500</v>
      </c>
      <c r="CD344" s="120">
        <v>50</v>
      </c>
      <c r="CE344" s="124">
        <v>20850</v>
      </c>
    </row>
    <row r="345" spans="1:83" hidden="1">
      <c r="A345" s="13">
        <f t="shared" ca="1" si="753"/>
        <v>338</v>
      </c>
      <c r="B345" s="128">
        <v>44739</v>
      </c>
      <c r="C345" s="121" t="s">
        <v>8</v>
      </c>
      <c r="D345" s="121">
        <v>1</v>
      </c>
      <c r="E345" s="120" t="s">
        <v>481</v>
      </c>
      <c r="F345" s="121" t="s">
        <v>390</v>
      </c>
      <c r="G345" s="120">
        <v>2500</v>
      </c>
      <c r="H345" s="122">
        <v>44770</v>
      </c>
      <c r="I345" s="120">
        <v>375</v>
      </c>
      <c r="J345" s="120">
        <v>35</v>
      </c>
      <c r="K345" s="120">
        <v>0</v>
      </c>
      <c r="L345" s="124">
        <f t="shared" ca="1" si="1266"/>
        <v>0</v>
      </c>
      <c r="M345" s="124">
        <f t="shared" ca="1" si="1267"/>
        <v>0</v>
      </c>
      <c r="N345" s="120">
        <f t="shared" ref="N345" ca="1" si="1275">K345/$J345</f>
        <v>0</v>
      </c>
      <c r="O345" s="164">
        <f t="shared" ref="O345" ca="1" si="1276">J345*(1+$O$6*IF(C345="B",-1,1))</f>
        <v>43.75</v>
      </c>
      <c r="P345" s="168">
        <f t="shared" ca="1" si="754"/>
        <v>13125</v>
      </c>
      <c r="Q345" s="168">
        <f t="shared" ref="Q345" ca="1" si="1277">(W345-J345)*I345*IF(C345="B",1,-1)*IF(K345=0,1,0)</f>
        <v>11625</v>
      </c>
      <c r="R345" s="184">
        <f t="shared" ca="1" si="1219"/>
        <v>-48250.961482946528</v>
      </c>
      <c r="S345" s="124">
        <f t="shared" ref="S345" ca="1" si="1278">(1-$S$6)*J345</f>
        <v>3.4999999999999991</v>
      </c>
      <c r="T345" s="120">
        <f ca="1">VLOOKUP(TRIM($F345),Reference!B:C,2,0)</f>
        <v>2214</v>
      </c>
      <c r="U345" s="181">
        <f t="shared" ref="U345" ca="1" si="1279">AC345</f>
        <v>0.39576561194390053</v>
      </c>
      <c r="V345" s="125" t="str">
        <f t="shared" ca="1" si="1213"/>
        <v>SRF22JUL2500CE</v>
      </c>
      <c r="W345" s="166">
        <f ca="1">VLOOKUP($V345,Reference!BA:BD,4,0)</f>
        <v>4</v>
      </c>
      <c r="X345" s="168">
        <f t="shared" ca="1" si="1214"/>
        <v>-1499.9999999999893</v>
      </c>
      <c r="Y345" s="168">
        <f t="shared" ca="1" si="1215"/>
        <v>5.8116183659074408E-2</v>
      </c>
      <c r="Z345" s="168">
        <f t="shared" ca="1" si="1220"/>
        <v>-21.793568872152903</v>
      </c>
      <c r="AA345" s="168">
        <f t="shared" ca="1" si="1216"/>
        <v>270.69209290923743</v>
      </c>
      <c r="AB345" s="168">
        <f t="shared" ca="1" si="1217"/>
        <v>0</v>
      </c>
      <c r="AC345" s="124">
        <f t="shared" ca="1" si="1218"/>
        <v>0.39576561194390053</v>
      </c>
      <c r="AD345" s="120">
        <f t="shared" ref="AD345" ca="1" si="1280">(H345-TODAY())/365</f>
        <v>3.5616438356164383E-2</v>
      </c>
      <c r="AE345" s="120">
        <f t="shared" ref="AE345" ca="1" si="1281">IF(I345&lt;&gt;0,20,0)</f>
        <v>20</v>
      </c>
      <c r="AF345" s="120"/>
      <c r="AG345" s="120"/>
      <c r="AH345" s="120">
        <f t="shared" ca="1" si="755"/>
        <v>6.5625</v>
      </c>
      <c r="AI345" s="120"/>
      <c r="AJ345" s="120">
        <f t="shared" ca="1" si="756"/>
        <v>0</v>
      </c>
      <c r="AK345" s="120"/>
      <c r="AL345" s="147"/>
      <c r="AM345" s="160"/>
      <c r="AN345" s="160"/>
      <c r="AO345" s="160"/>
      <c r="AP345" s="160"/>
      <c r="AQ345" s="160"/>
      <c r="AR345" s="160"/>
      <c r="AS345" s="160"/>
      <c r="AT345" s="160"/>
      <c r="AU345" s="160"/>
      <c r="AV345" s="160"/>
      <c r="AW345" s="160"/>
      <c r="AX345" s="160"/>
      <c r="AY345" s="160"/>
      <c r="AZ345" s="160"/>
      <c r="BA345" s="160"/>
      <c r="BB345" s="160"/>
      <c r="BC345" s="160"/>
      <c r="BD345" s="160"/>
      <c r="BE345" s="160"/>
      <c r="BF345" s="160"/>
      <c r="BG345" s="160"/>
      <c r="BS345" s="13">
        <v>2</v>
      </c>
      <c r="BT345" s="128">
        <v>44491</v>
      </c>
      <c r="BU345" s="121" t="s">
        <v>8</v>
      </c>
      <c r="BV345" s="120" t="s">
        <v>482</v>
      </c>
      <c r="BW345" s="121" t="s">
        <v>502</v>
      </c>
      <c r="BX345" s="120">
        <v>18400</v>
      </c>
      <c r="BY345" s="120">
        <v>41.7</v>
      </c>
      <c r="BZ345" s="120">
        <v>47.945</v>
      </c>
      <c r="CA345" s="124">
        <v>-3216.6708800000001</v>
      </c>
      <c r="CB345" s="120">
        <v>1.1497601918465228</v>
      </c>
      <c r="CC345" s="120">
        <v>500</v>
      </c>
      <c r="CD345" s="120">
        <v>50</v>
      </c>
      <c r="CE345" s="124">
        <v>20850</v>
      </c>
    </row>
    <row r="346" spans="1:83" hidden="1">
      <c r="A346" s="13">
        <f t="shared" ca="1" si="753"/>
        <v>339</v>
      </c>
      <c r="B346" s="128">
        <v>44739</v>
      </c>
      <c r="C346" s="121" t="s">
        <v>8</v>
      </c>
      <c r="D346" s="121">
        <v>1</v>
      </c>
      <c r="E346" s="120" t="s">
        <v>481</v>
      </c>
      <c r="F346" s="121" t="s">
        <v>284</v>
      </c>
      <c r="G346" s="120">
        <v>460</v>
      </c>
      <c r="H346" s="122">
        <v>44770</v>
      </c>
      <c r="I346" s="120">
        <v>1425</v>
      </c>
      <c r="J346" s="120">
        <v>6.3</v>
      </c>
      <c r="K346" s="120">
        <v>0</v>
      </c>
      <c r="L346" s="124">
        <f t="shared" ca="1" si="1266"/>
        <v>0</v>
      </c>
      <c r="M346" s="124">
        <f t="shared" ca="1" si="1267"/>
        <v>0</v>
      </c>
      <c r="N346" s="120">
        <f t="shared" ref="N346" ca="1" si="1282">K346/$J346</f>
        <v>0</v>
      </c>
      <c r="O346" s="164">
        <f t="shared" ref="O346" ca="1" si="1283">J346*(1+$O$6*IF(C346="B",-1,1))</f>
        <v>7.875</v>
      </c>
      <c r="P346" s="168">
        <f t="shared" ca="1" si="754"/>
        <v>8977.5</v>
      </c>
      <c r="Q346" s="168">
        <f t="shared" ref="Q346" ca="1" si="1284">(W346-J346)*I346*IF(C346="B",1,-1)*IF(K346=0,1,0)</f>
        <v>4631.25</v>
      </c>
      <c r="R346" s="184">
        <f t="shared" ca="1" si="1219"/>
        <v>-110766.33729384679</v>
      </c>
      <c r="S346" s="124">
        <f t="shared" ref="S346" ca="1" si="1285">(1-$S$6)*J346</f>
        <v>0.62999999999999989</v>
      </c>
      <c r="T346" s="120">
        <f ca="1">VLOOKUP(TRIM($F346),Reference!B:C,2,0)</f>
        <v>428</v>
      </c>
      <c r="U346" s="181">
        <f t="shared" ref="U346" ca="1" si="1286">AC346</f>
        <v>0.39590016918966209</v>
      </c>
      <c r="V346" s="125" t="str">
        <f t="shared" ca="1" si="1213"/>
        <v>TATAMOTORS22JUL460CE</v>
      </c>
      <c r="W346" s="166">
        <f ca="1">VLOOKUP($V346,Reference!BA:BD,4,0)</f>
        <v>3.05</v>
      </c>
      <c r="X346" s="168">
        <f t="shared" ca="1" si="1214"/>
        <v>-4346.2500000000164</v>
      </c>
      <c r="Y346" s="168">
        <f t="shared" ca="1" si="1215"/>
        <v>0.18161393227389208</v>
      </c>
      <c r="Z346" s="168">
        <f t="shared" ca="1" si="1220"/>
        <v>-258.79985349029624</v>
      </c>
      <c r="AA346" s="168">
        <f t="shared" ca="1" si="1216"/>
        <v>447.90506006838825</v>
      </c>
      <c r="AB346" s="168">
        <f t="shared" ca="1" si="1217"/>
        <v>0</v>
      </c>
      <c r="AC346" s="124">
        <f t="shared" ca="1" si="1218"/>
        <v>0.39590016918966209</v>
      </c>
      <c r="AD346" s="120">
        <f t="shared" ref="AD346" ca="1" si="1287">(H346-TODAY())/365</f>
        <v>3.5616438356164383E-2</v>
      </c>
      <c r="AE346" s="120">
        <f t="shared" ref="AE346" ca="1" si="1288">IF(I346&lt;&gt;0,20,0)</f>
        <v>20</v>
      </c>
      <c r="AF346" s="120"/>
      <c r="AG346" s="120"/>
      <c r="AH346" s="120">
        <f t="shared" ca="1" si="755"/>
        <v>4.4887500000000005</v>
      </c>
      <c r="AI346" s="120"/>
      <c r="AJ346" s="120">
        <f t="shared" ca="1" si="756"/>
        <v>0</v>
      </c>
      <c r="AK346" s="120"/>
      <c r="AL346" s="147"/>
      <c r="AM346" s="160"/>
      <c r="AN346" s="160"/>
      <c r="AO346" s="160"/>
      <c r="AP346" s="160"/>
      <c r="AQ346" s="160"/>
      <c r="AR346" s="160"/>
      <c r="AS346" s="160"/>
      <c r="AT346" s="160"/>
      <c r="AU346" s="160"/>
      <c r="AV346" s="160"/>
      <c r="AW346" s="160"/>
      <c r="AX346" s="160"/>
      <c r="AY346" s="160"/>
      <c r="AZ346" s="160"/>
      <c r="BA346" s="160"/>
      <c r="BB346" s="160"/>
      <c r="BC346" s="160"/>
      <c r="BD346" s="160"/>
      <c r="BE346" s="160"/>
      <c r="BF346" s="160"/>
      <c r="BG346" s="160"/>
      <c r="BS346" s="13">
        <v>2</v>
      </c>
      <c r="BT346" s="128">
        <v>44491</v>
      </c>
      <c r="BU346" s="121" t="s">
        <v>8</v>
      </c>
      <c r="BV346" s="120" t="s">
        <v>482</v>
      </c>
      <c r="BW346" s="121" t="s">
        <v>502</v>
      </c>
      <c r="BX346" s="120">
        <v>18400</v>
      </c>
      <c r="BY346" s="120">
        <v>41.7</v>
      </c>
      <c r="BZ346" s="120">
        <v>47.945</v>
      </c>
      <c r="CA346" s="124">
        <v>-3216.6708800000001</v>
      </c>
      <c r="CB346" s="120">
        <v>1.1497601918465228</v>
      </c>
      <c r="CC346" s="120">
        <v>500</v>
      </c>
      <c r="CD346" s="120">
        <v>50</v>
      </c>
      <c r="CE346" s="124">
        <v>20850</v>
      </c>
    </row>
    <row r="347" spans="1:83" hidden="1">
      <c r="A347" s="13">
        <f t="shared" ca="1" si="753"/>
        <v>340</v>
      </c>
      <c r="B347" s="128">
        <v>44739</v>
      </c>
      <c r="C347" s="121" t="s">
        <v>8</v>
      </c>
      <c r="D347" s="121">
        <v>1</v>
      </c>
      <c r="E347" s="120" t="s">
        <v>481</v>
      </c>
      <c r="F347" s="121" t="s">
        <v>130</v>
      </c>
      <c r="G347" s="120">
        <v>235</v>
      </c>
      <c r="H347" s="122">
        <v>44770</v>
      </c>
      <c r="I347" s="120">
        <v>3375</v>
      </c>
      <c r="J347" s="120">
        <v>2.7</v>
      </c>
      <c r="K347" s="120">
        <v>0</v>
      </c>
      <c r="L347" s="124">
        <f t="shared" ca="1" si="1266"/>
        <v>0</v>
      </c>
      <c r="M347" s="124">
        <f t="shared" ca="1" si="1267"/>
        <v>0</v>
      </c>
      <c r="N347" s="120">
        <f t="shared" ref="N347" ca="1" si="1289">K347/$J347</f>
        <v>0</v>
      </c>
      <c r="O347" s="164">
        <f t="shared" ref="O347" ca="1" si="1290">J347*(1+$O$6*IF(C347="B",-1,1))</f>
        <v>3.375</v>
      </c>
      <c r="P347" s="168">
        <f t="shared" ca="1" si="754"/>
        <v>9112.5</v>
      </c>
      <c r="Q347" s="168">
        <f t="shared" ref="Q347" ca="1" si="1291">(W347-J347)*I347*IF(C347="B",1,-1)*IF(K347=0,1,0)</f>
        <v>1687.5</v>
      </c>
      <c r="R347" s="184">
        <f t="shared" ca="1" si="1219"/>
        <v>-175230.21835197159</v>
      </c>
      <c r="S347" s="124">
        <f t="shared" ref="S347" ca="1" si="1292">(1-$S$6)*J347</f>
        <v>0.26999999999999996</v>
      </c>
      <c r="T347" s="120">
        <f ca="1">VLOOKUP(TRIM($F347),Reference!B:C,2,0)</f>
        <v>221.6</v>
      </c>
      <c r="U347" s="181">
        <f t="shared" ref="U347" ca="1" si="1293">AC347</f>
        <v>0.39848654265583427</v>
      </c>
      <c r="V347" s="125" t="str">
        <f t="shared" ca="1" si="1213"/>
        <v>TATAPOWER22JUL235CE</v>
      </c>
      <c r="W347" s="166">
        <f ca="1">VLOOKUP($V347,Reference!BA:BD,4,0)</f>
        <v>2.2000000000000002</v>
      </c>
      <c r="X347" s="168">
        <f t="shared" ca="1" si="1214"/>
        <v>-7425.0000000000337</v>
      </c>
      <c r="Y347" s="168">
        <f t="shared" ca="1" si="1215"/>
        <v>0.23429632083429816</v>
      </c>
      <c r="Z347" s="168">
        <f t="shared" ca="1" si="1220"/>
        <v>-790.75008281575629</v>
      </c>
      <c r="AA347" s="168">
        <f t="shared" ca="1" si="1216"/>
        <v>640.69432231903647</v>
      </c>
      <c r="AB347" s="168">
        <f t="shared" ca="1" si="1217"/>
        <v>0</v>
      </c>
      <c r="AC347" s="124">
        <f t="shared" ca="1" si="1218"/>
        <v>0.39848654265583427</v>
      </c>
      <c r="AD347" s="120">
        <f t="shared" ref="AD347" ca="1" si="1294">(H347-TODAY())/365</f>
        <v>3.5616438356164383E-2</v>
      </c>
      <c r="AE347" s="120">
        <f t="shared" ref="AE347" ca="1" si="1295">IF(I347&lt;&gt;0,20,0)</f>
        <v>20</v>
      </c>
      <c r="AF347" s="120"/>
      <c r="AG347" s="120"/>
      <c r="AH347" s="120">
        <f t="shared" ca="1" si="755"/>
        <v>4.5562500000000004</v>
      </c>
      <c r="AI347" s="120"/>
      <c r="AJ347" s="120">
        <f t="shared" ca="1" si="756"/>
        <v>0</v>
      </c>
      <c r="AK347" s="120"/>
      <c r="AL347" s="147"/>
      <c r="AM347" s="160"/>
      <c r="AN347" s="160"/>
      <c r="AO347" s="160"/>
      <c r="AP347" s="160"/>
      <c r="AQ347" s="160"/>
      <c r="AR347" s="160"/>
      <c r="AS347" s="160"/>
      <c r="AT347" s="160"/>
      <c r="AU347" s="160"/>
      <c r="AV347" s="160"/>
      <c r="AW347" s="160"/>
      <c r="AX347" s="160"/>
      <c r="AY347" s="160"/>
      <c r="AZ347" s="160"/>
      <c r="BA347" s="160"/>
      <c r="BB347" s="160"/>
      <c r="BC347" s="160"/>
      <c r="BD347" s="160"/>
      <c r="BE347" s="160"/>
      <c r="BF347" s="160"/>
      <c r="BG347" s="160"/>
      <c r="BS347" s="13">
        <v>2</v>
      </c>
      <c r="BT347" s="128">
        <v>44491</v>
      </c>
      <c r="BU347" s="121" t="s">
        <v>8</v>
      </c>
      <c r="BV347" s="120" t="s">
        <v>482</v>
      </c>
      <c r="BW347" s="121" t="s">
        <v>502</v>
      </c>
      <c r="BX347" s="120">
        <v>18400</v>
      </c>
      <c r="BY347" s="120">
        <v>41.7</v>
      </c>
      <c r="BZ347" s="120">
        <v>47.945</v>
      </c>
      <c r="CA347" s="124">
        <v>-3216.6708800000001</v>
      </c>
      <c r="CB347" s="120">
        <v>1.1497601918465228</v>
      </c>
      <c r="CC347" s="120">
        <v>500</v>
      </c>
      <c r="CD347" s="120">
        <v>50</v>
      </c>
      <c r="CE347" s="124">
        <v>20850</v>
      </c>
    </row>
    <row r="348" spans="1:83" hidden="1">
      <c r="A348" s="13">
        <f t="shared" ca="1" si="753"/>
        <v>341</v>
      </c>
      <c r="B348" s="128">
        <v>44739</v>
      </c>
      <c r="C348" s="121" t="s">
        <v>8</v>
      </c>
      <c r="D348" s="121">
        <v>1</v>
      </c>
      <c r="E348" s="120" t="s">
        <v>481</v>
      </c>
      <c r="F348" s="121" t="s">
        <v>502</v>
      </c>
      <c r="G348" s="120">
        <v>16650</v>
      </c>
      <c r="H348" s="122">
        <v>44770</v>
      </c>
      <c r="I348" s="120">
        <v>50</v>
      </c>
      <c r="J348" s="120">
        <v>91.8</v>
      </c>
      <c r="K348" s="120">
        <v>0</v>
      </c>
      <c r="L348" s="124">
        <f t="shared" ca="1" si="1266"/>
        <v>0</v>
      </c>
      <c r="M348" s="124">
        <f t="shared" ca="1" si="1267"/>
        <v>0</v>
      </c>
      <c r="N348" s="120">
        <f t="shared" ref="N348" ca="1" si="1296">K348/$J348</f>
        <v>0</v>
      </c>
      <c r="O348" s="164">
        <f t="shared" ref="O348" ca="1" si="1297">J348*(1+$O$6*IF(C348="B",-1,1))</f>
        <v>114.75</v>
      </c>
      <c r="P348" s="168">
        <f t="shared" ca="1" si="754"/>
        <v>4590</v>
      </c>
      <c r="Q348" s="168">
        <f t="shared" ref="Q348" ca="1" si="1298">(W348-J348)*I348*IF(C348="B",1,-1)*IF(K348=0,1,0)</f>
        <v>3792.4999999999995</v>
      </c>
      <c r="R348" s="184">
        <f t="shared" ca="1" si="1219"/>
        <v>-61184.286784281918</v>
      </c>
      <c r="S348" s="124">
        <f t="shared" ref="S348" ca="1" si="1299">(1-$S$6)*J348</f>
        <v>9.1799999999999979</v>
      </c>
      <c r="T348" s="120">
        <f ca="1">VLOOKUP(TRIM($F348),Reference!B:C,2,0)</f>
        <v>15938.65</v>
      </c>
      <c r="U348" s="181">
        <f t="shared" ref="U348" ca="1" si="1300">AC348</f>
        <v>0.15540464046611563</v>
      </c>
      <c r="V348" s="125" t="str">
        <f t="shared" ca="1" si="1213"/>
        <v>NIFTY22JUL16650CE</v>
      </c>
      <c r="W348" s="166">
        <f ca="1">VLOOKUP($V348,Reference!BA:BD,4,0)</f>
        <v>15.95</v>
      </c>
      <c r="X348" s="168">
        <f t="shared" ca="1" si="1214"/>
        <v>-797.50000000000227</v>
      </c>
      <c r="Y348" s="168">
        <f t="shared" ca="1" si="1215"/>
        <v>7.6774741630291049E-2</v>
      </c>
      <c r="Z348" s="168">
        <f t="shared" ca="1" si="1220"/>
        <v>-3.8387370815145525</v>
      </c>
      <c r="AA348" s="168">
        <f t="shared" ca="1" si="1216"/>
        <v>121.26971041099669</v>
      </c>
      <c r="AB348" s="168">
        <f t="shared" ca="1" si="1217"/>
        <v>0</v>
      </c>
      <c r="AC348" s="124">
        <f t="shared" ca="1" si="1218"/>
        <v>0.15540464046611563</v>
      </c>
      <c r="AD348" s="120">
        <f t="shared" ref="AD348" ca="1" si="1301">(H348-TODAY())/365</f>
        <v>3.5616438356164383E-2</v>
      </c>
      <c r="AE348" s="120">
        <f t="shared" ref="AE348" ca="1" si="1302">IF(I348&lt;&gt;0,20,0)</f>
        <v>20</v>
      </c>
      <c r="AF348" s="120"/>
      <c r="AG348" s="120"/>
      <c r="AH348" s="120">
        <f t="shared" ca="1" si="755"/>
        <v>2.2949999999999999</v>
      </c>
      <c r="AI348" s="120"/>
      <c r="AJ348" s="120">
        <f t="shared" ca="1" si="756"/>
        <v>0</v>
      </c>
      <c r="AK348" s="120"/>
      <c r="AL348" s="147"/>
      <c r="AM348" s="160"/>
      <c r="AN348" s="160"/>
      <c r="AO348" s="160"/>
      <c r="AP348" s="160"/>
      <c r="AQ348" s="160"/>
      <c r="AR348" s="160"/>
      <c r="AS348" s="160"/>
      <c r="AT348" s="160"/>
      <c r="AU348" s="160"/>
      <c r="AV348" s="160"/>
      <c r="AW348" s="160"/>
      <c r="AX348" s="160"/>
      <c r="AY348" s="160"/>
      <c r="AZ348" s="160"/>
      <c r="BA348" s="160"/>
      <c r="BB348" s="160"/>
      <c r="BC348" s="160"/>
      <c r="BD348" s="160"/>
      <c r="BE348" s="160"/>
      <c r="BF348" s="160"/>
      <c r="BG348" s="160"/>
      <c r="BS348" s="13">
        <v>2</v>
      </c>
      <c r="BT348" s="128">
        <v>44491</v>
      </c>
      <c r="BU348" s="121" t="s">
        <v>8</v>
      </c>
      <c r="BV348" s="120" t="s">
        <v>482</v>
      </c>
      <c r="BW348" s="121" t="s">
        <v>502</v>
      </c>
      <c r="BX348" s="120">
        <v>18400</v>
      </c>
      <c r="BY348" s="120">
        <v>41.7</v>
      </c>
      <c r="BZ348" s="120">
        <v>47.945</v>
      </c>
      <c r="CA348" s="124">
        <v>-3216.6708800000001</v>
      </c>
      <c r="CB348" s="120">
        <v>1.1497601918465228</v>
      </c>
      <c r="CC348" s="120">
        <v>500</v>
      </c>
      <c r="CD348" s="120">
        <v>50</v>
      </c>
      <c r="CE348" s="124">
        <v>20850</v>
      </c>
    </row>
    <row r="349" spans="1:83">
      <c r="A349" s="13">
        <f t="shared" ca="1" si="753"/>
        <v>342</v>
      </c>
      <c r="B349" s="128">
        <v>44739</v>
      </c>
      <c r="C349" s="121" t="s">
        <v>8</v>
      </c>
      <c r="D349" s="121">
        <v>1</v>
      </c>
      <c r="E349" s="120" t="s">
        <v>481</v>
      </c>
      <c r="F349" s="121" t="s">
        <v>104</v>
      </c>
      <c r="G349" s="120">
        <v>2440</v>
      </c>
      <c r="H349" s="122">
        <v>44770</v>
      </c>
      <c r="I349" s="120">
        <v>300</v>
      </c>
      <c r="J349" s="120">
        <v>24.1</v>
      </c>
      <c r="K349" s="120">
        <v>0</v>
      </c>
      <c r="L349" s="124">
        <f t="shared" ca="1" si="1266"/>
        <v>0</v>
      </c>
      <c r="M349" s="124">
        <f t="shared" ca="1" si="1267"/>
        <v>0</v>
      </c>
      <c r="N349" s="120">
        <f t="shared" ref="N349" ca="1" si="1303">K349/$J349</f>
        <v>0</v>
      </c>
      <c r="O349" s="164">
        <f t="shared" ref="O349" ca="1" si="1304">J349*(1+$O$6*IF(C349="B",-1,1))</f>
        <v>30.125</v>
      </c>
      <c r="P349" s="168">
        <f t="shared" ca="1" si="754"/>
        <v>7230</v>
      </c>
      <c r="Q349" s="168">
        <f t="shared" ref="Q349" ca="1" si="1305">(W349-J349)*I349*IF(C349="B",1,-1)*IF(K349=0,1,0)</f>
        <v>-19440.000000000004</v>
      </c>
      <c r="R349" s="184">
        <f t="shared" ca="1" si="1219"/>
        <v>-507839.85049882799</v>
      </c>
      <c r="S349" s="124">
        <f t="shared" ref="S349" ca="1" si="1306">(1-$S$6)*J349</f>
        <v>2.4099999999999997</v>
      </c>
      <c r="T349" s="120">
        <f ca="1">VLOOKUP(TRIM($F349),Reference!B:C,2,0)</f>
        <v>2495.85</v>
      </c>
      <c r="U349" s="181">
        <f t="shared" ref="U349" ca="1" si="1307">AC349</f>
        <v>0.29231897583557304</v>
      </c>
      <c r="V349" s="125" t="str">
        <f t="shared" ca="1" si="1213"/>
        <v>HINDUNILVR22JUL2440CE</v>
      </c>
      <c r="W349" s="166">
        <f ca="1">VLOOKUP($V349,Reference!BA:BD,4,0)</f>
        <v>88.9</v>
      </c>
      <c r="X349" s="168">
        <f t="shared" ca="1" si="1214"/>
        <v>-26669.99999999996</v>
      </c>
      <c r="Y349" s="168">
        <f t="shared" ca="1" si="1215"/>
        <v>0.67824568850802736</v>
      </c>
      <c r="Z349" s="168">
        <f t="shared" ca="1" si="1220"/>
        <v>-203.4737065524082</v>
      </c>
      <c r="AA349" s="168">
        <f t="shared" ca="1" si="1216"/>
        <v>503.55635371130887</v>
      </c>
      <c r="AB349" s="168">
        <f t="shared" ca="1" si="1217"/>
        <v>0</v>
      </c>
      <c r="AC349" s="124">
        <f t="shared" ca="1" si="1218"/>
        <v>0.29231897583557304</v>
      </c>
      <c r="AD349" s="120">
        <f t="shared" ref="AD349" ca="1" si="1308">(H349-TODAY())/365</f>
        <v>3.5616438356164383E-2</v>
      </c>
      <c r="AE349" s="120">
        <f t="shared" ref="AE349" ca="1" si="1309">IF(I349&lt;&gt;0,20,0)</f>
        <v>20</v>
      </c>
      <c r="AF349" s="120"/>
      <c r="AG349" s="120"/>
      <c r="AH349" s="120">
        <f t="shared" ca="1" si="755"/>
        <v>3.6150000000000002</v>
      </c>
      <c r="AI349" s="120"/>
      <c r="AJ349" s="120">
        <f t="shared" ca="1" si="756"/>
        <v>0</v>
      </c>
      <c r="AK349" s="120"/>
      <c r="AL349" s="147"/>
      <c r="AM349" s="160"/>
      <c r="AN349" s="160"/>
      <c r="AO349" s="160"/>
      <c r="AP349" s="160"/>
      <c r="AQ349" s="160"/>
      <c r="AR349" s="160"/>
      <c r="AS349" s="160"/>
      <c r="AT349" s="160"/>
      <c r="AU349" s="160"/>
      <c r="AV349" s="160"/>
      <c r="AW349" s="160"/>
      <c r="AX349" s="160"/>
      <c r="AY349" s="160"/>
      <c r="AZ349" s="160"/>
      <c r="BA349" s="160"/>
      <c r="BB349" s="160"/>
      <c r="BC349" s="160"/>
      <c r="BD349" s="160"/>
      <c r="BE349" s="160"/>
      <c r="BF349" s="160"/>
      <c r="BG349" s="160"/>
      <c r="BS349" s="13">
        <v>2</v>
      </c>
      <c r="BT349" s="128">
        <v>44491</v>
      </c>
      <c r="BU349" s="121" t="s">
        <v>8</v>
      </c>
      <c r="BV349" s="120" t="s">
        <v>482</v>
      </c>
      <c r="BW349" s="121" t="s">
        <v>502</v>
      </c>
      <c r="BX349" s="120">
        <v>18400</v>
      </c>
      <c r="BY349" s="120">
        <v>41.7</v>
      </c>
      <c r="BZ349" s="120">
        <v>47.945</v>
      </c>
      <c r="CA349" s="124">
        <v>-3216.6708800000001</v>
      </c>
      <c r="CB349" s="120">
        <v>1.1497601918465228</v>
      </c>
      <c r="CC349" s="120">
        <v>500</v>
      </c>
      <c r="CD349" s="120">
        <v>50</v>
      </c>
      <c r="CE349" s="124">
        <v>20850</v>
      </c>
    </row>
    <row r="350" spans="1:83">
      <c r="A350" s="13">
        <f t="shared" ca="1" si="753"/>
        <v>343</v>
      </c>
      <c r="B350" s="128">
        <v>44739</v>
      </c>
      <c r="C350" s="121" t="s">
        <v>6</v>
      </c>
      <c r="D350" s="121">
        <v>1</v>
      </c>
      <c r="E350" s="120" t="s">
        <v>482</v>
      </c>
      <c r="F350" s="121" t="s">
        <v>104</v>
      </c>
      <c r="G350" s="120">
        <v>2300</v>
      </c>
      <c r="H350" s="122">
        <v>44770</v>
      </c>
      <c r="I350" s="120">
        <v>300</v>
      </c>
      <c r="J350" s="120">
        <v>55.25</v>
      </c>
      <c r="K350" s="120">
        <v>25.05</v>
      </c>
      <c r="L350" s="124">
        <f t="shared" ca="1" si="1266"/>
        <v>-9060</v>
      </c>
      <c r="M350" s="124">
        <f t="shared" ca="1" si="1267"/>
        <v>-9060</v>
      </c>
      <c r="N350" s="120">
        <f t="shared" ref="N350:N351" ca="1" si="1310">K350/$J350</f>
        <v>0.45339366515837104</v>
      </c>
      <c r="O350" s="164">
        <f t="shared" ref="O350:O351" ca="1" si="1311">J350*(1+$O$6*IF(C350="B",-1,1))</f>
        <v>41.4375</v>
      </c>
      <c r="P350" s="168">
        <f t="shared" ca="1" si="754"/>
        <v>16575</v>
      </c>
      <c r="Q350" s="168" t="e">
        <f t="shared" ref="Q350:Q351" ca="1" si="1312">(W350-J350)*I350*IF(C350="B",1,-1)*IF(K350=0,1,0)</f>
        <v>#N/A</v>
      </c>
      <c r="R350" s="184">
        <f t="shared" ca="1" si="1219"/>
        <v>0</v>
      </c>
      <c r="S350" s="124">
        <f t="shared" ref="S350:S351" ca="1" si="1313">(1-$S$6)*J350</f>
        <v>5.5249999999999986</v>
      </c>
      <c r="T350" s="120">
        <f ca="1">VLOOKUP(TRIM($F350),Reference!B:C,2,0)</f>
        <v>2495.85</v>
      </c>
      <c r="U350" s="181">
        <f t="shared" ref="U350:U351" ca="1" si="1314">AC350</f>
        <v>0</v>
      </c>
      <c r="V350" s="125" t="str">
        <f t="shared" ca="1" si="1213"/>
        <v>HINDUNILVR22JUL2300PE</v>
      </c>
      <c r="W350" s="166" t="e">
        <f ca="1">VLOOKUP($V350,Reference!BA:BD,4,0)</f>
        <v>#N/A</v>
      </c>
      <c r="X350" s="168">
        <f t="shared" ca="1" si="1214"/>
        <v>0</v>
      </c>
      <c r="Y350" s="168">
        <f t="shared" ca="1" si="1215"/>
        <v>0</v>
      </c>
      <c r="Z350" s="168">
        <f t="shared" ca="1" si="1220"/>
        <v>0</v>
      </c>
      <c r="AA350" s="168">
        <f t="shared" ca="1" si="1216"/>
        <v>0</v>
      </c>
      <c r="AB350" s="168">
        <f t="shared" ca="1" si="1217"/>
        <v>0</v>
      </c>
      <c r="AC350" s="124">
        <f t="shared" ca="1" si="1218"/>
        <v>0</v>
      </c>
      <c r="AD350" s="120">
        <f t="shared" ref="AD350:AD351" ca="1" si="1315">(H350-TODAY())/365</f>
        <v>3.5616438356164383E-2</v>
      </c>
      <c r="AE350" s="120">
        <f t="shared" ref="AE350:AE351" ca="1" si="1316">IF(I350&lt;&gt;0,20,0)</f>
        <v>20</v>
      </c>
      <c r="AF350" s="120"/>
      <c r="AG350" s="120"/>
      <c r="AH350" s="120">
        <f t="shared" ca="1" si="755"/>
        <v>0</v>
      </c>
      <c r="AI350" s="120"/>
      <c r="AJ350" s="120">
        <f t="shared" ca="1" si="756"/>
        <v>0.49725000000000003</v>
      </c>
      <c r="AK350" s="120"/>
      <c r="AL350" s="147"/>
      <c r="AM350" s="160"/>
      <c r="AN350" s="160"/>
      <c r="AO350" s="160"/>
      <c r="AP350" s="160"/>
      <c r="AQ350" s="160"/>
      <c r="AR350" s="160"/>
      <c r="AS350" s="160"/>
      <c r="AT350" s="160"/>
      <c r="AU350" s="160"/>
      <c r="AV350" s="160"/>
      <c r="AW350" s="160"/>
      <c r="AX350" s="160"/>
      <c r="AY350" s="160"/>
      <c r="AZ350" s="160"/>
      <c r="BA350" s="160"/>
      <c r="BB350" s="160"/>
      <c r="BC350" s="160"/>
      <c r="BD350" s="160"/>
      <c r="BE350" s="160"/>
      <c r="BF350" s="160"/>
      <c r="BG350" s="160"/>
      <c r="BS350" s="13">
        <v>2</v>
      </c>
      <c r="BT350" s="128">
        <v>44491</v>
      </c>
      <c r="BU350" s="121" t="s">
        <v>8</v>
      </c>
      <c r="BV350" s="120" t="s">
        <v>482</v>
      </c>
      <c r="BW350" s="121" t="s">
        <v>502</v>
      </c>
      <c r="BX350" s="120">
        <v>18400</v>
      </c>
      <c r="BY350" s="120">
        <v>41.7</v>
      </c>
      <c r="BZ350" s="120">
        <v>47.945</v>
      </c>
      <c r="CA350" s="124">
        <v>-3216.6708800000001</v>
      </c>
      <c r="CB350" s="120">
        <v>1.1497601918465228</v>
      </c>
      <c r="CC350" s="120">
        <v>500</v>
      </c>
      <c r="CD350" s="120">
        <v>50</v>
      </c>
      <c r="CE350" s="124">
        <v>20850</v>
      </c>
    </row>
    <row r="351" spans="1:83" hidden="1">
      <c r="A351" s="13">
        <f t="shared" ca="1" si="753"/>
        <v>344</v>
      </c>
      <c r="B351" s="128">
        <v>44739</v>
      </c>
      <c r="C351" s="121" t="s">
        <v>8</v>
      </c>
      <c r="D351" s="121">
        <v>1</v>
      </c>
      <c r="E351" s="120" t="s">
        <v>481</v>
      </c>
      <c r="F351" s="121" t="s">
        <v>284</v>
      </c>
      <c r="G351" s="120">
        <v>450</v>
      </c>
      <c r="H351" s="122">
        <v>44770</v>
      </c>
      <c r="I351" s="120">
        <v>1425</v>
      </c>
      <c r="J351" s="120">
        <v>7.8</v>
      </c>
      <c r="K351" s="120">
        <v>0</v>
      </c>
      <c r="L351" s="124">
        <f t="shared" ca="1" si="1266"/>
        <v>0</v>
      </c>
      <c r="M351" s="124">
        <f t="shared" ca="1" si="1267"/>
        <v>0</v>
      </c>
      <c r="N351" s="120">
        <f t="shared" ca="1" si="1310"/>
        <v>0</v>
      </c>
      <c r="O351" s="164">
        <f t="shared" ca="1" si="1311"/>
        <v>9.75</v>
      </c>
      <c r="P351" s="168">
        <f t="shared" ca="1" si="754"/>
        <v>11115</v>
      </c>
      <c r="Q351" s="168">
        <f t="shared" ca="1" si="1312"/>
        <v>4346.25</v>
      </c>
      <c r="R351" s="184">
        <f t="shared" ca="1" si="1219"/>
        <v>-159928.81837998179</v>
      </c>
      <c r="S351" s="124">
        <f t="shared" ca="1" si="1313"/>
        <v>0.7799999999999998</v>
      </c>
      <c r="T351" s="120">
        <f ca="1">VLOOKUP(TRIM($F351),Reference!B:C,2,0)</f>
        <v>428</v>
      </c>
      <c r="U351" s="181">
        <f t="shared" ca="1" si="1314"/>
        <v>0.38394220756597319</v>
      </c>
      <c r="V351" s="125" t="str">
        <f t="shared" ca="1" si="1213"/>
        <v>TATAMOTORS22JUL450CE</v>
      </c>
      <c r="W351" s="166">
        <f ca="1">VLOOKUP($V351,Reference!BA:BD,4,0)</f>
        <v>4.75</v>
      </c>
      <c r="X351" s="168">
        <f t="shared" ca="1" si="1214"/>
        <v>-6768.7499999999391</v>
      </c>
      <c r="Y351" s="168">
        <f t="shared" ca="1" si="1215"/>
        <v>0.26222137789798622</v>
      </c>
      <c r="Z351" s="168">
        <f t="shared" ca="1" si="1220"/>
        <v>-373.66546350463034</v>
      </c>
      <c r="AA351" s="168">
        <f t="shared" ca="1" si="1216"/>
        <v>532.77293931991471</v>
      </c>
      <c r="AB351" s="168">
        <f t="shared" ca="1" si="1217"/>
        <v>0</v>
      </c>
      <c r="AC351" s="124">
        <f t="shared" ca="1" si="1218"/>
        <v>0.38394220756597319</v>
      </c>
      <c r="AD351" s="120">
        <f t="shared" ca="1" si="1315"/>
        <v>3.5616438356164383E-2</v>
      </c>
      <c r="AE351" s="120">
        <f t="shared" ca="1" si="1316"/>
        <v>20</v>
      </c>
      <c r="AF351" s="120"/>
      <c r="AG351" s="120"/>
      <c r="AH351" s="120">
        <f t="shared" ca="1" si="755"/>
        <v>5.5575000000000001</v>
      </c>
      <c r="AI351" s="120"/>
      <c r="AJ351" s="120">
        <f t="shared" ca="1" si="756"/>
        <v>0</v>
      </c>
      <c r="AK351" s="120"/>
      <c r="AL351" s="147"/>
      <c r="AM351" s="160"/>
      <c r="AN351" s="160"/>
      <c r="AO351" s="160"/>
      <c r="AP351" s="160"/>
      <c r="AQ351" s="160"/>
      <c r="AR351" s="160"/>
      <c r="AS351" s="160"/>
      <c r="AT351" s="160"/>
      <c r="AU351" s="160"/>
      <c r="AV351" s="160"/>
      <c r="AW351" s="160"/>
      <c r="AX351" s="160"/>
      <c r="AY351" s="160"/>
      <c r="AZ351" s="160"/>
      <c r="BA351" s="160"/>
      <c r="BB351" s="160"/>
      <c r="BC351" s="160"/>
      <c r="BD351" s="160"/>
      <c r="BE351" s="160"/>
      <c r="BF351" s="160"/>
      <c r="BG351" s="160"/>
      <c r="BS351" s="13">
        <v>2</v>
      </c>
      <c r="BT351" s="128">
        <v>44491</v>
      </c>
      <c r="BU351" s="121" t="s">
        <v>8</v>
      </c>
      <c r="BV351" s="120" t="s">
        <v>482</v>
      </c>
      <c r="BW351" s="121" t="s">
        <v>502</v>
      </c>
      <c r="BX351" s="120">
        <v>18400</v>
      </c>
      <c r="BY351" s="120">
        <v>41.7</v>
      </c>
      <c r="BZ351" s="120">
        <v>47.945</v>
      </c>
      <c r="CA351" s="124">
        <v>-3216.6708800000001</v>
      </c>
      <c r="CB351" s="120">
        <v>1.1497601918465228</v>
      </c>
      <c r="CC351" s="120">
        <v>500</v>
      </c>
      <c r="CD351" s="120">
        <v>50</v>
      </c>
      <c r="CE351" s="124">
        <v>20850</v>
      </c>
    </row>
    <row r="352" spans="1:83" hidden="1">
      <c r="A352" s="13">
        <f t="shared" ca="1" si="753"/>
        <v>345</v>
      </c>
      <c r="B352" s="128">
        <v>44739</v>
      </c>
      <c r="C352" s="121" t="s">
        <v>8</v>
      </c>
      <c r="D352" s="121">
        <v>1</v>
      </c>
      <c r="E352" s="120" t="s">
        <v>481</v>
      </c>
      <c r="F352" s="121" t="s">
        <v>126</v>
      </c>
      <c r="G352" s="120">
        <v>190</v>
      </c>
      <c r="H352" s="122">
        <v>44770</v>
      </c>
      <c r="I352" s="120">
        <v>3750</v>
      </c>
      <c r="J352" s="120">
        <v>3.35</v>
      </c>
      <c r="K352" s="120">
        <v>0.75</v>
      </c>
      <c r="L352" s="124">
        <f t="shared" ca="1" si="1266"/>
        <v>9750</v>
      </c>
      <c r="M352" s="124">
        <f t="shared" ca="1" si="1267"/>
        <v>9750</v>
      </c>
      <c r="N352" s="120">
        <f t="shared" ref="N352:N353" ca="1" si="1317">K352/$J352</f>
        <v>0.22388059701492538</v>
      </c>
      <c r="O352" s="164">
        <f t="shared" ref="O352:O353" ca="1" si="1318">J352*(1+$O$6*IF(C352="B",-1,1))</f>
        <v>4.1875</v>
      </c>
      <c r="P352" s="168">
        <f t="shared" ca="1" si="754"/>
        <v>12562.5</v>
      </c>
      <c r="Q352" s="168" t="e">
        <f t="shared" ref="Q352:Q353" ca="1" si="1319">(W352-J352)*I352*IF(C352="B",1,-1)*IF(K352=0,1,0)</f>
        <v>#N/A</v>
      </c>
      <c r="R352" s="184">
        <f t="shared" ca="1" si="1219"/>
        <v>0</v>
      </c>
      <c r="S352" s="124">
        <f t="shared" ref="S352:S353" ca="1" si="1320">(1-$S$6)*J352</f>
        <v>0.33499999999999991</v>
      </c>
      <c r="T352" s="120">
        <f ca="1">VLOOKUP(TRIM($F352),Reference!B:C,2,0)</f>
        <v>162.15</v>
      </c>
      <c r="U352" s="181">
        <f t="shared" ref="U352:U353" ca="1" si="1321">AC352</f>
        <v>0</v>
      </c>
      <c r="V352" s="125" t="str">
        <f t="shared" ca="1" si="1213"/>
        <v>IEX22JUL190CE</v>
      </c>
      <c r="W352" s="166" t="e">
        <f ca="1">VLOOKUP($V352,Reference!BA:BD,4,0)</f>
        <v>#N/A</v>
      </c>
      <c r="X352" s="168">
        <f t="shared" ca="1" si="1214"/>
        <v>0</v>
      </c>
      <c r="Y352" s="168">
        <f t="shared" ca="1" si="1215"/>
        <v>0</v>
      </c>
      <c r="Z352" s="168">
        <f t="shared" ca="1" si="1220"/>
        <v>0</v>
      </c>
      <c r="AA352" s="168">
        <f t="shared" ca="1" si="1216"/>
        <v>0</v>
      </c>
      <c r="AB352" s="168">
        <f t="shared" ca="1" si="1217"/>
        <v>0</v>
      </c>
      <c r="AC352" s="124">
        <f t="shared" ca="1" si="1218"/>
        <v>0</v>
      </c>
      <c r="AD352" s="120">
        <f t="shared" ref="AD352:AD353" ca="1" si="1322">(H352-TODAY())/365</f>
        <v>3.5616438356164383E-2</v>
      </c>
      <c r="AE352" s="120">
        <f t="shared" ref="AE352:AE353" ca="1" si="1323">IF(I352&lt;&gt;0,20,0)</f>
        <v>20</v>
      </c>
      <c r="AF352" s="120"/>
      <c r="AG352" s="120"/>
      <c r="AH352" s="120">
        <f t="shared" ca="1" si="755"/>
        <v>6.28125</v>
      </c>
      <c r="AI352" s="120"/>
      <c r="AJ352" s="120">
        <f t="shared" ca="1" si="756"/>
        <v>0</v>
      </c>
      <c r="AK352" s="120"/>
      <c r="AL352" s="147"/>
      <c r="AM352" s="160"/>
      <c r="AN352" s="160"/>
      <c r="AO352" s="160"/>
      <c r="AP352" s="160"/>
      <c r="AQ352" s="160"/>
      <c r="AR352" s="160"/>
      <c r="AS352" s="160"/>
      <c r="AT352" s="160"/>
      <c r="AU352" s="160"/>
      <c r="AV352" s="160"/>
      <c r="AW352" s="160"/>
      <c r="AX352" s="160"/>
      <c r="AY352" s="160"/>
      <c r="AZ352" s="160"/>
      <c r="BA352" s="160"/>
      <c r="BB352" s="160"/>
      <c r="BC352" s="160"/>
      <c r="BD352" s="160"/>
      <c r="BE352" s="160"/>
      <c r="BF352" s="160"/>
      <c r="BG352" s="160"/>
      <c r="BS352" s="13">
        <v>2</v>
      </c>
      <c r="BT352" s="128">
        <v>44491</v>
      </c>
      <c r="BU352" s="121" t="s">
        <v>8</v>
      </c>
      <c r="BV352" s="120" t="s">
        <v>482</v>
      </c>
      <c r="BW352" s="121" t="s">
        <v>502</v>
      </c>
      <c r="BX352" s="120">
        <v>18400</v>
      </c>
      <c r="BY352" s="120">
        <v>41.7</v>
      </c>
      <c r="BZ352" s="120">
        <v>47.945</v>
      </c>
      <c r="CA352" s="124">
        <v>-3216.6708800000001</v>
      </c>
      <c r="CB352" s="120">
        <v>1.1497601918465228</v>
      </c>
      <c r="CC352" s="120">
        <v>500</v>
      </c>
      <c r="CD352" s="120">
        <v>50</v>
      </c>
      <c r="CE352" s="124">
        <v>20850</v>
      </c>
    </row>
    <row r="353" spans="1:83" hidden="1">
      <c r="A353" s="13">
        <f t="shared" ca="1" si="753"/>
        <v>346</v>
      </c>
      <c r="B353" s="128">
        <v>44740</v>
      </c>
      <c r="C353" s="121" t="s">
        <v>8</v>
      </c>
      <c r="D353" s="121">
        <v>1</v>
      </c>
      <c r="E353" s="120" t="s">
        <v>481</v>
      </c>
      <c r="F353" s="121" t="s">
        <v>284</v>
      </c>
      <c r="G353" s="120">
        <v>450</v>
      </c>
      <c r="H353" s="122">
        <v>44770</v>
      </c>
      <c r="I353" s="120">
        <v>1425</v>
      </c>
      <c r="J353" s="120">
        <v>7.4</v>
      </c>
      <c r="K353" s="120">
        <v>0</v>
      </c>
      <c r="L353" s="124">
        <f t="shared" ref="L353" ca="1" si="1324">IF(AND(K353&lt;&gt;0,I353&lt;&gt;0),(IF(C353="B",1,-1))*(K353-J353)*I353-AK353*2,0)*$D353*IF(MONTH($B$2)=MONTH($H353),1,0)</f>
        <v>0</v>
      </c>
      <c r="M353" s="124">
        <f t="shared" ref="M353" ca="1" si="1325">IF(AND(K353&lt;&gt;0,I353&lt;&gt;0),(IF(C353="B",1,-1))*(K353-J353)*I353-AK353*2,0)*$D353</f>
        <v>0</v>
      </c>
      <c r="N353" s="120">
        <f t="shared" ca="1" si="1317"/>
        <v>0</v>
      </c>
      <c r="O353" s="164">
        <f t="shared" ca="1" si="1318"/>
        <v>9.25</v>
      </c>
      <c r="P353" s="168">
        <f t="shared" ca="1" si="754"/>
        <v>10545</v>
      </c>
      <c r="Q353" s="168">
        <f t="shared" ca="1" si="1319"/>
        <v>3776.2500000000005</v>
      </c>
      <c r="R353" s="184">
        <f t="shared" ca="1" si="1219"/>
        <v>-159928.81837998179</v>
      </c>
      <c r="S353" s="124">
        <f t="shared" ca="1" si="1320"/>
        <v>0.73999999999999988</v>
      </c>
      <c r="T353" s="120">
        <f ca="1">VLOOKUP(TRIM($F353),Reference!B:C,2,0)</f>
        <v>428</v>
      </c>
      <c r="U353" s="181">
        <f t="shared" ca="1" si="1321"/>
        <v>0.38394220756597319</v>
      </c>
      <c r="V353" s="125" t="str">
        <f t="shared" ca="1" si="1213"/>
        <v>TATAMOTORS22JUL450CE</v>
      </c>
      <c r="W353" s="166">
        <f ca="1">VLOOKUP($V353,Reference!BA:BD,4,0)</f>
        <v>4.75</v>
      </c>
      <c r="X353" s="168">
        <f t="shared" ca="1" si="1214"/>
        <v>-6768.7499999999391</v>
      </c>
      <c r="Y353" s="168">
        <f t="shared" ca="1" si="1215"/>
        <v>0.26222137789798622</v>
      </c>
      <c r="Z353" s="168">
        <f t="shared" ca="1" si="1220"/>
        <v>-373.66546350463034</v>
      </c>
      <c r="AA353" s="168">
        <f t="shared" ca="1" si="1216"/>
        <v>532.77293931991471</v>
      </c>
      <c r="AB353" s="168">
        <f t="shared" ca="1" si="1217"/>
        <v>0</v>
      </c>
      <c r="AC353" s="124">
        <f t="shared" ca="1" si="1218"/>
        <v>0.38394220756597319</v>
      </c>
      <c r="AD353" s="120">
        <f t="shared" ca="1" si="1322"/>
        <v>3.5616438356164383E-2</v>
      </c>
      <c r="AE353" s="120">
        <f t="shared" ca="1" si="1323"/>
        <v>20</v>
      </c>
      <c r="AF353" s="120"/>
      <c r="AG353" s="120"/>
      <c r="AH353" s="120">
        <f t="shared" ca="1" si="755"/>
        <v>5.2725</v>
      </c>
      <c r="AI353" s="120"/>
      <c r="AJ353" s="120">
        <f t="shared" ca="1" si="756"/>
        <v>0</v>
      </c>
      <c r="AK353" s="120"/>
      <c r="AL353" s="147"/>
      <c r="AM353" s="160"/>
      <c r="AN353" s="160"/>
      <c r="AO353" s="160"/>
      <c r="AP353" s="160"/>
      <c r="AQ353" s="160"/>
      <c r="AR353" s="160"/>
      <c r="AS353" s="160"/>
      <c r="AT353" s="160"/>
      <c r="AU353" s="160"/>
      <c r="AV353" s="160"/>
      <c r="AW353" s="160"/>
      <c r="AX353" s="160"/>
      <c r="AY353" s="160"/>
      <c r="AZ353" s="160"/>
      <c r="BA353" s="160"/>
      <c r="BB353" s="160"/>
      <c r="BC353" s="160"/>
      <c r="BD353" s="160"/>
      <c r="BE353" s="160"/>
      <c r="BF353" s="160"/>
      <c r="BG353" s="160"/>
      <c r="BS353" s="13">
        <v>2</v>
      </c>
      <c r="BT353" s="128">
        <v>44491</v>
      </c>
      <c r="BU353" s="121" t="s">
        <v>8</v>
      </c>
      <c r="BV353" s="120" t="s">
        <v>482</v>
      </c>
      <c r="BW353" s="121" t="s">
        <v>502</v>
      </c>
      <c r="BX353" s="120">
        <v>18400</v>
      </c>
      <c r="BY353" s="120">
        <v>41.7</v>
      </c>
      <c r="BZ353" s="120">
        <v>47.945</v>
      </c>
      <c r="CA353" s="124">
        <v>-3216.6708800000001</v>
      </c>
      <c r="CB353" s="120">
        <v>1.1497601918465228</v>
      </c>
      <c r="CC353" s="120">
        <v>500</v>
      </c>
      <c r="CD353" s="120">
        <v>50</v>
      </c>
      <c r="CE353" s="124">
        <v>20850</v>
      </c>
    </row>
    <row r="354" spans="1:83" hidden="1">
      <c r="A354" s="13">
        <f t="shared" ca="1" si="753"/>
        <v>347</v>
      </c>
      <c r="B354" s="128">
        <v>44740</v>
      </c>
      <c r="C354" s="121" t="s">
        <v>8</v>
      </c>
      <c r="D354" s="121">
        <v>1</v>
      </c>
      <c r="E354" s="120" t="s">
        <v>481</v>
      </c>
      <c r="F354" s="121" t="s">
        <v>502</v>
      </c>
      <c r="G354" s="120">
        <v>16500</v>
      </c>
      <c r="H354" s="122">
        <v>44770</v>
      </c>
      <c r="I354" s="120">
        <v>100</v>
      </c>
      <c r="J354" s="120">
        <v>95</v>
      </c>
      <c r="K354" s="120">
        <v>91.2</v>
      </c>
      <c r="L354" s="124">
        <f t="shared" ref="L354" ca="1" si="1326">IF(AND(K354&lt;&gt;0,I354&lt;&gt;0),(IF(C354="B",1,-1))*(K354-J354)*I354-AK354*2,0)*$D354*IF(MONTH($B$2)=MONTH($H354),1,0)</f>
        <v>379.99999999999972</v>
      </c>
      <c r="M354" s="124">
        <f t="shared" ref="M354" ca="1" si="1327">IF(AND(K354&lt;&gt;0,I354&lt;&gt;0),(IF(C354="B",1,-1))*(K354-J354)*I354-AK354*2,0)*$D354</f>
        <v>379.99999999999972</v>
      </c>
      <c r="N354" s="120">
        <f t="shared" ref="N354" ca="1" si="1328">K354/$J354</f>
        <v>0.96000000000000008</v>
      </c>
      <c r="O354" s="164">
        <f t="shared" ref="O354" ca="1" si="1329">J354*(1+$O$6*IF(C354="B",-1,1))</f>
        <v>118.75</v>
      </c>
      <c r="P354" s="168">
        <f t="shared" ca="1" si="754"/>
        <v>9500</v>
      </c>
      <c r="Q354" s="168">
        <f t="shared" ref="Q354" ca="1" si="1330">(W354-J354)*I354*IF(C354="B",1,-1)*IF(K354=0,1,0)</f>
        <v>0</v>
      </c>
      <c r="R354" s="184">
        <f t="shared" ca="1" si="1219"/>
        <v>0</v>
      </c>
      <c r="S354" s="124">
        <f t="shared" ref="S354" ca="1" si="1331">(1-$S$6)*J354</f>
        <v>9.4999999999999982</v>
      </c>
      <c r="T354" s="120">
        <f ca="1">VLOOKUP(TRIM($F354),Reference!B:C,2,0)</f>
        <v>15938.65</v>
      </c>
      <c r="U354" s="181">
        <f t="shared" ref="U354" ca="1" si="1332">AC354</f>
        <v>0</v>
      </c>
      <c r="V354" s="125" t="str">
        <f t="shared" ca="1" si="1213"/>
        <v>NIFTY22JUL16500CE</v>
      </c>
      <c r="W354" s="166">
        <f ca="1">VLOOKUP($V354,Reference!BA:BD,4,0)</f>
        <v>31.75</v>
      </c>
      <c r="X354" s="168">
        <f t="shared" ca="1" si="1214"/>
        <v>0</v>
      </c>
      <c r="Y354" s="168">
        <f t="shared" ca="1" si="1215"/>
        <v>0</v>
      </c>
      <c r="Z354" s="168">
        <f t="shared" ca="1" si="1220"/>
        <v>0</v>
      </c>
      <c r="AA354" s="168">
        <f t="shared" ca="1" si="1216"/>
        <v>0</v>
      </c>
      <c r="AB354" s="168">
        <f t="shared" ca="1" si="1217"/>
        <v>0</v>
      </c>
      <c r="AC354" s="124">
        <f t="shared" ca="1" si="1218"/>
        <v>0</v>
      </c>
      <c r="AD354" s="120">
        <f t="shared" ref="AD354" ca="1" si="1333">(H354-TODAY())/365</f>
        <v>3.5616438356164383E-2</v>
      </c>
      <c r="AE354" s="120">
        <f t="shared" ref="AE354" ca="1" si="1334">IF(I354&lt;&gt;0,20,0)</f>
        <v>20</v>
      </c>
      <c r="AF354" s="120"/>
      <c r="AG354" s="120"/>
      <c r="AH354" s="120">
        <f t="shared" ca="1" si="755"/>
        <v>4.75</v>
      </c>
      <c r="AI354" s="120"/>
      <c r="AJ354" s="120">
        <f t="shared" ca="1" si="756"/>
        <v>0</v>
      </c>
      <c r="AK354" s="120"/>
      <c r="AL354" s="147"/>
      <c r="AM354" s="160"/>
      <c r="AN354" s="160"/>
      <c r="AO354" s="160"/>
      <c r="AP354" s="160"/>
      <c r="AQ354" s="160"/>
      <c r="AR354" s="160"/>
      <c r="AS354" s="160"/>
      <c r="AT354" s="160"/>
      <c r="AU354" s="160"/>
      <c r="AV354" s="160"/>
      <c r="AW354" s="160"/>
      <c r="AX354" s="160"/>
      <c r="AY354" s="160"/>
      <c r="AZ354" s="160"/>
      <c r="BA354" s="160"/>
      <c r="BB354" s="160"/>
      <c r="BC354" s="160"/>
      <c r="BD354" s="160"/>
      <c r="BE354" s="160"/>
      <c r="BF354" s="160"/>
      <c r="BG354" s="160"/>
      <c r="BS354" s="13">
        <v>2</v>
      </c>
      <c r="BT354" s="128">
        <v>44491</v>
      </c>
      <c r="BU354" s="121" t="s">
        <v>8</v>
      </c>
      <c r="BV354" s="120" t="s">
        <v>482</v>
      </c>
      <c r="BW354" s="121" t="s">
        <v>502</v>
      </c>
      <c r="BX354" s="120">
        <v>18400</v>
      </c>
      <c r="BY354" s="120">
        <v>41.7</v>
      </c>
      <c r="BZ354" s="120">
        <v>47.945</v>
      </c>
      <c r="CA354" s="124">
        <v>-3216.6708800000001</v>
      </c>
      <c r="CB354" s="120">
        <v>1.1497601918465228</v>
      </c>
      <c r="CC354" s="120">
        <v>500</v>
      </c>
      <c r="CD354" s="120">
        <v>50</v>
      </c>
      <c r="CE354" s="124">
        <v>20850</v>
      </c>
    </row>
    <row r="355" spans="1:83" hidden="1">
      <c r="A355" s="13">
        <f t="shared" ca="1" si="753"/>
        <v>348</v>
      </c>
      <c r="B355" s="128">
        <v>44740</v>
      </c>
      <c r="C355" s="121" t="s">
        <v>6</v>
      </c>
      <c r="D355" s="121">
        <v>1</v>
      </c>
      <c r="E355" s="120" t="s">
        <v>482</v>
      </c>
      <c r="F355" s="121" t="s">
        <v>390</v>
      </c>
      <c r="G355" s="120">
        <v>2300</v>
      </c>
      <c r="H355" s="122">
        <v>44770</v>
      </c>
      <c r="I355" s="120">
        <v>375</v>
      </c>
      <c r="J355" s="120">
        <v>105.05</v>
      </c>
      <c r="K355" s="120">
        <v>0</v>
      </c>
      <c r="L355" s="124">
        <f t="shared" ref="L355" ca="1" si="1335">IF(AND(K355&lt;&gt;0,I355&lt;&gt;0),(IF(C355="B",1,-1))*(K355-J355)*I355-AK355*2,0)*$D355*IF(MONTH($B$2)=MONTH($H355),1,0)</f>
        <v>0</v>
      </c>
      <c r="M355" s="124">
        <f t="shared" ref="M355" ca="1" si="1336">IF(AND(K355&lt;&gt;0,I355&lt;&gt;0),(IF(C355="B",1,-1))*(K355-J355)*I355-AK355*2,0)*$D355</f>
        <v>0</v>
      </c>
      <c r="N355" s="120">
        <f t="shared" ref="N355" ca="1" si="1337">K355/$J355</f>
        <v>0</v>
      </c>
      <c r="O355" s="164">
        <f t="shared" ref="O355" ca="1" si="1338">J355*(1+$O$6*IF(C355="B",-1,1))</f>
        <v>78.787499999999994</v>
      </c>
      <c r="P355" s="168">
        <f t="shared" ca="1" si="754"/>
        <v>39393.75</v>
      </c>
      <c r="Q355" s="168">
        <f t="shared" ref="Q355" ca="1" si="1339">(W355-J355)*I355*IF(C355="B",1,-1)*IF(K355=0,1,0)</f>
        <v>4481.2500000000009</v>
      </c>
      <c r="R355" s="184">
        <f t="shared" ca="1" si="1219"/>
        <v>-559343.05807616201</v>
      </c>
      <c r="S355" s="124">
        <f t="shared" ref="S355" ca="1" si="1340">(1-$S$6)*J355</f>
        <v>10.504999999999997</v>
      </c>
      <c r="T355" s="120">
        <f ca="1">VLOOKUP(TRIM($F355),Reference!B:C,2,0)</f>
        <v>2214</v>
      </c>
      <c r="U355" s="181">
        <f t="shared" ref="U355" ca="1" si="1341">AC355</f>
        <v>0.39897127571954372</v>
      </c>
      <c r="V355" s="125" t="str">
        <f t="shared" ca="1" si="1213"/>
        <v>SRF22JUL2300PE</v>
      </c>
      <c r="W355" s="166">
        <f ca="1">VLOOKUP($V355,Reference!BA:BD,4,0)</f>
        <v>117</v>
      </c>
      <c r="X355" s="168">
        <f t="shared" ca="1" si="1214"/>
        <v>43875</v>
      </c>
      <c r="Y355" s="168">
        <f t="shared" ca="1" si="1215"/>
        <v>-0.67370437588215837</v>
      </c>
      <c r="Z355" s="168">
        <f t="shared" ca="1" si="1220"/>
        <v>-252.63914095580938</v>
      </c>
      <c r="AA355" s="168">
        <f t="shared" ca="1" si="1216"/>
        <v>-949.37971246824134</v>
      </c>
      <c r="AB355" s="168">
        <f t="shared" ca="1" si="1217"/>
        <v>0</v>
      </c>
      <c r="AC355" s="124">
        <f t="shared" ca="1" si="1218"/>
        <v>0.39897127571954372</v>
      </c>
      <c r="AD355" s="120">
        <f t="shared" ref="AD355" ca="1" si="1342">(H355-TODAY())/365</f>
        <v>3.5616438356164383E-2</v>
      </c>
      <c r="AE355" s="120">
        <f t="shared" ref="AE355" ca="1" si="1343">IF(I355&lt;&gt;0,20,0)</f>
        <v>20</v>
      </c>
      <c r="AF355" s="120"/>
      <c r="AG355" s="120"/>
      <c r="AH355" s="120">
        <f t="shared" ca="1" si="755"/>
        <v>0</v>
      </c>
      <c r="AI355" s="120"/>
      <c r="AJ355" s="120">
        <f t="shared" ca="1" si="756"/>
        <v>1.1818124999999999</v>
      </c>
      <c r="AK355" s="120"/>
      <c r="AL355" s="147"/>
      <c r="AM355" s="160"/>
      <c r="AN355" s="160"/>
      <c r="AO355" s="160"/>
      <c r="AP355" s="160"/>
      <c r="AQ355" s="160"/>
      <c r="AR355" s="160"/>
      <c r="AS355" s="160"/>
      <c r="AT355" s="160"/>
      <c r="AU355" s="160"/>
      <c r="AV355" s="160"/>
      <c r="AW355" s="160"/>
      <c r="AX355" s="160"/>
      <c r="AY355" s="160"/>
      <c r="AZ355" s="160"/>
      <c r="BA355" s="160"/>
      <c r="BB355" s="160"/>
      <c r="BC355" s="160"/>
      <c r="BD355" s="160"/>
      <c r="BE355" s="160"/>
      <c r="BF355" s="160"/>
      <c r="BG355" s="160"/>
      <c r="BS355" s="13">
        <v>2</v>
      </c>
      <c r="BT355" s="128">
        <v>44491</v>
      </c>
      <c r="BU355" s="121" t="s">
        <v>8</v>
      </c>
      <c r="BV355" s="120" t="s">
        <v>482</v>
      </c>
      <c r="BW355" s="121" t="s">
        <v>502</v>
      </c>
      <c r="BX355" s="120">
        <v>18400</v>
      </c>
      <c r="BY355" s="120">
        <v>41.7</v>
      </c>
      <c r="BZ355" s="120">
        <v>47.945</v>
      </c>
      <c r="CA355" s="124">
        <v>-3216.6708800000001</v>
      </c>
      <c r="CB355" s="120">
        <v>1.1497601918465228</v>
      </c>
      <c r="CC355" s="120">
        <v>500</v>
      </c>
      <c r="CD355" s="120">
        <v>50</v>
      </c>
      <c r="CE355" s="124">
        <v>20850</v>
      </c>
    </row>
    <row r="356" spans="1:83" hidden="1">
      <c r="A356" s="13">
        <f t="shared" ca="1" si="753"/>
        <v>349</v>
      </c>
      <c r="B356" s="128">
        <v>44740</v>
      </c>
      <c r="C356" s="121" t="s">
        <v>8</v>
      </c>
      <c r="D356" s="121">
        <v>1</v>
      </c>
      <c r="E356" s="120" t="s">
        <v>481</v>
      </c>
      <c r="F356" s="121" t="s">
        <v>390</v>
      </c>
      <c r="G356" s="120">
        <v>2400</v>
      </c>
      <c r="H356" s="122">
        <v>44770</v>
      </c>
      <c r="I356" s="120">
        <v>375</v>
      </c>
      <c r="J356" s="120">
        <v>50</v>
      </c>
      <c r="K356" s="120">
        <v>0</v>
      </c>
      <c r="L356" s="124">
        <f t="shared" ref="L356" ca="1" si="1344">IF(AND(K356&lt;&gt;0,I356&lt;&gt;0),(IF(C356="B",1,-1))*(K356-J356)*I356-AK356*2,0)*$D356*IF(MONTH($B$2)=MONTH($H356),1,0)</f>
        <v>0</v>
      </c>
      <c r="M356" s="124">
        <f t="shared" ref="M356" ca="1" si="1345">IF(AND(K356&lt;&gt;0,I356&lt;&gt;0),(IF(C356="B",1,-1))*(K356-J356)*I356-AK356*2,0)*$D356</f>
        <v>0</v>
      </c>
      <c r="N356" s="120">
        <f t="shared" ref="N356" ca="1" si="1346">K356/$J356</f>
        <v>0</v>
      </c>
      <c r="O356" s="164">
        <f t="shared" ref="O356" ca="1" si="1347">J356*(1+$O$6*IF(C356="B",-1,1))</f>
        <v>62.5</v>
      </c>
      <c r="P356" s="168">
        <f t="shared" ca="1" si="754"/>
        <v>18750</v>
      </c>
      <c r="Q356" s="168">
        <f t="shared" ref="Q356" ca="1" si="1348">(W356-J356)*I356*IF(C356="B",1,-1)*IF(K356=0,1,0)</f>
        <v>14456.249999999998</v>
      </c>
      <c r="R356" s="184">
        <f t="shared" ca="1" si="1219"/>
        <v>-119672.7332592349</v>
      </c>
      <c r="S356" s="124">
        <f t="shared" ref="S356" ca="1" si="1349">(1-$S$6)*J356</f>
        <v>4.9999999999999991</v>
      </c>
      <c r="T356" s="120">
        <f ca="1">VLOOKUP(TRIM($F356),Reference!B:C,2,0)</f>
        <v>2214</v>
      </c>
      <c r="U356" s="181">
        <f t="shared" ref="U356" ca="1" si="1350">AC356</f>
        <v>0.38263616676031659</v>
      </c>
      <c r="V356" s="125" t="str">
        <f t="shared" ca="1" si="1213"/>
        <v>SRF22JUL2400CE</v>
      </c>
      <c r="W356" s="166">
        <f ca="1">VLOOKUP($V356,Reference!BA:BD,4,0)</f>
        <v>11.45</v>
      </c>
      <c r="X356" s="168">
        <f t="shared" ca="1" si="1214"/>
        <v>-4293.7499999999318</v>
      </c>
      <c r="Y356" s="168">
        <f t="shared" ca="1" si="1215"/>
        <v>0.14414060013156868</v>
      </c>
      <c r="Z356" s="168">
        <f t="shared" ca="1" si="1220"/>
        <v>-54.052725049338257</v>
      </c>
      <c r="AA356" s="168">
        <f t="shared" ca="1" si="1216"/>
        <v>507.67498067861663</v>
      </c>
      <c r="AB356" s="168">
        <f t="shared" ca="1" si="1217"/>
        <v>0</v>
      </c>
      <c r="AC356" s="124">
        <f t="shared" ca="1" si="1218"/>
        <v>0.38263616676031659</v>
      </c>
      <c r="AD356" s="120">
        <f t="shared" ref="AD356" ca="1" si="1351">(H356-TODAY())/365</f>
        <v>3.5616438356164383E-2</v>
      </c>
      <c r="AE356" s="120">
        <f t="shared" ref="AE356" ca="1" si="1352">IF(I356&lt;&gt;0,20,0)</f>
        <v>20</v>
      </c>
      <c r="AF356" s="120"/>
      <c r="AG356" s="120"/>
      <c r="AH356" s="120">
        <f t="shared" ca="1" si="755"/>
        <v>9.375</v>
      </c>
      <c r="AI356" s="120"/>
      <c r="AJ356" s="120">
        <f t="shared" ca="1" si="756"/>
        <v>0</v>
      </c>
      <c r="AK356" s="120"/>
      <c r="AL356" s="147"/>
      <c r="AM356" s="160"/>
      <c r="AN356" s="160"/>
      <c r="AO356" s="160"/>
      <c r="AP356" s="160"/>
      <c r="AQ356" s="160"/>
      <c r="AR356" s="160"/>
      <c r="AS356" s="160"/>
      <c r="AT356" s="160"/>
      <c r="AU356" s="160"/>
      <c r="AV356" s="160"/>
      <c r="AW356" s="160"/>
      <c r="AX356" s="160"/>
      <c r="AY356" s="160"/>
      <c r="AZ356" s="160"/>
      <c r="BA356" s="160"/>
      <c r="BB356" s="160"/>
      <c r="BC356" s="160"/>
      <c r="BD356" s="160"/>
      <c r="BE356" s="160"/>
      <c r="BF356" s="160"/>
      <c r="BG356" s="160"/>
      <c r="BS356" s="13">
        <v>2</v>
      </c>
      <c r="BT356" s="128">
        <v>44491</v>
      </c>
      <c r="BU356" s="121" t="s">
        <v>8</v>
      </c>
      <c r="BV356" s="120" t="s">
        <v>482</v>
      </c>
      <c r="BW356" s="121" t="s">
        <v>502</v>
      </c>
      <c r="BX356" s="120">
        <v>18400</v>
      </c>
      <c r="BY356" s="120">
        <v>41.7</v>
      </c>
      <c r="BZ356" s="120">
        <v>47.945</v>
      </c>
      <c r="CA356" s="124">
        <v>-3216.6708800000001</v>
      </c>
      <c r="CB356" s="120">
        <v>1.1497601918465228</v>
      </c>
      <c r="CC356" s="120">
        <v>500</v>
      </c>
      <c r="CD356" s="120">
        <v>50</v>
      </c>
      <c r="CE356" s="124">
        <v>20850</v>
      </c>
    </row>
    <row r="357" spans="1:83" hidden="1">
      <c r="A357" s="13">
        <f t="shared" ca="1" si="753"/>
        <v>350</v>
      </c>
      <c r="B357" s="128">
        <v>44740</v>
      </c>
      <c r="C357" s="121" t="s">
        <v>8</v>
      </c>
      <c r="D357" s="121">
        <v>1</v>
      </c>
      <c r="E357" s="120" t="s">
        <v>481</v>
      </c>
      <c r="F357" s="121" t="s">
        <v>506</v>
      </c>
      <c r="G357" s="120">
        <v>35000</v>
      </c>
      <c r="H357" s="122">
        <v>44770</v>
      </c>
      <c r="I357" s="120">
        <v>25</v>
      </c>
      <c r="J357" s="120">
        <v>374.95</v>
      </c>
      <c r="K357" s="120">
        <v>0</v>
      </c>
      <c r="L357" s="124">
        <f t="shared" ref="L357" ca="1" si="1353">IF(AND(K357&lt;&gt;0,I357&lt;&gt;0),(IF(C357="B",1,-1))*(K357-J357)*I357-AK357*2,0)*$D357*IF(MONTH($B$2)=MONTH($H357),1,0)</f>
        <v>0</v>
      </c>
      <c r="M357" s="124">
        <f t="shared" ref="M357" ca="1" si="1354">IF(AND(K357&lt;&gt;0,I357&lt;&gt;0),(IF(C357="B",1,-1))*(K357-J357)*I357-AK357*2,0)*$D357</f>
        <v>0</v>
      </c>
      <c r="N357" s="120">
        <f t="shared" ref="N357" ca="1" si="1355">K357/$J357</f>
        <v>0</v>
      </c>
      <c r="O357" s="164">
        <f t="shared" ref="O357" ca="1" si="1356">J357*(1+$O$6*IF(C357="B",-1,1))</f>
        <v>468.6875</v>
      </c>
      <c r="P357" s="168">
        <f t="shared" ca="1" si="754"/>
        <v>9373.75</v>
      </c>
      <c r="Q357" s="168">
        <f t="shared" ref="Q357" ca="1" si="1357">(W357-J357)*I357*IF(C357="B",1,-1)*IF(K357=0,1,0)</f>
        <v>-582.50000000000023</v>
      </c>
      <c r="R357" s="184">
        <f t="shared" ca="1" si="1219"/>
        <v>-362882.76244838152</v>
      </c>
      <c r="S357" s="124">
        <f t="shared" ref="S357" ca="1" si="1358">(1-$S$6)*J357</f>
        <v>37.49499999999999</v>
      </c>
      <c r="T357" s="120">
        <f ca="1">VLOOKUP(TRIM($F357),Reference!B:C,2,0)</f>
        <v>34651.199999999997</v>
      </c>
      <c r="U357" s="181">
        <f t="shared" ref="U357" ca="1" si="1359">AC357</f>
        <v>0.20432342584662164</v>
      </c>
      <c r="V357" s="125" t="str">
        <f t="shared" ca="1" si="1213"/>
        <v>BANKNIFTY22JUL35000CE</v>
      </c>
      <c r="W357" s="166">
        <f ca="1">VLOOKUP($V357,Reference!BA:BD,4,0)</f>
        <v>398.25</v>
      </c>
      <c r="X357" s="168">
        <f t="shared" ca="1" si="1214"/>
        <v>-9956.25</v>
      </c>
      <c r="Y357" s="168">
        <f t="shared" ca="1" si="1215"/>
        <v>0.41889777260052352</v>
      </c>
      <c r="Z357" s="168">
        <f t="shared" ca="1" si="1220"/>
        <v>-10.472444315013089</v>
      </c>
      <c r="AA357" s="168">
        <f t="shared" ca="1" si="1216"/>
        <v>453.59822496948038</v>
      </c>
      <c r="AB357" s="168">
        <f t="shared" ca="1" si="1217"/>
        <v>0</v>
      </c>
      <c r="AC357" s="124">
        <f t="shared" ca="1" si="1218"/>
        <v>0.20432342584662164</v>
      </c>
      <c r="AD357" s="120">
        <f t="shared" ref="AD357" ca="1" si="1360">(H357-TODAY())/365</f>
        <v>3.5616438356164383E-2</v>
      </c>
      <c r="AE357" s="120">
        <f t="shared" ref="AE357" ca="1" si="1361">IF(I357&lt;&gt;0,20,0)</f>
        <v>20</v>
      </c>
      <c r="AF357" s="120"/>
      <c r="AG357" s="120"/>
      <c r="AH357" s="120">
        <f t="shared" ca="1" si="755"/>
        <v>4.6868749999999997</v>
      </c>
      <c r="AI357" s="120"/>
      <c r="AJ357" s="120">
        <f t="shared" ca="1" si="756"/>
        <v>0</v>
      </c>
      <c r="AK357" s="120"/>
      <c r="AL357" s="147"/>
      <c r="AM357" s="160"/>
      <c r="AN357" s="160"/>
      <c r="AO357" s="160"/>
      <c r="AP357" s="160"/>
      <c r="AQ357" s="160"/>
      <c r="AR357" s="160"/>
      <c r="AS357" s="160"/>
      <c r="AT357" s="160"/>
      <c r="AU357" s="160"/>
      <c r="AV357" s="160"/>
      <c r="AW357" s="160"/>
      <c r="AX357" s="160"/>
      <c r="AY357" s="160"/>
      <c r="AZ357" s="160"/>
      <c r="BA357" s="160"/>
      <c r="BB357" s="160"/>
      <c r="BC357" s="160"/>
      <c r="BD357" s="160"/>
      <c r="BE357" s="160"/>
      <c r="BF357" s="160"/>
      <c r="BG357" s="160"/>
      <c r="BS357" s="13">
        <v>2</v>
      </c>
      <c r="BT357" s="128">
        <v>44491</v>
      </c>
      <c r="BU357" s="121" t="s">
        <v>8</v>
      </c>
      <c r="BV357" s="120" t="s">
        <v>482</v>
      </c>
      <c r="BW357" s="121" t="s">
        <v>502</v>
      </c>
      <c r="BX357" s="120">
        <v>18400</v>
      </c>
      <c r="BY357" s="120">
        <v>41.7</v>
      </c>
      <c r="BZ357" s="120">
        <v>47.945</v>
      </c>
      <c r="CA357" s="124">
        <v>-3216.6708800000001</v>
      </c>
      <c r="CB357" s="120">
        <v>1.1497601918465228</v>
      </c>
      <c r="CC357" s="120">
        <v>500</v>
      </c>
      <c r="CD357" s="120">
        <v>50</v>
      </c>
      <c r="CE357" s="124">
        <v>20850</v>
      </c>
    </row>
    <row r="358" spans="1:83" hidden="1">
      <c r="A358" s="13">
        <f t="shared" ca="1" si="753"/>
        <v>351</v>
      </c>
      <c r="B358" s="128">
        <v>44740</v>
      </c>
      <c r="C358" s="121" t="s">
        <v>8</v>
      </c>
      <c r="D358" s="121">
        <v>1</v>
      </c>
      <c r="E358" s="120" t="s">
        <v>481</v>
      </c>
      <c r="F358" s="121" t="s">
        <v>506</v>
      </c>
      <c r="G358" s="120">
        <v>35000</v>
      </c>
      <c r="H358" s="122">
        <v>44770</v>
      </c>
      <c r="I358" s="120">
        <v>25</v>
      </c>
      <c r="J358" s="120">
        <v>383</v>
      </c>
      <c r="K358" s="120">
        <v>0</v>
      </c>
      <c r="L358" s="124">
        <f t="shared" ref="L358" ca="1" si="1362">IF(AND(K358&lt;&gt;0,I358&lt;&gt;0),(IF(C358="B",1,-1))*(K358-J358)*I358-AK358*2,0)*$D358*IF(MONTH($B$2)=MONTH($H358),1,0)</f>
        <v>0</v>
      </c>
      <c r="M358" s="124">
        <f t="shared" ref="M358" ca="1" si="1363">IF(AND(K358&lt;&gt;0,I358&lt;&gt;0),(IF(C358="B",1,-1))*(K358-J358)*I358-AK358*2,0)*$D358</f>
        <v>0</v>
      </c>
      <c r="N358" s="120">
        <f t="shared" ref="N358" ca="1" si="1364">K358/$J358</f>
        <v>0</v>
      </c>
      <c r="O358" s="164">
        <f t="shared" ref="O358" ca="1" si="1365">J358*(1+$O$6*IF(C358="B",-1,1))</f>
        <v>478.75</v>
      </c>
      <c r="P358" s="168">
        <f t="shared" ca="1" si="754"/>
        <v>9575</v>
      </c>
      <c r="Q358" s="168">
        <f t="shared" ref="Q358" ca="1" si="1366">(W358-J358)*I358*IF(C358="B",1,-1)*IF(K358=0,1,0)</f>
        <v>-381.25</v>
      </c>
      <c r="R358" s="184">
        <f t="shared" ca="1" si="1219"/>
        <v>-362882.76244838152</v>
      </c>
      <c r="S358" s="124">
        <f t="shared" ref="S358" ca="1" si="1367">(1-$S$6)*J358</f>
        <v>38.29999999999999</v>
      </c>
      <c r="T358" s="120">
        <f ca="1">VLOOKUP(TRIM($F358),Reference!B:C,2,0)</f>
        <v>34651.199999999997</v>
      </c>
      <c r="U358" s="181">
        <f t="shared" ref="U358" ca="1" si="1368">AC358</f>
        <v>0.20432342584662164</v>
      </c>
      <c r="V358" s="125" t="str">
        <f t="shared" ca="1" si="1213"/>
        <v>BANKNIFTY22JUL35000CE</v>
      </c>
      <c r="W358" s="166">
        <f ca="1">VLOOKUP($V358,Reference!BA:BD,4,0)</f>
        <v>398.25</v>
      </c>
      <c r="X358" s="168">
        <f t="shared" ca="1" si="1214"/>
        <v>-9956.25</v>
      </c>
      <c r="Y358" s="168">
        <f t="shared" ca="1" si="1215"/>
        <v>0.41889777260052352</v>
      </c>
      <c r="Z358" s="168">
        <f t="shared" ca="1" si="1220"/>
        <v>-10.472444315013089</v>
      </c>
      <c r="AA358" s="168">
        <f t="shared" ca="1" si="1216"/>
        <v>453.59822496948038</v>
      </c>
      <c r="AB358" s="168">
        <f t="shared" ca="1" si="1217"/>
        <v>0</v>
      </c>
      <c r="AC358" s="124">
        <f t="shared" ca="1" si="1218"/>
        <v>0.20432342584662164</v>
      </c>
      <c r="AD358" s="120">
        <f t="shared" ref="AD358" ca="1" si="1369">(H358-TODAY())/365</f>
        <v>3.5616438356164383E-2</v>
      </c>
      <c r="AE358" s="120">
        <f t="shared" ref="AE358" ca="1" si="1370">IF(I358&lt;&gt;0,20,0)</f>
        <v>20</v>
      </c>
      <c r="AF358" s="120"/>
      <c r="AG358" s="120"/>
      <c r="AH358" s="120">
        <f t="shared" ca="1" si="755"/>
        <v>4.7875000000000005</v>
      </c>
      <c r="AI358" s="120"/>
      <c r="AJ358" s="120">
        <f t="shared" ca="1" si="756"/>
        <v>0</v>
      </c>
      <c r="AK358" s="120"/>
      <c r="AL358" s="147"/>
      <c r="AM358" s="160"/>
      <c r="AN358" s="160"/>
      <c r="AO358" s="160"/>
      <c r="AP358" s="160"/>
      <c r="AQ358" s="160"/>
      <c r="AR358" s="160"/>
      <c r="AS358" s="160"/>
      <c r="AT358" s="160"/>
      <c r="AU358" s="160"/>
      <c r="AV358" s="160"/>
      <c r="AW358" s="160"/>
      <c r="AX358" s="160"/>
      <c r="AY358" s="160"/>
      <c r="AZ358" s="160"/>
      <c r="BA358" s="160"/>
      <c r="BB358" s="160"/>
      <c r="BC358" s="160"/>
      <c r="BD358" s="160"/>
      <c r="BE358" s="160"/>
      <c r="BF358" s="160"/>
      <c r="BG358" s="160"/>
      <c r="BS358" s="13">
        <v>2</v>
      </c>
      <c r="BT358" s="128">
        <v>44491</v>
      </c>
      <c r="BU358" s="121" t="s">
        <v>8</v>
      </c>
      <c r="BV358" s="120" t="s">
        <v>482</v>
      </c>
      <c r="BW358" s="121" t="s">
        <v>502</v>
      </c>
      <c r="BX358" s="120">
        <v>18400</v>
      </c>
      <c r="BY358" s="120">
        <v>41.7</v>
      </c>
      <c r="BZ358" s="120">
        <v>47.945</v>
      </c>
      <c r="CA358" s="124">
        <v>-3216.6708800000001</v>
      </c>
      <c r="CB358" s="120">
        <v>1.1497601918465228</v>
      </c>
      <c r="CC358" s="120">
        <v>500</v>
      </c>
      <c r="CD358" s="120">
        <v>50</v>
      </c>
      <c r="CE358" s="124">
        <v>20850</v>
      </c>
    </row>
    <row r="359" spans="1:83" hidden="1">
      <c r="A359" s="13">
        <f t="shared" ca="1" si="753"/>
        <v>352</v>
      </c>
      <c r="B359" s="128">
        <v>44740</v>
      </c>
      <c r="C359" s="121" t="s">
        <v>8</v>
      </c>
      <c r="D359" s="121">
        <v>1</v>
      </c>
      <c r="E359" s="120" t="s">
        <v>481</v>
      </c>
      <c r="F359" s="121" t="s">
        <v>399</v>
      </c>
      <c r="G359" s="120">
        <v>1640</v>
      </c>
      <c r="H359" s="122">
        <v>44770</v>
      </c>
      <c r="I359" s="120">
        <v>300</v>
      </c>
      <c r="J359" s="120">
        <v>10.6</v>
      </c>
      <c r="K359" s="120">
        <v>0</v>
      </c>
      <c r="L359" s="124">
        <f t="shared" ref="L359:L360" ca="1" si="1371">IF(AND(K359&lt;&gt;0,I359&lt;&gt;0),(IF(C359="B",1,-1))*(K359-J359)*I359-AK359*2,0)*$D359*IF(MONTH($B$2)=MONTH($H359),1,0)</f>
        <v>0</v>
      </c>
      <c r="M359" s="124">
        <f t="shared" ref="M359:M360" ca="1" si="1372">IF(AND(K359&lt;&gt;0,I359&lt;&gt;0),(IF(C359="B",1,-1))*(K359-J359)*I359-AK359*2,0)*$D359</f>
        <v>0</v>
      </c>
      <c r="N359" s="120">
        <f t="shared" ref="N359:N360" ca="1" si="1373">K359/$J359</f>
        <v>0</v>
      </c>
      <c r="O359" s="164">
        <f t="shared" ref="O359:O360" ca="1" si="1374">J359*(1+$O$6*IF(C359="B",-1,1))</f>
        <v>13.25</v>
      </c>
      <c r="P359" s="168">
        <f t="shared" ca="1" si="754"/>
        <v>3180</v>
      </c>
      <c r="Q359" s="168">
        <f t="shared" ref="Q359:Q360" ca="1" si="1375">(W359-J359)*I359*IF(C359="B",1,-1)*IF(K359=0,1,0)</f>
        <v>-4020</v>
      </c>
      <c r="R359" s="184">
        <f t="shared" ca="1" si="1219"/>
        <v>-282756.03205342346</v>
      </c>
      <c r="S359" s="124">
        <f t="shared" ref="S359:S360" ca="1" si="1376">(1-$S$6)*J359</f>
        <v>1.0599999999999998</v>
      </c>
      <c r="T359" s="120">
        <f ca="1">VLOOKUP(TRIM($F359),Reference!B:C,2,0)</f>
        <v>1646</v>
      </c>
      <c r="U359" s="181">
        <f t="shared" ref="U359:U360" ca="1" si="1377">AC359</f>
        <v>0.15859394576988028</v>
      </c>
      <c r="V359" s="125" t="str">
        <f t="shared" ca="1" si="1213"/>
        <v>LT22JUL1640CE</v>
      </c>
      <c r="W359" s="166">
        <f ca="1">VLOOKUP($V359,Reference!BA:BD,4,0)</f>
        <v>24</v>
      </c>
      <c r="X359" s="168">
        <f t="shared" ca="1" si="1214"/>
        <v>-7200.0000000000682</v>
      </c>
      <c r="Y359" s="168">
        <f t="shared" ca="1" si="1215"/>
        <v>0.57261245859340515</v>
      </c>
      <c r="Z359" s="168">
        <f t="shared" ca="1" si="1220"/>
        <v>-171.78373757802154</v>
      </c>
      <c r="AA359" s="168">
        <f t="shared" ca="1" si="1216"/>
        <v>185.27867034087819</v>
      </c>
      <c r="AB359" s="168">
        <f t="shared" ca="1" si="1217"/>
        <v>0</v>
      </c>
      <c r="AC359" s="124">
        <f t="shared" ca="1" si="1218"/>
        <v>0.15859394576988028</v>
      </c>
      <c r="AD359" s="120">
        <f t="shared" ref="AD359:AD360" ca="1" si="1378">(H359-TODAY())/365</f>
        <v>3.5616438356164383E-2</v>
      </c>
      <c r="AE359" s="120">
        <f t="shared" ref="AE359:AE360" ca="1" si="1379">IF(I359&lt;&gt;0,20,0)</f>
        <v>20</v>
      </c>
      <c r="AF359" s="120"/>
      <c r="AG359" s="120"/>
      <c r="AH359" s="120">
        <f t="shared" ca="1" si="755"/>
        <v>1.59</v>
      </c>
      <c r="AI359" s="120"/>
      <c r="AJ359" s="120">
        <f t="shared" ca="1" si="756"/>
        <v>0</v>
      </c>
      <c r="AK359" s="120"/>
      <c r="AL359" s="147"/>
      <c r="AM359" s="160"/>
      <c r="AN359" s="160"/>
      <c r="AO359" s="160"/>
      <c r="AP359" s="160"/>
      <c r="AQ359" s="160"/>
      <c r="AR359" s="160"/>
      <c r="AS359" s="160"/>
      <c r="AT359" s="160"/>
      <c r="AU359" s="160"/>
      <c r="AV359" s="160"/>
      <c r="AW359" s="160"/>
      <c r="AX359" s="160"/>
      <c r="AY359" s="160"/>
      <c r="AZ359" s="160"/>
      <c r="BA359" s="160"/>
      <c r="BB359" s="160"/>
      <c r="BC359" s="160"/>
      <c r="BD359" s="160"/>
      <c r="BE359" s="160"/>
      <c r="BF359" s="160"/>
      <c r="BG359" s="160"/>
      <c r="BS359" s="13">
        <v>2</v>
      </c>
      <c r="BT359" s="128">
        <v>44491</v>
      </c>
      <c r="BU359" s="121" t="s">
        <v>8</v>
      </c>
      <c r="BV359" s="120" t="s">
        <v>482</v>
      </c>
      <c r="BW359" s="121" t="s">
        <v>502</v>
      </c>
      <c r="BX359" s="120">
        <v>18400</v>
      </c>
      <c r="BY359" s="120">
        <v>41.7</v>
      </c>
      <c r="BZ359" s="120">
        <v>47.945</v>
      </c>
      <c r="CA359" s="124">
        <v>-3216.6708800000001</v>
      </c>
      <c r="CB359" s="120">
        <v>1.1497601918465228</v>
      </c>
      <c r="CC359" s="120">
        <v>500</v>
      </c>
      <c r="CD359" s="120">
        <v>50</v>
      </c>
      <c r="CE359" s="124">
        <v>20850</v>
      </c>
    </row>
    <row r="360" spans="1:83" hidden="1">
      <c r="A360" s="13">
        <f t="shared" ca="1" si="753"/>
        <v>353</v>
      </c>
      <c r="B360" s="128">
        <v>44740</v>
      </c>
      <c r="C360" s="121" t="s">
        <v>8</v>
      </c>
      <c r="D360" s="121">
        <v>1</v>
      </c>
      <c r="E360" s="120" t="s">
        <v>481</v>
      </c>
      <c r="F360" s="121" t="s">
        <v>130</v>
      </c>
      <c r="G360" s="120">
        <v>230</v>
      </c>
      <c r="H360" s="122">
        <v>44770</v>
      </c>
      <c r="I360" s="120">
        <v>3375</v>
      </c>
      <c r="J360" s="120">
        <v>2.7</v>
      </c>
      <c r="K360" s="120">
        <v>0</v>
      </c>
      <c r="L360" s="124">
        <f t="shared" ca="1" si="1371"/>
        <v>0</v>
      </c>
      <c r="M360" s="124">
        <f t="shared" ca="1" si="1372"/>
        <v>0</v>
      </c>
      <c r="N360" s="120">
        <f t="shared" ca="1" si="1373"/>
        <v>0</v>
      </c>
      <c r="O360" s="164">
        <f t="shared" ca="1" si="1374"/>
        <v>3.375</v>
      </c>
      <c r="P360" s="168">
        <f t="shared" ca="1" si="754"/>
        <v>9112.5</v>
      </c>
      <c r="Q360" s="168">
        <f t="shared" ca="1" si="1375"/>
        <v>-2699.9999999999995</v>
      </c>
      <c r="R360" s="184">
        <f t="shared" ca="1" si="1219"/>
        <v>-247604.59241766433</v>
      </c>
      <c r="S360" s="124">
        <f t="shared" ca="1" si="1376"/>
        <v>0.26999999999999996</v>
      </c>
      <c r="T360" s="120">
        <f ca="1">VLOOKUP(TRIM($F360),Reference!B:C,2,0)</f>
        <v>221.6</v>
      </c>
      <c r="U360" s="181">
        <f t="shared" ca="1" si="1377"/>
        <v>0.39990810707096441</v>
      </c>
      <c r="V360" s="125" t="str">
        <f t="shared" ca="1" si="1213"/>
        <v>TATAPOWER22JUL230CE</v>
      </c>
      <c r="W360" s="166">
        <f ca="1">VLOOKUP($V360,Reference!BA:BD,4,0)</f>
        <v>3.5</v>
      </c>
      <c r="X360" s="168">
        <f t="shared" ca="1" si="1214"/>
        <v>-11812.499999999953</v>
      </c>
      <c r="Y360" s="168">
        <f t="shared" ca="1" si="1215"/>
        <v>0.33106644259615503</v>
      </c>
      <c r="Z360" s="168">
        <f t="shared" ca="1" si="1220"/>
        <v>-1117.3492437620232</v>
      </c>
      <c r="AA360" s="168">
        <f t="shared" ca="1" si="1216"/>
        <v>754.94573963601704</v>
      </c>
      <c r="AB360" s="168">
        <f t="shared" ca="1" si="1217"/>
        <v>0</v>
      </c>
      <c r="AC360" s="124">
        <f t="shared" ca="1" si="1218"/>
        <v>0.39990810707096441</v>
      </c>
      <c r="AD360" s="120">
        <f t="shared" ca="1" si="1378"/>
        <v>3.5616438356164383E-2</v>
      </c>
      <c r="AE360" s="120">
        <f t="shared" ca="1" si="1379"/>
        <v>20</v>
      </c>
      <c r="AF360" s="120"/>
      <c r="AG360" s="120"/>
      <c r="AH360" s="120">
        <f t="shared" ca="1" si="755"/>
        <v>4.5562500000000004</v>
      </c>
      <c r="AI360" s="120"/>
      <c r="AJ360" s="120">
        <f t="shared" ca="1" si="756"/>
        <v>0</v>
      </c>
      <c r="AK360" s="120"/>
      <c r="AL360" s="147"/>
      <c r="AM360" s="160"/>
      <c r="AN360" s="160"/>
      <c r="AO360" s="160"/>
      <c r="AP360" s="160"/>
      <c r="AQ360" s="160"/>
      <c r="AR360" s="160"/>
      <c r="AS360" s="160"/>
      <c r="AT360" s="160"/>
      <c r="AU360" s="160"/>
      <c r="AV360" s="160"/>
      <c r="AW360" s="160"/>
      <c r="AX360" s="160"/>
      <c r="AY360" s="160"/>
      <c r="AZ360" s="160"/>
      <c r="BA360" s="160"/>
      <c r="BB360" s="160"/>
      <c r="BC360" s="160"/>
      <c r="BD360" s="160"/>
      <c r="BE360" s="160"/>
      <c r="BF360" s="160"/>
      <c r="BG360" s="160"/>
      <c r="BS360" s="13">
        <v>2</v>
      </c>
      <c r="BT360" s="128">
        <v>44491</v>
      </c>
      <c r="BU360" s="121" t="s">
        <v>8</v>
      </c>
      <c r="BV360" s="120" t="s">
        <v>482</v>
      </c>
      <c r="BW360" s="121" t="s">
        <v>502</v>
      </c>
      <c r="BX360" s="120">
        <v>18400</v>
      </c>
      <c r="BY360" s="120">
        <v>41.7</v>
      </c>
      <c r="BZ360" s="120">
        <v>47.945</v>
      </c>
      <c r="CA360" s="124">
        <v>-3216.6708800000001</v>
      </c>
      <c r="CB360" s="120">
        <v>1.1497601918465228</v>
      </c>
      <c r="CC360" s="120">
        <v>500</v>
      </c>
      <c r="CD360" s="120">
        <v>50</v>
      </c>
      <c r="CE360" s="124">
        <v>20850</v>
      </c>
    </row>
    <row r="361" spans="1:83" hidden="1">
      <c r="A361" s="13">
        <f t="shared" ca="1" si="753"/>
        <v>354</v>
      </c>
      <c r="B361" s="128">
        <v>44740</v>
      </c>
      <c r="C361" s="121" t="s">
        <v>8</v>
      </c>
      <c r="D361" s="121">
        <v>1</v>
      </c>
      <c r="E361" s="120" t="s">
        <v>481</v>
      </c>
      <c r="F361" s="121" t="s">
        <v>130</v>
      </c>
      <c r="G361" s="120">
        <v>230</v>
      </c>
      <c r="H361" s="122">
        <v>44770</v>
      </c>
      <c r="I361" s="120">
        <v>3375</v>
      </c>
      <c r="J361" s="120">
        <v>2.7</v>
      </c>
      <c r="K361" s="120">
        <v>0</v>
      </c>
      <c r="L361" s="124">
        <f t="shared" ref="L361" ca="1" si="1380">IF(AND(K361&lt;&gt;0,I361&lt;&gt;0),(IF(C361="B",1,-1))*(K361-J361)*I361-AK361*2,0)*$D361*IF(MONTH($B$2)=MONTH($H361),1,0)</f>
        <v>0</v>
      </c>
      <c r="M361" s="124">
        <f t="shared" ref="M361" ca="1" si="1381">IF(AND(K361&lt;&gt;0,I361&lt;&gt;0),(IF(C361="B",1,-1))*(K361-J361)*I361-AK361*2,0)*$D361</f>
        <v>0</v>
      </c>
      <c r="N361" s="120">
        <f t="shared" ref="N361" ca="1" si="1382">K361/$J361</f>
        <v>0</v>
      </c>
      <c r="O361" s="164">
        <f t="shared" ref="O361" ca="1" si="1383">J361*(1+$O$6*IF(C361="B",-1,1))</f>
        <v>3.375</v>
      </c>
      <c r="P361" s="168">
        <f t="shared" ca="1" si="754"/>
        <v>9112.5</v>
      </c>
      <c r="Q361" s="168">
        <f t="shared" ref="Q361" ca="1" si="1384">(W361-J361)*I361*IF(C361="B",1,-1)*IF(K361=0,1,0)</f>
        <v>-2699.9999999999995</v>
      </c>
      <c r="R361" s="184">
        <f t="shared" ca="1" si="1219"/>
        <v>-247604.59241766433</v>
      </c>
      <c r="S361" s="124">
        <f t="shared" ref="S361" ca="1" si="1385">(1-$S$6)*J361</f>
        <v>0.26999999999999996</v>
      </c>
      <c r="T361" s="120">
        <f ca="1">VLOOKUP(TRIM($F361),Reference!B:C,2,0)</f>
        <v>221.6</v>
      </c>
      <c r="U361" s="181">
        <f t="shared" ref="U361" ca="1" si="1386">AC361</f>
        <v>0.39990810707096441</v>
      </c>
      <c r="V361" s="125" t="str">
        <f t="shared" ca="1" si="1213"/>
        <v>TATAPOWER22JUL230CE</v>
      </c>
      <c r="W361" s="166">
        <f ca="1">VLOOKUP($V361,Reference!BA:BD,4,0)</f>
        <v>3.5</v>
      </c>
      <c r="X361" s="168">
        <f t="shared" ca="1" si="1214"/>
        <v>-11812.499999999953</v>
      </c>
      <c r="Y361" s="168">
        <f t="shared" ca="1" si="1215"/>
        <v>0.33106644259615503</v>
      </c>
      <c r="Z361" s="168">
        <f t="shared" ca="1" si="1220"/>
        <v>-1117.3492437620232</v>
      </c>
      <c r="AA361" s="168">
        <f t="shared" ca="1" si="1216"/>
        <v>754.94573963601704</v>
      </c>
      <c r="AB361" s="168">
        <f t="shared" ca="1" si="1217"/>
        <v>0</v>
      </c>
      <c r="AC361" s="124">
        <f t="shared" ca="1" si="1218"/>
        <v>0.39990810707096441</v>
      </c>
      <c r="AD361" s="120">
        <f t="shared" ref="AD361" ca="1" si="1387">(H361-TODAY())/365</f>
        <v>3.5616438356164383E-2</v>
      </c>
      <c r="AE361" s="120">
        <f t="shared" ref="AE361" ca="1" si="1388">IF(I361&lt;&gt;0,20,0)</f>
        <v>20</v>
      </c>
      <c r="AF361" s="120"/>
      <c r="AG361" s="120"/>
      <c r="AH361" s="120">
        <f t="shared" ca="1" si="755"/>
        <v>4.5562500000000004</v>
      </c>
      <c r="AI361" s="120"/>
      <c r="AJ361" s="120">
        <f t="shared" ca="1" si="756"/>
        <v>0</v>
      </c>
      <c r="AK361" s="120"/>
      <c r="AL361" s="147"/>
      <c r="AM361" s="160"/>
      <c r="AN361" s="160"/>
      <c r="AO361" s="160"/>
      <c r="AP361" s="160"/>
      <c r="AQ361" s="160"/>
      <c r="AR361" s="160"/>
      <c r="AS361" s="160"/>
      <c r="AT361" s="160"/>
      <c r="AU361" s="160"/>
      <c r="AV361" s="160"/>
      <c r="AW361" s="160"/>
      <c r="AX361" s="160"/>
      <c r="AY361" s="160"/>
      <c r="AZ361" s="160"/>
      <c r="BA361" s="160"/>
      <c r="BB361" s="160"/>
      <c r="BC361" s="160"/>
      <c r="BD361" s="160"/>
      <c r="BE361" s="160"/>
      <c r="BF361" s="160"/>
      <c r="BG361" s="160"/>
      <c r="BS361" s="13">
        <v>2</v>
      </c>
      <c r="BT361" s="128">
        <v>44491</v>
      </c>
      <c r="BU361" s="121" t="s">
        <v>8</v>
      </c>
      <c r="BV361" s="120" t="s">
        <v>482</v>
      </c>
      <c r="BW361" s="121" t="s">
        <v>502</v>
      </c>
      <c r="BX361" s="120">
        <v>18400</v>
      </c>
      <c r="BY361" s="120">
        <v>41.7</v>
      </c>
      <c r="BZ361" s="120">
        <v>47.945</v>
      </c>
      <c r="CA361" s="124">
        <v>-3216.6708800000001</v>
      </c>
      <c r="CB361" s="120">
        <v>1.1497601918465228</v>
      </c>
      <c r="CC361" s="120">
        <v>500</v>
      </c>
      <c r="CD361" s="120">
        <v>50</v>
      </c>
      <c r="CE361" s="124">
        <v>20850</v>
      </c>
    </row>
    <row r="362" spans="1:83" hidden="1">
      <c r="A362" s="13">
        <f t="shared" ca="1" si="753"/>
        <v>355</v>
      </c>
      <c r="B362" s="128">
        <v>44740</v>
      </c>
      <c r="C362" s="121" t="s">
        <v>6</v>
      </c>
      <c r="D362" s="121">
        <v>1</v>
      </c>
      <c r="E362" s="120" t="s">
        <v>482</v>
      </c>
      <c r="F362" s="121" t="s">
        <v>130</v>
      </c>
      <c r="G362" s="120">
        <v>210</v>
      </c>
      <c r="H362" s="122">
        <v>44770</v>
      </c>
      <c r="I362" s="120">
        <v>3375</v>
      </c>
      <c r="J362" s="120">
        <v>10.3</v>
      </c>
      <c r="K362" s="120">
        <v>0</v>
      </c>
      <c r="L362" s="124">
        <f t="shared" ref="L362:L364" ca="1" si="1389">IF(AND(K362&lt;&gt;0,I362&lt;&gt;0),(IF(C362="B",1,-1))*(K362-J362)*I362-AK362*2,0)*$D362*IF(MONTH($B$2)=MONTH($H362),1,0)</f>
        <v>0</v>
      </c>
      <c r="M362" s="124">
        <f t="shared" ref="M362:M364" ca="1" si="1390">IF(AND(K362&lt;&gt;0,I362&lt;&gt;0),(IF(C362="B",1,-1))*(K362-J362)*I362-AK362*2,0)*$D362</f>
        <v>0</v>
      </c>
      <c r="N362" s="120">
        <f t="shared" ref="N362:N364" ca="1" si="1391">K362/$J362</f>
        <v>0</v>
      </c>
      <c r="O362" s="164">
        <f t="shared" ref="O362:O364" ca="1" si="1392">J362*(1+$O$6*IF(C362="B",-1,1))</f>
        <v>7.7250000000000005</v>
      </c>
      <c r="P362" s="168">
        <f t="shared" ca="1" si="754"/>
        <v>34762.5</v>
      </c>
      <c r="Q362" s="168">
        <f t="shared" ref="Q362:Q364" ca="1" si="1393">(W362-J362)*I362*IF(C362="B",1,-1)*IF(K362=0,1,0)</f>
        <v>-27337.500000000004</v>
      </c>
      <c r="R362" s="184">
        <f t="shared" ca="1" si="1219"/>
        <v>-165240.00480676911</v>
      </c>
      <c r="S362" s="124">
        <f t="shared" ref="S362:S364" ca="1" si="1394">(1-$S$6)*J362</f>
        <v>1.0299999999999998</v>
      </c>
      <c r="T362" s="120">
        <f ca="1">VLOOKUP(TRIM($F362),Reference!B:C,2,0)</f>
        <v>221.6</v>
      </c>
      <c r="U362" s="181">
        <f t="shared" ref="U362:U364" ca="1" si="1395">AC362</f>
        <v>0.39954777086474652</v>
      </c>
      <c r="V362" s="125" t="str">
        <f t="shared" ca="1" si="1213"/>
        <v>TATAPOWER22JUL210PE</v>
      </c>
      <c r="W362" s="166">
        <f ca="1">VLOOKUP($V362,Reference!BA:BD,4,0)</f>
        <v>2.2000000000000002</v>
      </c>
      <c r="X362" s="168">
        <f t="shared" ca="1" si="1214"/>
        <v>7425.0000000000573</v>
      </c>
      <c r="Y362" s="168">
        <f t="shared" ca="1" si="1215"/>
        <v>-0.22093863458586593</v>
      </c>
      <c r="Z362" s="168">
        <f t="shared" ca="1" si="1220"/>
        <v>-745.6678917272975</v>
      </c>
      <c r="AA362" s="168">
        <f t="shared" ca="1" si="1216"/>
        <v>-667.44630098711411</v>
      </c>
      <c r="AB362" s="168">
        <f t="shared" ca="1" si="1217"/>
        <v>0</v>
      </c>
      <c r="AC362" s="124">
        <f t="shared" ca="1" si="1218"/>
        <v>0.39954777086474652</v>
      </c>
      <c r="AD362" s="120">
        <f t="shared" ref="AD362:AD364" ca="1" si="1396">(H362-TODAY())/365</f>
        <v>3.5616438356164383E-2</v>
      </c>
      <c r="AE362" s="120">
        <f t="shared" ref="AE362:AE364" ca="1" si="1397">IF(I362&lt;&gt;0,20,0)</f>
        <v>20</v>
      </c>
      <c r="AF362" s="120"/>
      <c r="AG362" s="120"/>
      <c r="AH362" s="120">
        <f t="shared" ca="1" si="755"/>
        <v>0</v>
      </c>
      <c r="AI362" s="120"/>
      <c r="AJ362" s="120">
        <f t="shared" ca="1" si="756"/>
        <v>1.042875</v>
      </c>
      <c r="AK362" s="120"/>
      <c r="AL362" s="147"/>
      <c r="AM362" s="160"/>
      <c r="AN362" s="160"/>
      <c r="AO362" s="160"/>
      <c r="AP362" s="160"/>
      <c r="AQ362" s="160"/>
      <c r="AR362" s="160"/>
      <c r="AS362" s="160"/>
      <c r="AT362" s="160"/>
      <c r="AU362" s="160"/>
      <c r="AV362" s="160"/>
      <c r="AW362" s="160"/>
      <c r="AX362" s="160"/>
      <c r="AY362" s="160"/>
      <c r="AZ362" s="160"/>
      <c r="BA362" s="160"/>
      <c r="BB362" s="160"/>
      <c r="BC362" s="160"/>
      <c r="BD362" s="160"/>
      <c r="BE362" s="160"/>
      <c r="BF362" s="160"/>
      <c r="BG362" s="160"/>
      <c r="BS362" s="13">
        <v>2</v>
      </c>
      <c r="BT362" s="128">
        <v>44491</v>
      </c>
      <c r="BU362" s="121" t="s">
        <v>8</v>
      </c>
      <c r="BV362" s="120" t="s">
        <v>482</v>
      </c>
      <c r="BW362" s="121" t="s">
        <v>502</v>
      </c>
      <c r="BX362" s="120">
        <v>18400</v>
      </c>
      <c r="BY362" s="120">
        <v>41.7</v>
      </c>
      <c r="BZ362" s="120">
        <v>47.945</v>
      </c>
      <c r="CA362" s="124">
        <v>-3216.6708800000001</v>
      </c>
      <c r="CB362" s="120">
        <v>1.1497601918465228</v>
      </c>
      <c r="CC362" s="120">
        <v>500</v>
      </c>
      <c r="CD362" s="120">
        <v>50</v>
      </c>
      <c r="CE362" s="124">
        <v>20850</v>
      </c>
    </row>
    <row r="363" spans="1:83" hidden="1">
      <c r="A363" s="13">
        <f t="shared" ca="1" si="753"/>
        <v>356</v>
      </c>
      <c r="B363" s="128">
        <v>44740</v>
      </c>
      <c r="C363" s="121" t="s">
        <v>8</v>
      </c>
      <c r="D363" s="121">
        <v>1</v>
      </c>
      <c r="E363" s="120" t="s">
        <v>481</v>
      </c>
      <c r="F363" s="121" t="s">
        <v>506</v>
      </c>
      <c r="G363" s="120">
        <v>36000</v>
      </c>
      <c r="H363" s="122">
        <v>44770</v>
      </c>
      <c r="I363" s="120">
        <v>25</v>
      </c>
      <c r="J363" s="120">
        <v>171.45</v>
      </c>
      <c r="K363" s="120">
        <v>0</v>
      </c>
      <c r="L363" s="124">
        <f t="shared" ca="1" si="1389"/>
        <v>0</v>
      </c>
      <c r="M363" s="124">
        <f t="shared" ca="1" si="1390"/>
        <v>0</v>
      </c>
      <c r="N363" s="120">
        <f t="shared" ca="1" si="1391"/>
        <v>0</v>
      </c>
      <c r="O363" s="164">
        <f t="shared" ca="1" si="1392"/>
        <v>214.3125</v>
      </c>
      <c r="P363" s="168">
        <f t="shared" ca="1" si="754"/>
        <v>4286.25</v>
      </c>
      <c r="Q363" s="168">
        <f t="shared" ca="1" si="1393"/>
        <v>1648.7499999999998</v>
      </c>
      <c r="R363" s="184">
        <f t="shared" ca="1" si="1219"/>
        <v>-139460.62633239554</v>
      </c>
      <c r="S363" s="124">
        <f t="shared" ca="1" si="1394"/>
        <v>17.144999999999996</v>
      </c>
      <c r="T363" s="120">
        <f ca="1">VLOOKUP(TRIM($F363),Reference!B:C,2,0)</f>
        <v>34651.199999999997</v>
      </c>
      <c r="U363" s="181">
        <f t="shared" ca="1" si="1395"/>
        <v>0.19336519556843207</v>
      </c>
      <c r="V363" s="125" t="str">
        <f t="shared" ca="1" si="1213"/>
        <v>BANKNIFTY22JUL36000CE</v>
      </c>
      <c r="W363" s="166">
        <f ca="1">VLOOKUP($V363,Reference!BA:BD,4,0)</f>
        <v>105.5</v>
      </c>
      <c r="X363" s="168">
        <f t="shared" ca="1" si="1214"/>
        <v>-2637.4999999998863</v>
      </c>
      <c r="Y363" s="168">
        <f t="shared" ca="1" si="1215"/>
        <v>0.16098793269196512</v>
      </c>
      <c r="Z363" s="168">
        <f t="shared" ca="1" si="1220"/>
        <v>-4.0246983172991282</v>
      </c>
      <c r="AA363" s="168">
        <f t="shared" ca="1" si="1216"/>
        <v>278.29326630601179</v>
      </c>
      <c r="AB363" s="168">
        <f t="shared" ca="1" si="1217"/>
        <v>0</v>
      </c>
      <c r="AC363" s="124">
        <f t="shared" ca="1" si="1218"/>
        <v>0.19336519556843207</v>
      </c>
      <c r="AD363" s="120">
        <f t="shared" ca="1" si="1396"/>
        <v>3.5616438356164383E-2</v>
      </c>
      <c r="AE363" s="120">
        <f t="shared" ca="1" si="1397"/>
        <v>20</v>
      </c>
      <c r="AF363" s="120"/>
      <c r="AG363" s="120"/>
      <c r="AH363" s="120">
        <f t="shared" ca="1" si="755"/>
        <v>2.1431249999999999</v>
      </c>
      <c r="AI363" s="120"/>
      <c r="AJ363" s="120">
        <f t="shared" ca="1" si="756"/>
        <v>0</v>
      </c>
      <c r="AK363" s="120"/>
      <c r="AL363" s="147"/>
      <c r="AM363" s="160"/>
      <c r="AN363" s="160"/>
      <c r="AO363" s="160"/>
      <c r="AP363" s="160"/>
      <c r="AQ363" s="160"/>
      <c r="AR363" s="160"/>
      <c r="AS363" s="160"/>
      <c r="AT363" s="160"/>
      <c r="AU363" s="160"/>
      <c r="AV363" s="160"/>
      <c r="AW363" s="160"/>
      <c r="AX363" s="160"/>
      <c r="AY363" s="160"/>
      <c r="AZ363" s="160"/>
      <c r="BA363" s="160"/>
      <c r="BB363" s="160"/>
      <c r="BC363" s="160"/>
      <c r="BD363" s="160"/>
      <c r="BE363" s="160"/>
      <c r="BF363" s="160"/>
      <c r="BG363" s="160"/>
      <c r="BS363" s="13">
        <v>2</v>
      </c>
      <c r="BT363" s="128">
        <v>44491</v>
      </c>
      <c r="BU363" s="121" t="s">
        <v>8</v>
      </c>
      <c r="BV363" s="120" t="s">
        <v>482</v>
      </c>
      <c r="BW363" s="121" t="s">
        <v>502</v>
      </c>
      <c r="BX363" s="120">
        <v>18400</v>
      </c>
      <c r="BY363" s="120">
        <v>41.7</v>
      </c>
      <c r="BZ363" s="120">
        <v>47.945</v>
      </c>
      <c r="CA363" s="124">
        <v>-3216.6708800000001</v>
      </c>
      <c r="CB363" s="120">
        <v>1.1497601918465228</v>
      </c>
      <c r="CC363" s="120">
        <v>500</v>
      </c>
      <c r="CD363" s="120">
        <v>50</v>
      </c>
      <c r="CE363" s="124">
        <v>20850</v>
      </c>
    </row>
    <row r="364" spans="1:83" hidden="1">
      <c r="A364" s="13">
        <f t="shared" ca="1" si="753"/>
        <v>357</v>
      </c>
      <c r="B364" s="128">
        <v>44740</v>
      </c>
      <c r="C364" s="121" t="s">
        <v>6</v>
      </c>
      <c r="D364" s="121">
        <v>1</v>
      </c>
      <c r="E364" s="120" t="s">
        <v>482</v>
      </c>
      <c r="F364" s="121" t="s">
        <v>399</v>
      </c>
      <c r="G364" s="120">
        <v>1540</v>
      </c>
      <c r="H364" s="122">
        <v>44770</v>
      </c>
      <c r="I364" s="120">
        <v>300</v>
      </c>
      <c r="J364" s="120">
        <v>53</v>
      </c>
      <c r="K364" s="120">
        <v>5.7</v>
      </c>
      <c r="L364" s="124">
        <f t="shared" ca="1" si="1389"/>
        <v>-14190</v>
      </c>
      <c r="M364" s="124">
        <f t="shared" ca="1" si="1390"/>
        <v>-14190</v>
      </c>
      <c r="N364" s="120">
        <f t="shared" ca="1" si="1391"/>
        <v>0.10754716981132076</v>
      </c>
      <c r="O364" s="164">
        <f t="shared" ca="1" si="1392"/>
        <v>39.75</v>
      </c>
      <c r="P364" s="168">
        <f t="shared" ca="1" si="754"/>
        <v>15900</v>
      </c>
      <c r="Q364" s="168" t="e">
        <f t="shared" ca="1" si="1393"/>
        <v>#N/A</v>
      </c>
      <c r="R364" s="184">
        <f t="shared" ca="1" si="1219"/>
        <v>0</v>
      </c>
      <c r="S364" s="124">
        <f t="shared" ca="1" si="1394"/>
        <v>5.2999999999999989</v>
      </c>
      <c r="T364" s="120">
        <f ca="1">VLOOKUP(TRIM($F364),Reference!B:C,2,0)</f>
        <v>1646</v>
      </c>
      <c r="U364" s="181">
        <f t="shared" ca="1" si="1395"/>
        <v>0</v>
      </c>
      <c r="V364" s="125" t="str">
        <f t="shared" ca="1" si="1213"/>
        <v>LT22JUL1540PE</v>
      </c>
      <c r="W364" s="166" t="e">
        <f ca="1">VLOOKUP($V364,Reference!BA:BD,4,0)</f>
        <v>#N/A</v>
      </c>
      <c r="X364" s="168">
        <f t="shared" ca="1" si="1214"/>
        <v>0</v>
      </c>
      <c r="Y364" s="168">
        <f t="shared" ca="1" si="1215"/>
        <v>0</v>
      </c>
      <c r="Z364" s="168">
        <f t="shared" ca="1" si="1220"/>
        <v>0</v>
      </c>
      <c r="AA364" s="168">
        <f t="shared" ca="1" si="1216"/>
        <v>0</v>
      </c>
      <c r="AB364" s="168">
        <f t="shared" ca="1" si="1217"/>
        <v>0</v>
      </c>
      <c r="AC364" s="124">
        <f t="shared" ca="1" si="1218"/>
        <v>0</v>
      </c>
      <c r="AD364" s="120">
        <f t="shared" ca="1" si="1396"/>
        <v>3.5616438356164383E-2</v>
      </c>
      <c r="AE364" s="120">
        <f t="shared" ca="1" si="1397"/>
        <v>20</v>
      </c>
      <c r="AF364" s="120"/>
      <c r="AG364" s="120"/>
      <c r="AH364" s="120">
        <f t="shared" ca="1" si="755"/>
        <v>0</v>
      </c>
      <c r="AI364" s="120"/>
      <c r="AJ364" s="120">
        <f t="shared" ca="1" si="756"/>
        <v>0.47700000000000004</v>
      </c>
      <c r="AK364" s="120"/>
      <c r="AL364" s="147"/>
      <c r="AM364" s="160"/>
      <c r="AN364" s="160"/>
      <c r="AO364" s="160"/>
      <c r="AP364" s="160"/>
      <c r="AQ364" s="160"/>
      <c r="AR364" s="160"/>
      <c r="AS364" s="160"/>
      <c r="AT364" s="160"/>
      <c r="AU364" s="160"/>
      <c r="AV364" s="160"/>
      <c r="AW364" s="160"/>
      <c r="AX364" s="160"/>
      <c r="AY364" s="160"/>
      <c r="AZ364" s="160"/>
      <c r="BA364" s="160"/>
      <c r="BB364" s="160"/>
      <c r="BC364" s="160"/>
      <c r="BD364" s="160"/>
      <c r="BE364" s="160"/>
      <c r="BF364" s="160"/>
      <c r="BG364" s="160"/>
      <c r="BS364" s="13">
        <v>2</v>
      </c>
      <c r="BT364" s="128">
        <v>44491</v>
      </c>
      <c r="BU364" s="121" t="s">
        <v>8</v>
      </c>
      <c r="BV364" s="120" t="s">
        <v>482</v>
      </c>
      <c r="BW364" s="121" t="s">
        <v>502</v>
      </c>
      <c r="BX364" s="120">
        <v>18400</v>
      </c>
      <c r="BY364" s="120">
        <v>41.7</v>
      </c>
      <c r="BZ364" s="120">
        <v>47.945</v>
      </c>
      <c r="CA364" s="124">
        <v>-3216.6708800000001</v>
      </c>
      <c r="CB364" s="120">
        <v>1.1497601918465228</v>
      </c>
      <c r="CC364" s="120">
        <v>500</v>
      </c>
      <c r="CD364" s="120">
        <v>50</v>
      </c>
      <c r="CE364" s="124">
        <v>20850</v>
      </c>
    </row>
    <row r="365" spans="1:83" hidden="1">
      <c r="A365" s="13">
        <f t="shared" ca="1" si="753"/>
        <v>358</v>
      </c>
      <c r="B365" s="128">
        <v>44740</v>
      </c>
      <c r="C365" s="121" t="s">
        <v>6</v>
      </c>
      <c r="D365" s="121">
        <v>1</v>
      </c>
      <c r="E365" s="120" t="s">
        <v>482</v>
      </c>
      <c r="F365" s="121" t="s">
        <v>399</v>
      </c>
      <c r="G365" s="120">
        <v>1560</v>
      </c>
      <c r="H365" s="122">
        <v>44770</v>
      </c>
      <c r="I365" s="120">
        <v>300</v>
      </c>
      <c r="J365" s="120">
        <v>63.75</v>
      </c>
      <c r="K365" s="120">
        <v>8.9</v>
      </c>
      <c r="L365" s="124">
        <f t="shared" ref="L365" ca="1" si="1398">IF(AND(K365&lt;&gt;0,I365&lt;&gt;0),(IF(C365="B",1,-1))*(K365-J365)*I365-AK365*2,0)*$D365*IF(MONTH($B$2)=MONTH($H365),1,0)</f>
        <v>-16455</v>
      </c>
      <c r="M365" s="124">
        <f t="shared" ref="M365" ca="1" si="1399">IF(AND(K365&lt;&gt;0,I365&lt;&gt;0),(IF(C365="B",1,-1))*(K365-J365)*I365-AK365*2,0)*$D365</f>
        <v>-16455</v>
      </c>
      <c r="N365" s="120">
        <f t="shared" ref="N365" ca="1" si="1400">K365/$J365</f>
        <v>0.13960784313725491</v>
      </c>
      <c r="O365" s="164">
        <f t="shared" ref="O365" ca="1" si="1401">J365*(1+$O$6*IF(C365="B",-1,1))</f>
        <v>47.8125</v>
      </c>
      <c r="P365" s="168">
        <f t="shared" ca="1" si="754"/>
        <v>19125</v>
      </c>
      <c r="Q365" s="168" t="e">
        <f t="shared" ref="Q365" ca="1" si="1402">(W365-J365)*I365*IF(C365="B",1,-1)*IF(K365=0,1,0)</f>
        <v>#N/A</v>
      </c>
      <c r="R365" s="184">
        <f t="shared" ca="1" si="1219"/>
        <v>0</v>
      </c>
      <c r="S365" s="124">
        <f t="shared" ref="S365" ca="1" si="1403">(1-$S$6)*J365</f>
        <v>6.3749999999999982</v>
      </c>
      <c r="T365" s="120">
        <f ca="1">VLOOKUP(TRIM($F365),Reference!B:C,2,0)</f>
        <v>1646</v>
      </c>
      <c r="U365" s="181">
        <f t="shared" ref="U365" ca="1" si="1404">AC365</f>
        <v>0</v>
      </c>
      <c r="V365" s="125" t="str">
        <f t="shared" ca="1" si="1213"/>
        <v>LT22JUL1560PE</v>
      </c>
      <c r="W365" s="166" t="e">
        <f ca="1">VLOOKUP($V365,Reference!BA:BD,4,0)</f>
        <v>#N/A</v>
      </c>
      <c r="X365" s="168">
        <f t="shared" ca="1" si="1214"/>
        <v>0</v>
      </c>
      <c r="Y365" s="168">
        <f t="shared" ca="1" si="1215"/>
        <v>0</v>
      </c>
      <c r="Z365" s="168">
        <f t="shared" ca="1" si="1220"/>
        <v>0</v>
      </c>
      <c r="AA365" s="168">
        <f t="shared" ca="1" si="1216"/>
        <v>0</v>
      </c>
      <c r="AB365" s="168">
        <f t="shared" ca="1" si="1217"/>
        <v>0</v>
      </c>
      <c r="AC365" s="124">
        <f t="shared" ca="1" si="1218"/>
        <v>0</v>
      </c>
      <c r="AD365" s="120">
        <f t="shared" ref="AD365" ca="1" si="1405">(H365-TODAY())/365</f>
        <v>3.5616438356164383E-2</v>
      </c>
      <c r="AE365" s="120">
        <f t="shared" ref="AE365" ca="1" si="1406">IF(I365&lt;&gt;0,20,0)</f>
        <v>20</v>
      </c>
      <c r="AF365" s="120"/>
      <c r="AG365" s="120"/>
      <c r="AH365" s="120">
        <f t="shared" ca="1" si="755"/>
        <v>0</v>
      </c>
      <c r="AI365" s="120"/>
      <c r="AJ365" s="120">
        <f t="shared" ca="1" si="756"/>
        <v>0.57374999999999998</v>
      </c>
      <c r="AK365" s="120"/>
      <c r="AL365" s="147"/>
      <c r="AM365" s="160"/>
      <c r="AN365" s="160"/>
      <c r="AO365" s="160"/>
      <c r="AP365" s="160"/>
      <c r="AQ365" s="160"/>
      <c r="AR365" s="160"/>
      <c r="AS365" s="160"/>
      <c r="AT365" s="160"/>
      <c r="AU365" s="160"/>
      <c r="AV365" s="160"/>
      <c r="AW365" s="160"/>
      <c r="AX365" s="160"/>
      <c r="AY365" s="160"/>
      <c r="AZ365" s="160"/>
      <c r="BA365" s="160"/>
      <c r="BB365" s="160"/>
      <c r="BC365" s="160"/>
      <c r="BD365" s="160"/>
      <c r="BE365" s="160"/>
      <c r="BF365" s="160"/>
      <c r="BG365" s="160"/>
      <c r="BS365" s="13">
        <v>2</v>
      </c>
      <c r="BT365" s="128">
        <v>44491</v>
      </c>
      <c r="BU365" s="121" t="s">
        <v>8</v>
      </c>
      <c r="BV365" s="120" t="s">
        <v>482</v>
      </c>
      <c r="BW365" s="121" t="s">
        <v>502</v>
      </c>
      <c r="BX365" s="120">
        <v>18400</v>
      </c>
      <c r="BY365" s="120">
        <v>41.7</v>
      </c>
      <c r="BZ365" s="120">
        <v>47.945</v>
      </c>
      <c r="CA365" s="124">
        <v>-3216.6708800000001</v>
      </c>
      <c r="CB365" s="120">
        <v>1.1497601918465228</v>
      </c>
      <c r="CC365" s="120">
        <v>500</v>
      </c>
      <c r="CD365" s="120">
        <v>50</v>
      </c>
      <c r="CE365" s="124">
        <v>20850</v>
      </c>
    </row>
    <row r="366" spans="1:83" hidden="1">
      <c r="A366" s="13">
        <f t="shared" ca="1" si="753"/>
        <v>359</v>
      </c>
      <c r="B366" s="128">
        <v>44740</v>
      </c>
      <c r="C366" s="121" t="s">
        <v>8</v>
      </c>
      <c r="D366" s="121">
        <v>1</v>
      </c>
      <c r="E366" s="120" t="s">
        <v>481</v>
      </c>
      <c r="F366" s="121" t="s">
        <v>399</v>
      </c>
      <c r="G366" s="120">
        <v>1640</v>
      </c>
      <c r="H366" s="122">
        <v>44770</v>
      </c>
      <c r="I366" s="120">
        <v>300</v>
      </c>
      <c r="J366" s="120">
        <v>12.3</v>
      </c>
      <c r="K366" s="120">
        <v>34.9</v>
      </c>
      <c r="L366" s="124">
        <f t="shared" ref="L366:L367" ca="1" si="1407">IF(AND(K366&lt;&gt;0,I366&lt;&gt;0),(IF(C366="B",1,-1))*(K366-J366)*I366-AK366*2,0)*$D366*IF(MONTH($B$2)=MONTH($H366),1,0)</f>
        <v>-6779.9999999999991</v>
      </c>
      <c r="M366" s="124">
        <f t="shared" ref="M366:M367" ca="1" si="1408">IF(AND(K366&lt;&gt;0,I366&lt;&gt;0),(IF(C366="B",1,-1))*(K366-J366)*I366-AK366*2,0)*$D366</f>
        <v>-6779.9999999999991</v>
      </c>
      <c r="N366" s="120">
        <f t="shared" ref="N366:N367" ca="1" si="1409">K366/$J366</f>
        <v>2.8373983739837394</v>
      </c>
      <c r="O366" s="164">
        <f t="shared" ref="O366:O367" ca="1" si="1410">J366*(1+$O$6*IF(C366="B",-1,1))</f>
        <v>15.375</v>
      </c>
      <c r="P366" s="168">
        <f t="shared" ca="1" si="754"/>
        <v>3690</v>
      </c>
      <c r="Q366" s="168">
        <f t="shared" ref="Q366:Q367" ca="1" si="1411">(W366-J366)*I366*IF(C366="B",1,-1)*IF(K366=0,1,0)</f>
        <v>0</v>
      </c>
      <c r="R366" s="184">
        <f t="shared" ca="1" si="1219"/>
        <v>0</v>
      </c>
      <c r="S366" s="124">
        <f t="shared" ref="S366:S367" ca="1" si="1412">(1-$S$6)*J366</f>
        <v>1.2299999999999998</v>
      </c>
      <c r="T366" s="120">
        <f ca="1">VLOOKUP(TRIM($F366),Reference!B:C,2,0)</f>
        <v>1646</v>
      </c>
      <c r="U366" s="181">
        <f t="shared" ref="U366:U367" ca="1" si="1413">AC366</f>
        <v>0</v>
      </c>
      <c r="V366" s="125" t="str">
        <f t="shared" ca="1" si="1213"/>
        <v>LT22JUL1640CE</v>
      </c>
      <c r="W366" s="166">
        <f ca="1">VLOOKUP($V366,Reference!BA:BD,4,0)</f>
        <v>24</v>
      </c>
      <c r="X366" s="168">
        <f t="shared" ca="1" si="1214"/>
        <v>0</v>
      </c>
      <c r="Y366" s="168">
        <f t="shared" ca="1" si="1215"/>
        <v>0</v>
      </c>
      <c r="Z366" s="168">
        <f t="shared" ca="1" si="1220"/>
        <v>0</v>
      </c>
      <c r="AA366" s="168">
        <f t="shared" ca="1" si="1216"/>
        <v>0</v>
      </c>
      <c r="AB366" s="168">
        <f t="shared" ca="1" si="1217"/>
        <v>0</v>
      </c>
      <c r="AC366" s="124">
        <f t="shared" ca="1" si="1218"/>
        <v>0</v>
      </c>
      <c r="AD366" s="120">
        <f t="shared" ref="AD366:AD367" ca="1" si="1414">(H366-TODAY())/365</f>
        <v>3.5616438356164383E-2</v>
      </c>
      <c r="AE366" s="120">
        <f t="shared" ref="AE366:AE367" ca="1" si="1415">IF(I366&lt;&gt;0,20,0)</f>
        <v>20</v>
      </c>
      <c r="AF366" s="120"/>
      <c r="AG366" s="120"/>
      <c r="AH366" s="120">
        <f t="shared" ca="1" si="755"/>
        <v>1.845</v>
      </c>
      <c r="AI366" s="120"/>
      <c r="AJ366" s="120">
        <f t="shared" ca="1" si="756"/>
        <v>0</v>
      </c>
      <c r="AK366" s="120"/>
      <c r="AL366" s="147"/>
      <c r="AM366" s="160"/>
      <c r="AN366" s="160"/>
      <c r="AO366" s="160"/>
      <c r="AP366" s="160"/>
      <c r="AQ366" s="160"/>
      <c r="AR366" s="160"/>
      <c r="AS366" s="160"/>
      <c r="AT366" s="160"/>
      <c r="AU366" s="160"/>
      <c r="AV366" s="160"/>
      <c r="AW366" s="160"/>
      <c r="AX366" s="160"/>
      <c r="AY366" s="160"/>
      <c r="AZ366" s="160"/>
      <c r="BA366" s="160"/>
      <c r="BB366" s="160"/>
      <c r="BC366" s="160"/>
      <c r="BD366" s="160"/>
      <c r="BE366" s="160"/>
      <c r="BF366" s="160"/>
      <c r="BG366" s="160"/>
      <c r="BS366" s="13">
        <v>2</v>
      </c>
      <c r="BT366" s="128">
        <v>44491</v>
      </c>
      <c r="BU366" s="121" t="s">
        <v>8</v>
      </c>
      <c r="BV366" s="120" t="s">
        <v>482</v>
      </c>
      <c r="BW366" s="121" t="s">
        <v>502</v>
      </c>
      <c r="BX366" s="120">
        <v>18400</v>
      </c>
      <c r="BY366" s="120">
        <v>41.7</v>
      </c>
      <c r="BZ366" s="120">
        <v>47.945</v>
      </c>
      <c r="CA366" s="124">
        <v>-3216.6708800000001</v>
      </c>
      <c r="CB366" s="120">
        <v>1.1497601918465228</v>
      </c>
      <c r="CC366" s="120">
        <v>500</v>
      </c>
      <c r="CD366" s="120">
        <v>50</v>
      </c>
      <c r="CE366" s="124">
        <v>20850</v>
      </c>
    </row>
    <row r="367" spans="1:83" hidden="1">
      <c r="A367" s="13">
        <f t="shared" ca="1" si="753"/>
        <v>360</v>
      </c>
      <c r="B367" s="128">
        <v>44740</v>
      </c>
      <c r="C367" s="121" t="s">
        <v>8</v>
      </c>
      <c r="D367" s="121">
        <v>1</v>
      </c>
      <c r="E367" s="120" t="s">
        <v>481</v>
      </c>
      <c r="F367" s="121" t="s">
        <v>502</v>
      </c>
      <c r="G367" s="120">
        <v>16500</v>
      </c>
      <c r="H367" s="122">
        <v>44770</v>
      </c>
      <c r="I367" s="120">
        <v>50</v>
      </c>
      <c r="J367" s="120">
        <v>106</v>
      </c>
      <c r="K367" s="120">
        <v>0</v>
      </c>
      <c r="L367" s="124">
        <f t="shared" ca="1" si="1407"/>
        <v>0</v>
      </c>
      <c r="M367" s="124">
        <f t="shared" ca="1" si="1408"/>
        <v>0</v>
      </c>
      <c r="N367" s="120">
        <f t="shared" ca="1" si="1409"/>
        <v>0</v>
      </c>
      <c r="O367" s="164">
        <f t="shared" ca="1" si="1410"/>
        <v>132.5</v>
      </c>
      <c r="P367" s="168">
        <f t="shared" ca="1" si="754"/>
        <v>5300</v>
      </c>
      <c r="Q367" s="168">
        <f t="shared" ca="1" si="1411"/>
        <v>3712.5</v>
      </c>
      <c r="R367" s="184">
        <f t="shared" ca="1" si="1219"/>
        <v>-107319.56112131171</v>
      </c>
      <c r="S367" s="124">
        <f t="shared" ca="1" si="1412"/>
        <v>10.599999999999998</v>
      </c>
      <c r="T367" s="120">
        <f ca="1">VLOOKUP(TRIM($F367),Reference!B:C,2,0)</f>
        <v>15938.65</v>
      </c>
      <c r="U367" s="181">
        <f t="shared" ca="1" si="1413"/>
        <v>0.15731398886895406</v>
      </c>
      <c r="V367" s="125" t="str">
        <f t="shared" ca="1" si="1213"/>
        <v>NIFTY22JUL16500CE</v>
      </c>
      <c r="W367" s="166">
        <f ca="1">VLOOKUP($V367,Reference!BA:BD,4,0)</f>
        <v>31.75</v>
      </c>
      <c r="X367" s="168">
        <f t="shared" ca="1" si="1214"/>
        <v>-1587.5</v>
      </c>
      <c r="Y367" s="168">
        <f t="shared" ca="1" si="1215"/>
        <v>0.13466581061923275</v>
      </c>
      <c r="Z367" s="168">
        <f t="shared" ca="1" si="1220"/>
        <v>-6.7332905309616375</v>
      </c>
      <c r="AA367" s="168">
        <f t="shared" ca="1" si="1216"/>
        <v>182.76392972574899</v>
      </c>
      <c r="AB367" s="168">
        <f t="shared" ca="1" si="1217"/>
        <v>0</v>
      </c>
      <c r="AC367" s="124">
        <f t="shared" ca="1" si="1218"/>
        <v>0.15731398886895406</v>
      </c>
      <c r="AD367" s="120">
        <f t="shared" ca="1" si="1414"/>
        <v>3.5616438356164383E-2</v>
      </c>
      <c r="AE367" s="120">
        <f t="shared" ca="1" si="1415"/>
        <v>20</v>
      </c>
      <c r="AF367" s="120"/>
      <c r="AG367" s="120"/>
      <c r="AH367" s="120">
        <f t="shared" ca="1" si="755"/>
        <v>2.65</v>
      </c>
      <c r="AI367" s="120"/>
      <c r="AJ367" s="120">
        <f t="shared" ca="1" si="756"/>
        <v>0</v>
      </c>
      <c r="AK367" s="120"/>
      <c r="AL367" s="147"/>
      <c r="AM367" s="160"/>
      <c r="AN367" s="160"/>
      <c r="AO367" s="160"/>
      <c r="AP367" s="160"/>
      <c r="AQ367" s="160"/>
      <c r="AR367" s="160"/>
      <c r="AS367" s="160"/>
      <c r="AT367" s="160"/>
      <c r="AU367" s="160"/>
      <c r="AV367" s="160"/>
      <c r="AW367" s="160"/>
      <c r="AX367" s="160"/>
      <c r="AY367" s="160"/>
      <c r="AZ367" s="160"/>
      <c r="BA367" s="160"/>
      <c r="BB367" s="160"/>
      <c r="BC367" s="160"/>
      <c r="BD367" s="160"/>
      <c r="BE367" s="160"/>
      <c r="BF367" s="160"/>
      <c r="BG367" s="160"/>
      <c r="BS367" s="13">
        <v>2</v>
      </c>
      <c r="BT367" s="128">
        <v>44491</v>
      </c>
      <c r="BU367" s="121" t="s">
        <v>8</v>
      </c>
      <c r="BV367" s="120" t="s">
        <v>482</v>
      </c>
      <c r="BW367" s="121" t="s">
        <v>502</v>
      </c>
      <c r="BX367" s="120">
        <v>18400</v>
      </c>
      <c r="BY367" s="120">
        <v>41.7</v>
      </c>
      <c r="BZ367" s="120">
        <v>47.945</v>
      </c>
      <c r="CA367" s="124">
        <v>-3216.6708800000001</v>
      </c>
      <c r="CB367" s="120">
        <v>1.1497601918465228</v>
      </c>
      <c r="CC367" s="120">
        <v>500</v>
      </c>
      <c r="CD367" s="120">
        <v>50</v>
      </c>
      <c r="CE367" s="124">
        <v>20850</v>
      </c>
    </row>
    <row r="368" spans="1:83" hidden="1">
      <c r="A368" s="13">
        <f t="shared" ca="1" si="753"/>
        <v>361</v>
      </c>
      <c r="B368" s="128">
        <v>44740</v>
      </c>
      <c r="C368" s="121" t="s">
        <v>8</v>
      </c>
      <c r="D368" s="121">
        <v>1</v>
      </c>
      <c r="E368" s="120" t="s">
        <v>481</v>
      </c>
      <c r="F368" s="121" t="s">
        <v>90</v>
      </c>
      <c r="G368" s="120">
        <v>3500</v>
      </c>
      <c r="H368" s="122">
        <v>44770</v>
      </c>
      <c r="I368" s="120">
        <v>150</v>
      </c>
      <c r="J368" s="120">
        <v>31.4</v>
      </c>
      <c r="K368" s="120">
        <v>0</v>
      </c>
      <c r="L368" s="124">
        <f t="shared" ref="L368:L370" ca="1" si="1416">IF(AND(K368&lt;&gt;0,I368&lt;&gt;0),(IF(C368="B",1,-1))*(K368-J368)*I368-AK368*2,0)*$D368*IF(MONTH($B$2)=MONTH($H368),1,0)</f>
        <v>0</v>
      </c>
      <c r="M368" s="124">
        <f t="shared" ref="M368:M370" ca="1" si="1417">IF(AND(K368&lt;&gt;0,I368&lt;&gt;0),(IF(C368="B",1,-1))*(K368-J368)*I368-AK368*2,0)*$D368</f>
        <v>0</v>
      </c>
      <c r="N368" s="120">
        <f t="shared" ref="N368:N370" ca="1" si="1418">K368/$J368</f>
        <v>0</v>
      </c>
      <c r="O368" s="164">
        <f t="shared" ref="O368:O370" ca="1" si="1419">J368*(1+$O$6*IF(C368="B",-1,1))</f>
        <v>39.25</v>
      </c>
      <c r="P368" s="168">
        <f t="shared" ca="1" si="754"/>
        <v>4710</v>
      </c>
      <c r="Q368" s="168">
        <f t="shared" ref="Q368:Q370" ca="1" si="1420">(W368-J368)*I368*IF(C368="B",1,-1)*IF(K368=0,1,0)</f>
        <v>4395</v>
      </c>
      <c r="R368" s="184">
        <f t="shared" ca="1" si="1219"/>
        <v>-8.9519507952110254E-286</v>
      </c>
      <c r="S368" s="124">
        <f t="shared" ref="S368:S370" ca="1" si="1421">(1-$S$6)*J368</f>
        <v>3.1399999999999992</v>
      </c>
      <c r="T368" s="120">
        <f ca="1">VLOOKUP(TRIM($F368),Reference!B:C,2,0)</f>
        <v>3003</v>
      </c>
      <c r="U368" s="181">
        <f t="shared" ref="U368:U370" ca="1" si="1422">AC368</f>
        <v>-386.46145208552684</v>
      </c>
      <c r="V368" s="125" t="str">
        <f t="shared" ca="1" si="1213"/>
        <v>TCS22JUL3500CE</v>
      </c>
      <c r="W368" s="166">
        <f ca="1">VLOOKUP($V368,Reference!BA:BD,4,0)</f>
        <v>2.1</v>
      </c>
      <c r="X368" s="168">
        <f t="shared" ca="1" si="1214"/>
        <v>524065.90047246794</v>
      </c>
      <c r="Y368" s="168">
        <f t="shared" ca="1" si="1215"/>
        <v>1.9873350638719114E-291</v>
      </c>
      <c r="Z368" s="168">
        <f t="shared" ca="1" si="1220"/>
        <v>-2.9810025958078674E-289</v>
      </c>
      <c r="AA368" s="168">
        <f t="shared" ca="1" si="1216"/>
        <v>-71.789849379790127</v>
      </c>
      <c r="AB368" s="168">
        <f t="shared" ca="1" si="1217"/>
        <v>0</v>
      </c>
      <c r="AC368" s="124">
        <f t="shared" ca="1" si="1218"/>
        <v>-386.46145208552684</v>
      </c>
      <c r="AD368" s="120">
        <f t="shared" ref="AD368:AD370" ca="1" si="1423">(H368-TODAY())/365</f>
        <v>3.5616438356164383E-2</v>
      </c>
      <c r="AE368" s="120">
        <f t="shared" ref="AE368:AE370" ca="1" si="1424">IF(I368&lt;&gt;0,20,0)</f>
        <v>20</v>
      </c>
      <c r="AF368" s="120"/>
      <c r="AG368" s="120"/>
      <c r="AH368" s="120">
        <f t="shared" ca="1" si="755"/>
        <v>2.355</v>
      </c>
      <c r="AI368" s="120"/>
      <c r="AJ368" s="120">
        <f t="shared" ca="1" si="756"/>
        <v>0</v>
      </c>
      <c r="AK368" s="120"/>
      <c r="AL368" s="147"/>
      <c r="AM368" s="160"/>
      <c r="AN368" s="160"/>
      <c r="AO368" s="160"/>
      <c r="AP368" s="160"/>
      <c r="AQ368" s="160"/>
      <c r="AR368" s="160"/>
      <c r="AS368" s="160"/>
      <c r="AT368" s="160"/>
      <c r="AU368" s="160"/>
      <c r="AV368" s="160"/>
      <c r="AW368" s="160"/>
      <c r="AX368" s="160"/>
      <c r="AY368" s="160"/>
      <c r="AZ368" s="160"/>
      <c r="BA368" s="160"/>
      <c r="BB368" s="160"/>
      <c r="BC368" s="160"/>
      <c r="BD368" s="160"/>
      <c r="BE368" s="160"/>
      <c r="BF368" s="160"/>
      <c r="BG368" s="160"/>
      <c r="BS368" s="13">
        <v>2</v>
      </c>
      <c r="BT368" s="128">
        <v>44491</v>
      </c>
      <c r="BU368" s="121" t="s">
        <v>8</v>
      </c>
      <c r="BV368" s="120" t="s">
        <v>482</v>
      </c>
      <c r="BW368" s="121" t="s">
        <v>502</v>
      </c>
      <c r="BX368" s="120">
        <v>18400</v>
      </c>
      <c r="BY368" s="120">
        <v>41.7</v>
      </c>
      <c r="BZ368" s="120">
        <v>47.945</v>
      </c>
      <c r="CA368" s="124">
        <v>-3216.6708800000001</v>
      </c>
      <c r="CB368" s="120">
        <v>1.1497601918465228</v>
      </c>
      <c r="CC368" s="120">
        <v>500</v>
      </c>
      <c r="CD368" s="120">
        <v>50</v>
      </c>
      <c r="CE368" s="124">
        <v>20850</v>
      </c>
    </row>
    <row r="369" spans="1:83" hidden="1">
      <c r="A369" s="13">
        <f t="shared" ca="1" si="753"/>
        <v>362</v>
      </c>
      <c r="B369" s="128">
        <v>44740</v>
      </c>
      <c r="C369" s="121" t="s">
        <v>8</v>
      </c>
      <c r="D369" s="121">
        <v>1</v>
      </c>
      <c r="E369" s="120" t="s">
        <v>481</v>
      </c>
      <c r="F369" s="121" t="s">
        <v>506</v>
      </c>
      <c r="G369" s="120">
        <v>35000</v>
      </c>
      <c r="H369" s="122">
        <v>44770</v>
      </c>
      <c r="I369" s="120">
        <v>25</v>
      </c>
      <c r="J369" s="120">
        <v>396</v>
      </c>
      <c r="K369" s="120">
        <v>0</v>
      </c>
      <c r="L369" s="124">
        <f t="shared" ca="1" si="1416"/>
        <v>0</v>
      </c>
      <c r="M369" s="124">
        <f t="shared" ca="1" si="1417"/>
        <v>0</v>
      </c>
      <c r="N369" s="120">
        <f t="shared" ca="1" si="1418"/>
        <v>0</v>
      </c>
      <c r="O369" s="164">
        <f t="shared" ca="1" si="1419"/>
        <v>495</v>
      </c>
      <c r="P369" s="168">
        <f t="shared" ca="1" si="754"/>
        <v>9900</v>
      </c>
      <c r="Q369" s="168">
        <f t="shared" ca="1" si="1420"/>
        <v>-56.25</v>
      </c>
      <c r="R369" s="184">
        <f t="shared" ca="1" si="1219"/>
        <v>-362882.76244838152</v>
      </c>
      <c r="S369" s="124">
        <f t="shared" ca="1" si="1421"/>
        <v>39.599999999999994</v>
      </c>
      <c r="T369" s="120">
        <f ca="1">VLOOKUP(TRIM($F369),Reference!B:C,2,0)</f>
        <v>34651.199999999997</v>
      </c>
      <c r="U369" s="181">
        <f t="shared" ca="1" si="1422"/>
        <v>0.20432342584662164</v>
      </c>
      <c r="V369" s="125" t="str">
        <f t="shared" ca="1" si="1213"/>
        <v>BANKNIFTY22JUL35000CE</v>
      </c>
      <c r="W369" s="166">
        <f ca="1">VLOOKUP($V369,Reference!BA:BD,4,0)</f>
        <v>398.25</v>
      </c>
      <c r="X369" s="168">
        <f t="shared" ca="1" si="1214"/>
        <v>-9956.25</v>
      </c>
      <c r="Y369" s="168">
        <f t="shared" ca="1" si="1215"/>
        <v>0.41889777260052352</v>
      </c>
      <c r="Z369" s="168">
        <f t="shared" ca="1" si="1220"/>
        <v>-10.472444315013089</v>
      </c>
      <c r="AA369" s="168">
        <f t="shared" ca="1" si="1216"/>
        <v>453.59822496948038</v>
      </c>
      <c r="AB369" s="168">
        <f t="shared" ca="1" si="1217"/>
        <v>0</v>
      </c>
      <c r="AC369" s="124">
        <f t="shared" ca="1" si="1218"/>
        <v>0.20432342584662164</v>
      </c>
      <c r="AD369" s="120">
        <f t="shared" ca="1" si="1423"/>
        <v>3.5616438356164383E-2</v>
      </c>
      <c r="AE369" s="120">
        <f t="shared" ca="1" si="1424"/>
        <v>20</v>
      </c>
      <c r="AF369" s="120"/>
      <c r="AG369" s="120"/>
      <c r="AH369" s="120">
        <f t="shared" ca="1" si="755"/>
        <v>4.95</v>
      </c>
      <c r="AI369" s="120"/>
      <c r="AJ369" s="120">
        <f t="shared" ca="1" si="756"/>
        <v>0</v>
      </c>
      <c r="AK369" s="120"/>
      <c r="AL369" s="147"/>
      <c r="AM369" s="160"/>
      <c r="AN369" s="160"/>
      <c r="AO369" s="160"/>
      <c r="AP369" s="160"/>
      <c r="AQ369" s="160"/>
      <c r="AR369" s="160"/>
      <c r="AS369" s="160"/>
      <c r="AT369" s="160"/>
      <c r="AU369" s="160"/>
      <c r="AV369" s="160"/>
      <c r="AW369" s="160"/>
      <c r="AX369" s="160"/>
      <c r="AY369" s="160"/>
      <c r="AZ369" s="160"/>
      <c r="BA369" s="160"/>
      <c r="BB369" s="160"/>
      <c r="BC369" s="160"/>
      <c r="BD369" s="160"/>
      <c r="BE369" s="160"/>
      <c r="BF369" s="160"/>
      <c r="BG369" s="160"/>
      <c r="BS369" s="13">
        <v>2</v>
      </c>
      <c r="BT369" s="128">
        <v>44491</v>
      </c>
      <c r="BU369" s="121" t="s">
        <v>8</v>
      </c>
      <c r="BV369" s="120" t="s">
        <v>482</v>
      </c>
      <c r="BW369" s="121" t="s">
        <v>502</v>
      </c>
      <c r="BX369" s="120">
        <v>18400</v>
      </c>
      <c r="BY369" s="120">
        <v>41.7</v>
      </c>
      <c r="BZ369" s="120">
        <v>47.945</v>
      </c>
      <c r="CA369" s="124">
        <v>-3216.6708800000001</v>
      </c>
      <c r="CB369" s="120">
        <v>1.1497601918465228</v>
      </c>
      <c r="CC369" s="120">
        <v>500</v>
      </c>
      <c r="CD369" s="120">
        <v>50</v>
      </c>
      <c r="CE369" s="124">
        <v>20850</v>
      </c>
    </row>
    <row r="370" spans="1:83" hidden="1">
      <c r="A370" s="13">
        <f t="shared" ca="1" si="753"/>
        <v>363</v>
      </c>
      <c r="B370" s="128">
        <v>44740</v>
      </c>
      <c r="C370" s="121" t="s">
        <v>8</v>
      </c>
      <c r="D370" s="121">
        <v>1</v>
      </c>
      <c r="E370" s="120" t="s">
        <v>481</v>
      </c>
      <c r="F370" s="121" t="s">
        <v>502</v>
      </c>
      <c r="G370" s="120">
        <v>16600</v>
      </c>
      <c r="H370" s="122">
        <v>44770</v>
      </c>
      <c r="I370" s="120">
        <v>50</v>
      </c>
      <c r="J370" s="120">
        <v>91.95</v>
      </c>
      <c r="K370" s="120">
        <v>0</v>
      </c>
      <c r="L370" s="124">
        <f t="shared" ca="1" si="1416"/>
        <v>0</v>
      </c>
      <c r="M370" s="124">
        <f t="shared" ca="1" si="1417"/>
        <v>0</v>
      </c>
      <c r="N370" s="120">
        <f t="shared" ca="1" si="1418"/>
        <v>0</v>
      </c>
      <c r="O370" s="164">
        <f t="shared" ca="1" si="1419"/>
        <v>114.9375</v>
      </c>
      <c r="P370" s="168">
        <f t="shared" ca="1" si="754"/>
        <v>4597.5</v>
      </c>
      <c r="Q370" s="168">
        <f t="shared" ca="1" si="1420"/>
        <v>3602.5000000000005</v>
      </c>
      <c r="R370" s="184">
        <f t="shared" ca="1" si="1219"/>
        <v>-73735.049368905791</v>
      </c>
      <c r="S370" s="124">
        <f t="shared" ca="1" si="1421"/>
        <v>9.1949999999999985</v>
      </c>
      <c r="T370" s="120">
        <f ca="1">VLOOKUP(TRIM($F370),Reference!B:C,2,0)</f>
        <v>15938.65</v>
      </c>
      <c r="U370" s="181">
        <f t="shared" ca="1" si="1422"/>
        <v>0.1553111960229526</v>
      </c>
      <c r="V370" s="125" t="str">
        <f t="shared" ca="1" si="1213"/>
        <v>NIFTY22JUL16600CE</v>
      </c>
      <c r="W370" s="166">
        <f ca="1">VLOOKUP($V370,Reference!BA:BD,4,0)</f>
        <v>19.899999999999999</v>
      </c>
      <c r="X370" s="168">
        <f t="shared" ca="1" si="1214"/>
        <v>-994.99999999995907</v>
      </c>
      <c r="Y370" s="168">
        <f t="shared" ca="1" si="1215"/>
        <v>9.2523581820173978E-2</v>
      </c>
      <c r="Z370" s="168">
        <f t="shared" ca="1" si="1220"/>
        <v>-4.6261790910086988</v>
      </c>
      <c r="AA370" s="168">
        <f t="shared" ca="1" si="1216"/>
        <v>138.95587288555936</v>
      </c>
      <c r="AB370" s="168">
        <f t="shared" ca="1" si="1217"/>
        <v>0</v>
      </c>
      <c r="AC370" s="124">
        <f t="shared" ca="1" si="1218"/>
        <v>0.1553111960229526</v>
      </c>
      <c r="AD370" s="120">
        <f t="shared" ca="1" si="1423"/>
        <v>3.5616438356164383E-2</v>
      </c>
      <c r="AE370" s="120">
        <f t="shared" ca="1" si="1424"/>
        <v>20</v>
      </c>
      <c r="AF370" s="120"/>
      <c r="AG370" s="120"/>
      <c r="AH370" s="120">
        <f t="shared" ca="1" si="755"/>
        <v>2.2987500000000001</v>
      </c>
      <c r="AI370" s="120"/>
      <c r="AJ370" s="120">
        <f t="shared" ca="1" si="756"/>
        <v>0</v>
      </c>
      <c r="AK370" s="120"/>
      <c r="AL370" s="147"/>
      <c r="AM370" s="160"/>
      <c r="AN370" s="160"/>
      <c r="AO370" s="160"/>
      <c r="AP370" s="160"/>
      <c r="AQ370" s="160"/>
      <c r="AR370" s="160"/>
      <c r="AS370" s="160"/>
      <c r="AT370" s="160"/>
      <c r="AU370" s="160"/>
      <c r="AV370" s="160"/>
      <c r="AW370" s="160"/>
      <c r="AX370" s="160"/>
      <c r="AY370" s="160"/>
      <c r="AZ370" s="160"/>
      <c r="BA370" s="160"/>
      <c r="BB370" s="160"/>
      <c r="BC370" s="160"/>
      <c r="BD370" s="160"/>
      <c r="BE370" s="160"/>
      <c r="BF370" s="160"/>
      <c r="BG370" s="160"/>
      <c r="BS370" s="13">
        <v>2</v>
      </c>
      <c r="BT370" s="128">
        <v>44491</v>
      </c>
      <c r="BU370" s="121" t="s">
        <v>8</v>
      </c>
      <c r="BV370" s="120" t="s">
        <v>482</v>
      </c>
      <c r="BW370" s="121" t="s">
        <v>502</v>
      </c>
      <c r="BX370" s="120">
        <v>18400</v>
      </c>
      <c r="BY370" s="120">
        <v>41.7</v>
      </c>
      <c r="BZ370" s="120">
        <v>47.945</v>
      </c>
      <c r="CA370" s="124">
        <v>-3216.6708800000001</v>
      </c>
      <c r="CB370" s="120">
        <v>1.1497601918465228</v>
      </c>
      <c r="CC370" s="120">
        <v>500</v>
      </c>
      <c r="CD370" s="120">
        <v>50</v>
      </c>
      <c r="CE370" s="124">
        <v>20850</v>
      </c>
    </row>
    <row r="371" spans="1:83" hidden="1">
      <c r="A371" s="13">
        <f t="shared" ca="1" si="753"/>
        <v>364</v>
      </c>
      <c r="B371" s="128">
        <v>44740</v>
      </c>
      <c r="C371" s="121" t="s">
        <v>8</v>
      </c>
      <c r="D371" s="121">
        <v>1</v>
      </c>
      <c r="E371" s="120" t="s">
        <v>481</v>
      </c>
      <c r="F371" s="121" t="s">
        <v>502</v>
      </c>
      <c r="G371" s="120">
        <v>16600</v>
      </c>
      <c r="H371" s="122">
        <v>44770</v>
      </c>
      <c r="I371" s="120">
        <v>50</v>
      </c>
      <c r="J371" s="120">
        <v>94.75</v>
      </c>
      <c r="K371" s="120">
        <v>0</v>
      </c>
      <c r="L371" s="124">
        <f t="shared" ref="L371" ca="1" si="1425">IF(AND(K371&lt;&gt;0,I371&lt;&gt;0),(IF(C371="B",1,-1))*(K371-J371)*I371-AK371*2,0)*$D371*IF(MONTH($B$2)=MONTH($H371),1,0)</f>
        <v>0</v>
      </c>
      <c r="M371" s="124">
        <f t="shared" ref="M371" ca="1" si="1426">IF(AND(K371&lt;&gt;0,I371&lt;&gt;0),(IF(C371="B",1,-1))*(K371-J371)*I371-AK371*2,0)*$D371</f>
        <v>0</v>
      </c>
      <c r="N371" s="120">
        <f t="shared" ref="N371" ca="1" si="1427">K371/$J371</f>
        <v>0</v>
      </c>
      <c r="O371" s="164">
        <f t="shared" ref="O371" ca="1" si="1428">J371*(1+$O$6*IF(C371="B",-1,1))</f>
        <v>118.4375</v>
      </c>
      <c r="P371" s="168">
        <f t="shared" ca="1" si="754"/>
        <v>4737.5</v>
      </c>
      <c r="Q371" s="168">
        <f t="shared" ref="Q371" ca="1" si="1429">(W371-J371)*I371*IF(C371="B",1,-1)*IF(K371=0,1,0)</f>
        <v>3742.4999999999995</v>
      </c>
      <c r="R371" s="184">
        <f t="shared" ca="1" si="1219"/>
        <v>-73735.049368905791</v>
      </c>
      <c r="S371" s="124">
        <f t="shared" ref="S371" ca="1" si="1430">(1-$S$6)*J371</f>
        <v>9.4749999999999979</v>
      </c>
      <c r="T371" s="120">
        <f ca="1">VLOOKUP(TRIM($F371),Reference!B:C,2,0)</f>
        <v>15938.65</v>
      </c>
      <c r="U371" s="181">
        <f t="shared" ref="U371" ca="1" si="1431">AC371</f>
        <v>0.1553111960229526</v>
      </c>
      <c r="V371" s="125" t="str">
        <f t="shared" ca="1" si="1213"/>
        <v>NIFTY22JUL16600CE</v>
      </c>
      <c r="W371" s="166">
        <f ca="1">VLOOKUP($V371,Reference!BA:BD,4,0)</f>
        <v>19.899999999999999</v>
      </c>
      <c r="X371" s="168">
        <f t="shared" ca="1" si="1214"/>
        <v>-994.99999999995907</v>
      </c>
      <c r="Y371" s="168">
        <f t="shared" ca="1" si="1215"/>
        <v>9.2523581820173978E-2</v>
      </c>
      <c r="Z371" s="168">
        <f t="shared" ca="1" si="1220"/>
        <v>-4.6261790910086988</v>
      </c>
      <c r="AA371" s="168">
        <f t="shared" ca="1" si="1216"/>
        <v>138.95587288555936</v>
      </c>
      <c r="AB371" s="168">
        <f t="shared" ca="1" si="1217"/>
        <v>0</v>
      </c>
      <c r="AC371" s="124">
        <f t="shared" ca="1" si="1218"/>
        <v>0.1553111960229526</v>
      </c>
      <c r="AD371" s="120">
        <f t="shared" ref="AD371" ca="1" si="1432">(H371-TODAY())/365</f>
        <v>3.5616438356164383E-2</v>
      </c>
      <c r="AE371" s="120">
        <f t="shared" ref="AE371" ca="1" si="1433">IF(I371&lt;&gt;0,20,0)</f>
        <v>20</v>
      </c>
      <c r="AF371" s="120"/>
      <c r="AG371" s="120"/>
      <c r="AH371" s="120">
        <f t="shared" ca="1" si="755"/>
        <v>2.3687499999999999</v>
      </c>
      <c r="AI371" s="120"/>
      <c r="AJ371" s="120">
        <f t="shared" ca="1" si="756"/>
        <v>0</v>
      </c>
      <c r="AK371" s="120"/>
      <c r="AL371" s="147"/>
      <c r="AM371" s="160"/>
      <c r="AN371" s="160"/>
      <c r="AO371" s="160"/>
      <c r="AP371" s="160"/>
      <c r="AQ371" s="160"/>
      <c r="AR371" s="160"/>
      <c r="AS371" s="160"/>
      <c r="AT371" s="160"/>
      <c r="AU371" s="160"/>
      <c r="AV371" s="160"/>
      <c r="AW371" s="160"/>
      <c r="AX371" s="160"/>
      <c r="AY371" s="160"/>
      <c r="AZ371" s="160"/>
      <c r="BA371" s="160"/>
      <c r="BB371" s="160"/>
      <c r="BC371" s="160"/>
      <c r="BD371" s="160"/>
      <c r="BE371" s="160"/>
      <c r="BF371" s="160"/>
      <c r="BG371" s="160"/>
      <c r="BS371" s="13">
        <v>2</v>
      </c>
      <c r="BT371" s="128">
        <v>44491</v>
      </c>
      <c r="BU371" s="121" t="s">
        <v>8</v>
      </c>
      <c r="BV371" s="120" t="s">
        <v>482</v>
      </c>
      <c r="BW371" s="121" t="s">
        <v>502</v>
      </c>
      <c r="BX371" s="120">
        <v>18400</v>
      </c>
      <c r="BY371" s="120">
        <v>41.7</v>
      </c>
      <c r="BZ371" s="120">
        <v>47.945</v>
      </c>
      <c r="CA371" s="124">
        <v>-3216.6708800000001</v>
      </c>
      <c r="CB371" s="120">
        <v>1.1497601918465228</v>
      </c>
      <c r="CC371" s="120">
        <v>500</v>
      </c>
      <c r="CD371" s="120">
        <v>50</v>
      </c>
      <c r="CE371" s="124">
        <v>20850</v>
      </c>
    </row>
    <row r="372" spans="1:83" hidden="1">
      <c r="A372" s="13">
        <f t="shared" ca="1" si="753"/>
        <v>365</v>
      </c>
      <c r="B372" s="128">
        <v>44740</v>
      </c>
      <c r="C372" s="121" t="s">
        <v>6</v>
      </c>
      <c r="D372" s="121">
        <v>1</v>
      </c>
      <c r="E372" s="120" t="s">
        <v>632</v>
      </c>
      <c r="F372" s="121" t="s">
        <v>682</v>
      </c>
      <c r="G372" s="120"/>
      <c r="H372" s="122">
        <v>44770</v>
      </c>
      <c r="I372" s="120">
        <v>1600</v>
      </c>
      <c r="J372" s="120">
        <v>369</v>
      </c>
      <c r="K372" s="120">
        <v>0</v>
      </c>
      <c r="L372" s="124">
        <f t="shared" ref="L372:L373" ca="1" si="1434">IF(AND(K372&lt;&gt;0,I372&lt;&gt;0),(IF(C372="B",1,-1))*(K372-J372)*I372-AK372*2,0)*$D372*IF(MONTH($B$2)=MONTH($H372),1,0)</f>
        <v>0</v>
      </c>
      <c r="M372" s="124">
        <f t="shared" ref="M372:M373" ca="1" si="1435">IF(AND(K372&lt;&gt;0,I372&lt;&gt;0),(IF(C372="B",1,-1))*(K372-J372)*I372-AK372*2,0)*$D372</f>
        <v>0</v>
      </c>
      <c r="N372" s="120">
        <f t="shared" ref="N372:N373" ca="1" si="1436">K372/$J372</f>
        <v>0</v>
      </c>
      <c r="O372" s="164">
        <f t="shared" ref="O372:O373" ca="1" si="1437">J372*(1+$O$6*IF(C372="B",-1,1))</f>
        <v>276.75</v>
      </c>
      <c r="P372" s="168">
        <f t="shared" ca="1" si="754"/>
        <v>590400</v>
      </c>
      <c r="Q372" s="168">
        <f t="shared" ref="Q372:Q373" ca="1" si="1438">(W372-J372)*I372*IF(C372="B",1,-1)*IF(K372=0,1,0)</f>
        <v>-13919.999999999982</v>
      </c>
      <c r="R372" s="184">
        <f t="shared" ca="1" si="1219"/>
        <v>574880</v>
      </c>
      <c r="S372" s="124">
        <f t="shared" ref="S372:S373" ca="1" si="1439">(1-$S$6)*J372</f>
        <v>36.899999999999991</v>
      </c>
      <c r="T372" s="120">
        <f ca="1">VLOOKUP(TRIM($F372),Reference!B:C,2,0)</f>
        <v>359.3</v>
      </c>
      <c r="U372" s="181">
        <f t="shared" ref="U372:U373" ca="1" si="1440">AC372</f>
        <v>0</v>
      </c>
      <c r="V372" s="125" t="str">
        <f t="shared" ca="1" si="1213"/>
        <v>BALRAMCHIN22JULFUT</v>
      </c>
      <c r="W372" s="166">
        <f ca="1">VLOOKUP($V372,Reference!BA:BD,4,0)</f>
        <v>360.3</v>
      </c>
      <c r="X372" s="168">
        <f t="shared" ca="1" si="1214"/>
        <v>576480</v>
      </c>
      <c r="Y372" s="168">
        <f t="shared" ca="1" si="1215"/>
        <v>1</v>
      </c>
      <c r="Z372" s="168">
        <f t="shared" ca="1" si="1220"/>
        <v>1600</v>
      </c>
      <c r="AA372" s="168">
        <f t="shared" ca="1" si="1216"/>
        <v>0</v>
      </c>
      <c r="AB372" s="168">
        <f t="shared" ca="1" si="1217"/>
        <v>0</v>
      </c>
      <c r="AC372" s="124">
        <f t="shared" ca="1" si="1218"/>
        <v>0</v>
      </c>
      <c r="AD372" s="120">
        <f t="shared" ref="AD372:AD373" ca="1" si="1441">(H372-TODAY())/365</f>
        <v>3.5616438356164383E-2</v>
      </c>
      <c r="AE372" s="120">
        <f t="shared" ref="AE372:AE373" ca="1" si="1442">IF(I372&lt;&gt;0,20,0)</f>
        <v>20</v>
      </c>
      <c r="AF372" s="120"/>
      <c r="AG372" s="120"/>
      <c r="AH372" s="120">
        <f t="shared" ca="1" si="755"/>
        <v>0</v>
      </c>
      <c r="AI372" s="120"/>
      <c r="AJ372" s="120">
        <f t="shared" ca="1" si="756"/>
        <v>17.712</v>
      </c>
      <c r="AK372" s="120"/>
      <c r="AL372" s="147"/>
      <c r="AM372" s="160"/>
      <c r="AN372" s="160"/>
      <c r="AO372" s="160"/>
      <c r="AP372" s="160"/>
      <c r="AQ372" s="160"/>
      <c r="AR372" s="160"/>
      <c r="AS372" s="160"/>
      <c r="AT372" s="160"/>
      <c r="AU372" s="160"/>
      <c r="AV372" s="160"/>
      <c r="AW372" s="160"/>
      <c r="AX372" s="160"/>
      <c r="AY372" s="160"/>
      <c r="AZ372" s="160"/>
      <c r="BA372" s="160"/>
      <c r="BB372" s="160"/>
      <c r="BC372" s="160"/>
      <c r="BD372" s="160"/>
      <c r="BE372" s="160"/>
      <c r="BF372" s="160"/>
      <c r="BG372" s="160"/>
      <c r="BS372" s="13">
        <v>2</v>
      </c>
      <c r="BT372" s="128">
        <v>44491</v>
      </c>
      <c r="BU372" s="121" t="s">
        <v>8</v>
      </c>
      <c r="BV372" s="120" t="s">
        <v>482</v>
      </c>
      <c r="BW372" s="121" t="s">
        <v>502</v>
      </c>
      <c r="BX372" s="120">
        <v>18400</v>
      </c>
      <c r="BY372" s="120">
        <v>41.7</v>
      </c>
      <c r="BZ372" s="120">
        <v>47.945</v>
      </c>
      <c r="CA372" s="124">
        <v>-3216.6708800000001</v>
      </c>
      <c r="CB372" s="120">
        <v>1.1497601918465228</v>
      </c>
      <c r="CC372" s="120">
        <v>500</v>
      </c>
      <c r="CD372" s="120">
        <v>50</v>
      </c>
      <c r="CE372" s="124">
        <v>20850</v>
      </c>
    </row>
    <row r="373" spans="1:83" hidden="1">
      <c r="A373" s="13">
        <f t="shared" ca="1" si="753"/>
        <v>366</v>
      </c>
      <c r="B373" s="128">
        <v>44740</v>
      </c>
      <c r="C373" s="121" t="s">
        <v>8</v>
      </c>
      <c r="D373" s="121">
        <v>1</v>
      </c>
      <c r="E373" s="120" t="s">
        <v>481</v>
      </c>
      <c r="F373" s="121" t="s">
        <v>682</v>
      </c>
      <c r="G373" s="120">
        <v>400</v>
      </c>
      <c r="H373" s="122">
        <v>44770</v>
      </c>
      <c r="I373" s="120">
        <v>1600</v>
      </c>
      <c r="J373" s="120">
        <v>8.8000000000000007</v>
      </c>
      <c r="K373" s="120">
        <v>0</v>
      </c>
      <c r="L373" s="124">
        <f t="shared" ca="1" si="1434"/>
        <v>0</v>
      </c>
      <c r="M373" s="124">
        <f t="shared" ca="1" si="1435"/>
        <v>0</v>
      </c>
      <c r="N373" s="120">
        <f t="shared" ca="1" si="1436"/>
        <v>0</v>
      </c>
      <c r="O373" s="164">
        <f t="shared" ca="1" si="1437"/>
        <v>11</v>
      </c>
      <c r="P373" s="168">
        <f t="shared" ca="1" si="754"/>
        <v>14080.000000000002</v>
      </c>
      <c r="Q373" s="168">
        <f t="shared" ca="1" si="1438"/>
        <v>10000.000000000002</v>
      </c>
      <c r="R373" s="184">
        <f t="shared" ca="1" si="1219"/>
        <v>-85121.532166622725</v>
      </c>
      <c r="S373" s="124">
        <f t="shared" ca="1" si="1439"/>
        <v>0.87999999999999989</v>
      </c>
      <c r="T373" s="120">
        <f ca="1">VLOOKUP(TRIM($F373),Reference!B:C,2,0)</f>
        <v>359.3</v>
      </c>
      <c r="U373" s="181">
        <f t="shared" ca="1" si="1440"/>
        <v>0.51343667137070359</v>
      </c>
      <c r="V373" s="125" t="str">
        <f t="shared" ca="1" si="1213"/>
        <v>BALRAMCHIN22JUL400CE</v>
      </c>
      <c r="W373" s="166">
        <f ca="1">VLOOKUP($V373,Reference!BA:BD,4,0)</f>
        <v>2.5499999999999998</v>
      </c>
      <c r="X373" s="168">
        <f t="shared" ca="1" si="1214"/>
        <v>-4079.9999999999386</v>
      </c>
      <c r="Y373" s="168">
        <f t="shared" ca="1" si="1215"/>
        <v>0.14806834846684999</v>
      </c>
      <c r="Z373" s="168">
        <f t="shared" ca="1" si="1220"/>
        <v>-236.90935754696</v>
      </c>
      <c r="AA373" s="168">
        <f t="shared" ca="1" si="1216"/>
        <v>484.13371898097211</v>
      </c>
      <c r="AB373" s="168">
        <f t="shared" ca="1" si="1217"/>
        <v>0</v>
      </c>
      <c r="AC373" s="124">
        <f t="shared" ca="1" si="1218"/>
        <v>0.51343667137070359</v>
      </c>
      <c r="AD373" s="120">
        <f t="shared" ca="1" si="1441"/>
        <v>3.5616438356164383E-2</v>
      </c>
      <c r="AE373" s="120">
        <f t="shared" ca="1" si="1442"/>
        <v>20</v>
      </c>
      <c r="AF373" s="120"/>
      <c r="AG373" s="120"/>
      <c r="AH373" s="120">
        <f t="shared" ca="1" si="755"/>
        <v>7.0400000000000009</v>
      </c>
      <c r="AI373" s="120"/>
      <c r="AJ373" s="120">
        <f t="shared" ca="1" si="756"/>
        <v>0</v>
      </c>
      <c r="AK373" s="120"/>
      <c r="AL373" s="147"/>
      <c r="AM373" s="160"/>
      <c r="AN373" s="160"/>
      <c r="AO373" s="160"/>
      <c r="AP373" s="160"/>
      <c r="AQ373" s="160"/>
      <c r="AR373" s="160"/>
      <c r="AS373" s="160"/>
      <c r="AT373" s="160"/>
      <c r="AU373" s="160"/>
      <c r="AV373" s="160"/>
      <c r="AW373" s="160"/>
      <c r="AX373" s="160"/>
      <c r="AY373" s="160"/>
      <c r="AZ373" s="160"/>
      <c r="BA373" s="160"/>
      <c r="BB373" s="160"/>
      <c r="BC373" s="160"/>
      <c r="BD373" s="160"/>
      <c r="BE373" s="160"/>
      <c r="BF373" s="160"/>
      <c r="BG373" s="160"/>
      <c r="BS373" s="13">
        <v>2</v>
      </c>
      <c r="BT373" s="128">
        <v>44491</v>
      </c>
      <c r="BU373" s="121" t="s">
        <v>8</v>
      </c>
      <c r="BV373" s="120" t="s">
        <v>482</v>
      </c>
      <c r="BW373" s="121" t="s">
        <v>502</v>
      </c>
      <c r="BX373" s="120">
        <v>18400</v>
      </c>
      <c r="BY373" s="120">
        <v>41.7</v>
      </c>
      <c r="BZ373" s="120">
        <v>47.945</v>
      </c>
      <c r="CA373" s="124">
        <v>-3216.6708800000001</v>
      </c>
      <c r="CB373" s="120">
        <v>1.1497601918465228</v>
      </c>
      <c r="CC373" s="120">
        <v>500</v>
      </c>
      <c r="CD373" s="120">
        <v>50</v>
      </c>
      <c r="CE373" s="124">
        <v>20850</v>
      </c>
    </row>
    <row r="374" spans="1:83" hidden="1">
      <c r="A374" s="13">
        <f t="shared" ca="1" si="753"/>
        <v>367</v>
      </c>
      <c r="B374" s="128">
        <v>44740</v>
      </c>
      <c r="C374" s="121" t="s">
        <v>8</v>
      </c>
      <c r="D374" s="121">
        <v>1</v>
      </c>
      <c r="E374" s="120" t="s">
        <v>481</v>
      </c>
      <c r="F374" s="121" t="s">
        <v>682</v>
      </c>
      <c r="G374" s="120">
        <v>400</v>
      </c>
      <c r="H374" s="122">
        <v>44770</v>
      </c>
      <c r="I374" s="120">
        <v>1600</v>
      </c>
      <c r="J374" s="120">
        <v>8.8000000000000007</v>
      </c>
      <c r="K374" s="120">
        <v>0</v>
      </c>
      <c r="L374" s="124">
        <f t="shared" ref="L374" ca="1" si="1443">IF(AND(K374&lt;&gt;0,I374&lt;&gt;0),(IF(C374="B",1,-1))*(K374-J374)*I374-AK374*2,0)*$D374*IF(MONTH($B$2)=MONTH($H374),1,0)</f>
        <v>0</v>
      </c>
      <c r="M374" s="124">
        <f t="shared" ref="M374" ca="1" si="1444">IF(AND(K374&lt;&gt;0,I374&lt;&gt;0),(IF(C374="B",1,-1))*(K374-J374)*I374-AK374*2,0)*$D374</f>
        <v>0</v>
      </c>
      <c r="N374" s="120">
        <f t="shared" ref="N374" ca="1" si="1445">K374/$J374</f>
        <v>0</v>
      </c>
      <c r="O374" s="164">
        <f t="shared" ref="O374" ca="1" si="1446">J374*(1+$O$6*IF(C374="B",-1,1))</f>
        <v>11</v>
      </c>
      <c r="P374" s="168">
        <f t="shared" ca="1" si="754"/>
        <v>14080.000000000002</v>
      </c>
      <c r="Q374" s="168">
        <f t="shared" ref="Q374" ca="1" si="1447">(W374-J374)*I374*IF(C374="B",1,-1)*IF(K374=0,1,0)</f>
        <v>10000.000000000002</v>
      </c>
      <c r="R374" s="184">
        <f t="shared" ca="1" si="1219"/>
        <v>-85121.532166622725</v>
      </c>
      <c r="S374" s="124">
        <f t="shared" ref="S374" ca="1" si="1448">(1-$S$6)*J374</f>
        <v>0.87999999999999989</v>
      </c>
      <c r="T374" s="120">
        <f ca="1">VLOOKUP(TRIM($F374),Reference!B:C,2,0)</f>
        <v>359.3</v>
      </c>
      <c r="U374" s="181">
        <f t="shared" ref="U374" ca="1" si="1449">AC374</f>
        <v>0.51343667137070359</v>
      </c>
      <c r="V374" s="125" t="str">
        <f t="shared" ca="1" si="1213"/>
        <v>BALRAMCHIN22JUL400CE</v>
      </c>
      <c r="W374" s="166">
        <f ca="1">VLOOKUP($V374,Reference!BA:BD,4,0)</f>
        <v>2.5499999999999998</v>
      </c>
      <c r="X374" s="168">
        <f t="shared" ca="1" si="1214"/>
        <v>-4079.9999999999386</v>
      </c>
      <c r="Y374" s="168">
        <f t="shared" ca="1" si="1215"/>
        <v>0.14806834846684999</v>
      </c>
      <c r="Z374" s="168">
        <f t="shared" ca="1" si="1220"/>
        <v>-236.90935754696</v>
      </c>
      <c r="AA374" s="168">
        <f t="shared" ca="1" si="1216"/>
        <v>484.13371898097211</v>
      </c>
      <c r="AB374" s="168">
        <f t="shared" ca="1" si="1217"/>
        <v>0</v>
      </c>
      <c r="AC374" s="124">
        <f t="shared" ca="1" si="1218"/>
        <v>0.51343667137070359</v>
      </c>
      <c r="AD374" s="120">
        <f t="shared" ref="AD374" ca="1" si="1450">(H374-TODAY())/365</f>
        <v>3.5616438356164383E-2</v>
      </c>
      <c r="AE374" s="120">
        <f t="shared" ref="AE374" ca="1" si="1451">IF(I374&lt;&gt;0,20,0)</f>
        <v>20</v>
      </c>
      <c r="AF374" s="120"/>
      <c r="AG374" s="120"/>
      <c r="AH374" s="120">
        <f t="shared" ca="1" si="755"/>
        <v>7.0400000000000009</v>
      </c>
      <c r="AI374" s="120"/>
      <c r="AJ374" s="120">
        <f t="shared" ca="1" si="756"/>
        <v>0</v>
      </c>
      <c r="AK374" s="120"/>
      <c r="AL374" s="147"/>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S374" s="13">
        <v>2</v>
      </c>
      <c r="BT374" s="128">
        <v>44491</v>
      </c>
      <c r="BU374" s="121" t="s">
        <v>8</v>
      </c>
      <c r="BV374" s="120" t="s">
        <v>482</v>
      </c>
      <c r="BW374" s="121" t="s">
        <v>502</v>
      </c>
      <c r="BX374" s="120">
        <v>18400</v>
      </c>
      <c r="BY374" s="120">
        <v>41.7</v>
      </c>
      <c r="BZ374" s="120">
        <v>47.945</v>
      </c>
      <c r="CA374" s="124">
        <v>-3216.6708800000001</v>
      </c>
      <c r="CB374" s="120">
        <v>1.1497601918465228</v>
      </c>
      <c r="CC374" s="120">
        <v>500</v>
      </c>
      <c r="CD374" s="120">
        <v>50</v>
      </c>
      <c r="CE374" s="124">
        <v>20850</v>
      </c>
    </row>
    <row r="375" spans="1:83" hidden="1">
      <c r="A375" s="13">
        <f t="shared" ca="1" si="753"/>
        <v>368</v>
      </c>
      <c r="B375" s="128">
        <v>44740</v>
      </c>
      <c r="C375" s="121" t="s">
        <v>6</v>
      </c>
      <c r="D375" s="121">
        <v>1</v>
      </c>
      <c r="E375" s="120" t="s">
        <v>482</v>
      </c>
      <c r="F375" s="121" t="s">
        <v>682</v>
      </c>
      <c r="G375" s="120">
        <v>370</v>
      </c>
      <c r="H375" s="122">
        <v>44770</v>
      </c>
      <c r="I375" s="120">
        <v>1600</v>
      </c>
      <c r="J375" s="120">
        <v>21.15</v>
      </c>
      <c r="K375" s="120">
        <v>0</v>
      </c>
      <c r="L375" s="124">
        <f t="shared" ref="L375:L376" ca="1" si="1452">IF(AND(K375&lt;&gt;0,I375&lt;&gt;0),(IF(C375="B",1,-1))*(K375-J375)*I375-AK375*2,0)*$D375*IF(MONTH($B$2)=MONTH($H375),1,0)</f>
        <v>0</v>
      </c>
      <c r="M375" s="124">
        <f t="shared" ref="M375:M376" ca="1" si="1453">IF(AND(K375&lt;&gt;0,I375&lt;&gt;0),(IF(C375="B",1,-1))*(K375-J375)*I375-AK375*2,0)*$D375</f>
        <v>0</v>
      </c>
      <c r="N375" s="120">
        <f t="shared" ref="N375:N376" ca="1" si="1454">K375/$J375</f>
        <v>0</v>
      </c>
      <c r="O375" s="164">
        <f t="shared" ref="O375:O376" ca="1" si="1455">J375*(1+$O$6*IF(C375="B",-1,1))</f>
        <v>15.862499999999999</v>
      </c>
      <c r="P375" s="168">
        <f t="shared" ca="1" si="754"/>
        <v>33840</v>
      </c>
      <c r="Q375" s="168">
        <f t="shared" ref="Q375:Q376" ca="1" si="1456">(W375-J375)*I375*IF(C375="B",1,-1)*IF(K375=0,1,0)</f>
        <v>-3279.9999999999955</v>
      </c>
      <c r="R375" s="184">
        <f t="shared" ca="1" si="1219"/>
        <v>-345773.61522200116</v>
      </c>
      <c r="S375" s="124">
        <f t="shared" ref="S375:S376" ca="1" si="1457">(1-$S$6)*J375</f>
        <v>2.1149999999999993</v>
      </c>
      <c r="T375" s="120">
        <f ca="1">VLOOKUP(TRIM($F375),Reference!B:C,2,0)</f>
        <v>359.3</v>
      </c>
      <c r="U375" s="181">
        <f t="shared" ref="U375:U376" ca="1" si="1458">AC375</f>
        <v>0.48864822835763833</v>
      </c>
      <c r="V375" s="125" t="str">
        <f t="shared" ca="1" si="1213"/>
        <v>BALRAMCHIN22JUL370PE</v>
      </c>
      <c r="W375" s="166">
        <f ca="1">VLOOKUP($V375,Reference!BA:BD,4,0)</f>
        <v>19.100000000000001</v>
      </c>
      <c r="X375" s="168">
        <f t="shared" ca="1" si="1214"/>
        <v>30559.999999999993</v>
      </c>
      <c r="Y375" s="168">
        <f t="shared" ca="1" si="1215"/>
        <v>-0.60147094214792851</v>
      </c>
      <c r="Z375" s="168">
        <f t="shared" ca="1" si="1220"/>
        <v>-962.35350743668562</v>
      </c>
      <c r="AA375" s="168">
        <f t="shared" ca="1" si="1216"/>
        <v>-838.53521016517334</v>
      </c>
      <c r="AB375" s="168">
        <f t="shared" ca="1" si="1217"/>
        <v>0</v>
      </c>
      <c r="AC375" s="124">
        <f t="shared" ca="1" si="1218"/>
        <v>0.48864822835763833</v>
      </c>
      <c r="AD375" s="120">
        <f t="shared" ref="AD375:AD376" ca="1" si="1459">(H375-TODAY())/365</f>
        <v>3.5616438356164383E-2</v>
      </c>
      <c r="AE375" s="120">
        <f t="shared" ref="AE375:AE376" ca="1" si="1460">IF(I375&lt;&gt;0,20,0)</f>
        <v>20</v>
      </c>
      <c r="AF375" s="120"/>
      <c r="AG375" s="120"/>
      <c r="AH375" s="120">
        <f t="shared" ca="1" si="755"/>
        <v>0</v>
      </c>
      <c r="AI375" s="120"/>
      <c r="AJ375" s="120">
        <f t="shared" ca="1" si="756"/>
        <v>1.0152000000000001</v>
      </c>
      <c r="AK375" s="120"/>
      <c r="AL375" s="147"/>
      <c r="AM375" s="160"/>
      <c r="AN375" s="160"/>
      <c r="AO375" s="160"/>
      <c r="AP375" s="160"/>
      <c r="AQ375" s="160"/>
      <c r="AR375" s="160"/>
      <c r="AS375" s="160"/>
      <c r="AT375" s="160"/>
      <c r="AU375" s="160"/>
      <c r="AV375" s="160"/>
      <c r="AW375" s="160"/>
      <c r="AX375" s="160"/>
      <c r="AY375" s="160"/>
      <c r="AZ375" s="160"/>
      <c r="BA375" s="160"/>
      <c r="BB375" s="160"/>
      <c r="BC375" s="160"/>
      <c r="BD375" s="160"/>
      <c r="BE375" s="160"/>
      <c r="BF375" s="160"/>
      <c r="BG375" s="160"/>
      <c r="BS375" s="13">
        <v>2</v>
      </c>
      <c r="BT375" s="128">
        <v>44491</v>
      </c>
      <c r="BU375" s="121" t="s">
        <v>8</v>
      </c>
      <c r="BV375" s="120" t="s">
        <v>482</v>
      </c>
      <c r="BW375" s="121" t="s">
        <v>502</v>
      </c>
      <c r="BX375" s="120">
        <v>18400</v>
      </c>
      <c r="BY375" s="120">
        <v>41.7</v>
      </c>
      <c r="BZ375" s="120">
        <v>47.945</v>
      </c>
      <c r="CA375" s="124">
        <v>-3216.6708800000001</v>
      </c>
      <c r="CB375" s="120">
        <v>1.1497601918465228</v>
      </c>
      <c r="CC375" s="120">
        <v>500</v>
      </c>
      <c r="CD375" s="120">
        <v>50</v>
      </c>
      <c r="CE375" s="124">
        <v>20850</v>
      </c>
    </row>
    <row r="376" spans="1:83" hidden="1">
      <c r="A376" s="13">
        <f t="shared" ca="1" si="753"/>
        <v>369</v>
      </c>
      <c r="B376" s="128">
        <v>44741</v>
      </c>
      <c r="C376" s="121" t="s">
        <v>8</v>
      </c>
      <c r="D376" s="121">
        <v>1</v>
      </c>
      <c r="E376" s="120" t="s">
        <v>481</v>
      </c>
      <c r="F376" s="121" t="s">
        <v>90</v>
      </c>
      <c r="G376" s="120">
        <v>3500</v>
      </c>
      <c r="H376" s="122">
        <v>44770</v>
      </c>
      <c r="I376" s="120">
        <v>150</v>
      </c>
      <c r="J376" s="120">
        <v>34.65</v>
      </c>
      <c r="K376" s="120">
        <v>0</v>
      </c>
      <c r="L376" s="124">
        <f t="shared" ca="1" si="1452"/>
        <v>0</v>
      </c>
      <c r="M376" s="124">
        <f t="shared" ca="1" si="1453"/>
        <v>0</v>
      </c>
      <c r="N376" s="120">
        <f t="shared" ca="1" si="1454"/>
        <v>0</v>
      </c>
      <c r="O376" s="164">
        <f t="shared" ca="1" si="1455"/>
        <v>43.3125</v>
      </c>
      <c r="P376" s="168">
        <f t="shared" ca="1" si="754"/>
        <v>5197.5</v>
      </c>
      <c r="Q376" s="168">
        <f t="shared" ca="1" si="1456"/>
        <v>4882.5</v>
      </c>
      <c r="R376" s="184">
        <f t="shared" ca="1" si="1219"/>
        <v>-8.9519507952110254E-286</v>
      </c>
      <c r="S376" s="124">
        <f t="shared" ca="1" si="1457"/>
        <v>3.464999999999999</v>
      </c>
      <c r="T376" s="120">
        <f ca="1">VLOOKUP(TRIM($F376),Reference!B:C,2,0)</f>
        <v>3003</v>
      </c>
      <c r="U376" s="181">
        <f t="shared" ca="1" si="1458"/>
        <v>-386.46145208552684</v>
      </c>
      <c r="V376" s="125" t="str">
        <f t="shared" ca="1" si="1213"/>
        <v>TCS22JUL3500CE</v>
      </c>
      <c r="W376" s="166">
        <f ca="1">VLOOKUP($V376,Reference!BA:BD,4,0)</f>
        <v>2.1</v>
      </c>
      <c r="X376" s="168">
        <f t="shared" ca="1" si="1214"/>
        <v>524065.90047246794</v>
      </c>
      <c r="Y376" s="168">
        <f t="shared" ca="1" si="1215"/>
        <v>1.9873350638719114E-291</v>
      </c>
      <c r="Z376" s="168">
        <f t="shared" ca="1" si="1220"/>
        <v>-2.9810025958078674E-289</v>
      </c>
      <c r="AA376" s="168">
        <f t="shared" ca="1" si="1216"/>
        <v>-71.789849379790127</v>
      </c>
      <c r="AB376" s="168">
        <f t="shared" ca="1" si="1217"/>
        <v>0</v>
      </c>
      <c r="AC376" s="124">
        <f t="shared" ca="1" si="1218"/>
        <v>-386.46145208552684</v>
      </c>
      <c r="AD376" s="120">
        <f t="shared" ca="1" si="1459"/>
        <v>3.5616438356164383E-2</v>
      </c>
      <c r="AE376" s="120">
        <f t="shared" ca="1" si="1460"/>
        <v>20</v>
      </c>
      <c r="AF376" s="120"/>
      <c r="AG376" s="120"/>
      <c r="AH376" s="120">
        <f t="shared" ca="1" si="755"/>
        <v>2.5987499999999999</v>
      </c>
      <c r="AI376" s="120"/>
      <c r="AJ376" s="120">
        <f t="shared" ca="1" si="756"/>
        <v>0</v>
      </c>
      <c r="AK376" s="120"/>
      <c r="AL376" s="147"/>
      <c r="AM376" s="160"/>
      <c r="AN376" s="160"/>
      <c r="AO376" s="160"/>
      <c r="AP376" s="160"/>
      <c r="AQ376" s="160"/>
      <c r="AR376" s="160"/>
      <c r="AS376" s="160"/>
      <c r="AT376" s="160"/>
      <c r="AU376" s="160"/>
      <c r="AV376" s="160"/>
      <c r="AW376" s="160"/>
      <c r="AX376" s="160"/>
      <c r="AY376" s="160"/>
      <c r="AZ376" s="160"/>
      <c r="BA376" s="160"/>
      <c r="BB376" s="160"/>
      <c r="BC376" s="160"/>
      <c r="BD376" s="160"/>
      <c r="BE376" s="160"/>
      <c r="BF376" s="160"/>
      <c r="BG376" s="160"/>
      <c r="BS376" s="13">
        <v>2</v>
      </c>
      <c r="BT376" s="128">
        <v>44491</v>
      </c>
      <c r="BU376" s="121" t="s">
        <v>8</v>
      </c>
      <c r="BV376" s="120" t="s">
        <v>482</v>
      </c>
      <c r="BW376" s="121" t="s">
        <v>502</v>
      </c>
      <c r="BX376" s="120">
        <v>18400</v>
      </c>
      <c r="BY376" s="120">
        <v>41.7</v>
      </c>
      <c r="BZ376" s="120">
        <v>47.945</v>
      </c>
      <c r="CA376" s="124">
        <v>-3216.6708800000001</v>
      </c>
      <c r="CB376" s="120">
        <v>1.1497601918465228</v>
      </c>
      <c r="CC376" s="120">
        <v>500</v>
      </c>
      <c r="CD376" s="120">
        <v>50</v>
      </c>
      <c r="CE376" s="124">
        <v>20850</v>
      </c>
    </row>
    <row r="377" spans="1:83" hidden="1">
      <c r="A377" s="13">
        <f t="shared" ca="1" si="753"/>
        <v>370</v>
      </c>
      <c r="B377" s="128">
        <v>44741</v>
      </c>
      <c r="C377" s="121" t="s">
        <v>8</v>
      </c>
      <c r="D377" s="121">
        <v>1</v>
      </c>
      <c r="E377" s="120" t="s">
        <v>481</v>
      </c>
      <c r="F377" s="121" t="s">
        <v>284</v>
      </c>
      <c r="G377" s="120">
        <v>460</v>
      </c>
      <c r="H377" s="122">
        <v>44770</v>
      </c>
      <c r="I377" s="120">
        <v>1425</v>
      </c>
      <c r="J377" s="120">
        <v>5.9</v>
      </c>
      <c r="K377" s="120">
        <v>0</v>
      </c>
      <c r="L377" s="124">
        <f t="shared" ref="L377:L378" ca="1" si="1461">IF(AND(K377&lt;&gt;0,I377&lt;&gt;0),(IF(C377="B",1,-1))*(K377-J377)*I377-AK377*2,0)*$D377*IF(MONTH($B$2)=MONTH($H377),1,0)</f>
        <v>0</v>
      </c>
      <c r="M377" s="124">
        <f t="shared" ref="M377:M378" ca="1" si="1462">IF(AND(K377&lt;&gt;0,I377&lt;&gt;0),(IF(C377="B",1,-1))*(K377-J377)*I377-AK377*2,0)*$D377</f>
        <v>0</v>
      </c>
      <c r="N377" s="120">
        <f t="shared" ref="N377:N378" ca="1" si="1463">K377/$J377</f>
        <v>0</v>
      </c>
      <c r="O377" s="164">
        <f t="shared" ref="O377:O378" ca="1" si="1464">J377*(1+$O$6*IF(C377="B",-1,1))</f>
        <v>7.375</v>
      </c>
      <c r="P377" s="168">
        <f t="shared" ca="1" si="754"/>
        <v>8407.5</v>
      </c>
      <c r="Q377" s="168">
        <f t="shared" ref="Q377:Q378" ca="1" si="1465">(W377-J377)*I377*IF(C377="B",1,-1)*IF(K377=0,1,0)</f>
        <v>4061.2500000000009</v>
      </c>
      <c r="R377" s="184">
        <f t="shared" ca="1" si="1219"/>
        <v>-110766.33729384679</v>
      </c>
      <c r="S377" s="124">
        <f t="shared" ref="S377:S378" ca="1" si="1466">(1-$S$6)*J377</f>
        <v>0.58999999999999986</v>
      </c>
      <c r="T377" s="120">
        <f ca="1">VLOOKUP(TRIM($F377),Reference!B:C,2,0)</f>
        <v>428</v>
      </c>
      <c r="U377" s="181">
        <f t="shared" ref="U377:U378" ca="1" si="1467">AC377</f>
        <v>0.39590016918966209</v>
      </c>
      <c r="V377" s="125" t="str">
        <f t="shared" ca="1" si="1213"/>
        <v>TATAMOTORS22JUL460CE</v>
      </c>
      <c r="W377" s="166">
        <f ca="1">VLOOKUP($V377,Reference!BA:BD,4,0)</f>
        <v>3.05</v>
      </c>
      <c r="X377" s="168">
        <f t="shared" ca="1" si="1214"/>
        <v>-4346.2500000000164</v>
      </c>
      <c r="Y377" s="168">
        <f t="shared" ca="1" si="1215"/>
        <v>0.18161393227389208</v>
      </c>
      <c r="Z377" s="168">
        <f t="shared" ca="1" si="1220"/>
        <v>-258.79985349029624</v>
      </c>
      <c r="AA377" s="168">
        <f t="shared" ca="1" si="1216"/>
        <v>447.90506006838825</v>
      </c>
      <c r="AB377" s="168">
        <f t="shared" ca="1" si="1217"/>
        <v>0</v>
      </c>
      <c r="AC377" s="124">
        <f t="shared" ca="1" si="1218"/>
        <v>0.39590016918966209</v>
      </c>
      <c r="AD377" s="120">
        <f t="shared" ref="AD377:AD378" ca="1" si="1468">(H377-TODAY())/365</f>
        <v>3.5616438356164383E-2</v>
      </c>
      <c r="AE377" s="120">
        <f t="shared" ref="AE377:AE378" ca="1" si="1469">IF(I377&lt;&gt;0,20,0)</f>
        <v>20</v>
      </c>
      <c r="AF377" s="120"/>
      <c r="AG377" s="120"/>
      <c r="AH377" s="120">
        <f t="shared" ca="1" si="755"/>
        <v>4.2037500000000003</v>
      </c>
      <c r="AI377" s="120"/>
      <c r="AJ377" s="120">
        <f t="shared" ca="1" si="756"/>
        <v>0</v>
      </c>
      <c r="AK377" s="120"/>
      <c r="AL377" s="147"/>
      <c r="AM377" s="160"/>
      <c r="AN377" s="160"/>
      <c r="AO377" s="160"/>
      <c r="AP377" s="160"/>
      <c r="AQ377" s="160"/>
      <c r="AR377" s="160"/>
      <c r="AS377" s="160"/>
      <c r="AT377" s="160"/>
      <c r="AU377" s="160"/>
      <c r="AV377" s="160"/>
      <c r="AW377" s="160"/>
      <c r="AX377" s="160"/>
      <c r="AY377" s="160"/>
      <c r="AZ377" s="160"/>
      <c r="BA377" s="160"/>
      <c r="BB377" s="160"/>
      <c r="BC377" s="160"/>
      <c r="BD377" s="160"/>
      <c r="BE377" s="160"/>
      <c r="BF377" s="160"/>
      <c r="BG377" s="160"/>
      <c r="BS377" s="13">
        <v>2</v>
      </c>
      <c r="BT377" s="128">
        <v>44491</v>
      </c>
      <c r="BU377" s="121" t="s">
        <v>8</v>
      </c>
      <c r="BV377" s="120" t="s">
        <v>482</v>
      </c>
      <c r="BW377" s="121" t="s">
        <v>502</v>
      </c>
      <c r="BX377" s="120">
        <v>18400</v>
      </c>
      <c r="BY377" s="120">
        <v>41.7</v>
      </c>
      <c r="BZ377" s="120">
        <v>47.945</v>
      </c>
      <c r="CA377" s="124">
        <v>-3216.6708800000001</v>
      </c>
      <c r="CB377" s="120">
        <v>1.1497601918465228</v>
      </c>
      <c r="CC377" s="120">
        <v>500</v>
      </c>
      <c r="CD377" s="120">
        <v>50</v>
      </c>
      <c r="CE377" s="124">
        <v>20850</v>
      </c>
    </row>
    <row r="378" spans="1:83" hidden="1">
      <c r="A378" s="13">
        <f t="shared" ca="1" si="753"/>
        <v>371</v>
      </c>
      <c r="B378" s="128">
        <v>44741</v>
      </c>
      <c r="C378" s="121" t="s">
        <v>8</v>
      </c>
      <c r="D378" s="121">
        <v>1</v>
      </c>
      <c r="E378" s="120" t="s">
        <v>481</v>
      </c>
      <c r="F378" s="121" t="s">
        <v>502</v>
      </c>
      <c r="G378" s="120">
        <v>16600</v>
      </c>
      <c r="H378" s="122">
        <v>44770</v>
      </c>
      <c r="I378" s="120">
        <v>50</v>
      </c>
      <c r="J378" s="120">
        <v>80</v>
      </c>
      <c r="K378" s="120">
        <v>0</v>
      </c>
      <c r="L378" s="124">
        <f t="shared" ca="1" si="1461"/>
        <v>0</v>
      </c>
      <c r="M378" s="124">
        <f t="shared" ca="1" si="1462"/>
        <v>0</v>
      </c>
      <c r="N378" s="120">
        <f t="shared" ca="1" si="1463"/>
        <v>0</v>
      </c>
      <c r="O378" s="164">
        <f t="shared" ca="1" si="1464"/>
        <v>100</v>
      </c>
      <c r="P378" s="168">
        <f t="shared" ca="1" si="754"/>
        <v>4000</v>
      </c>
      <c r="Q378" s="168">
        <f t="shared" ca="1" si="1465"/>
        <v>3005</v>
      </c>
      <c r="R378" s="184">
        <f t="shared" ca="1" si="1219"/>
        <v>-73735.049368905791</v>
      </c>
      <c r="S378" s="124">
        <f t="shared" ca="1" si="1466"/>
        <v>7.9999999999999982</v>
      </c>
      <c r="T378" s="120">
        <f ca="1">VLOOKUP(TRIM($F378),Reference!B:C,2,0)</f>
        <v>15938.65</v>
      </c>
      <c r="U378" s="181">
        <f t="shared" ca="1" si="1467"/>
        <v>0.1553111960229526</v>
      </c>
      <c r="V378" s="125" t="str">
        <f t="shared" ca="1" si="1213"/>
        <v>NIFTY22JUL16600CE</v>
      </c>
      <c r="W378" s="166">
        <f ca="1">VLOOKUP($V378,Reference!BA:BD,4,0)</f>
        <v>19.899999999999999</v>
      </c>
      <c r="X378" s="168">
        <f t="shared" ca="1" si="1214"/>
        <v>-994.99999999995907</v>
      </c>
      <c r="Y378" s="168">
        <f t="shared" ca="1" si="1215"/>
        <v>9.2523581820173978E-2</v>
      </c>
      <c r="Z378" s="168">
        <f t="shared" ca="1" si="1220"/>
        <v>-4.6261790910086988</v>
      </c>
      <c r="AA378" s="168">
        <f t="shared" ca="1" si="1216"/>
        <v>138.95587288555936</v>
      </c>
      <c r="AB378" s="168">
        <f t="shared" ca="1" si="1217"/>
        <v>0</v>
      </c>
      <c r="AC378" s="124">
        <f t="shared" ca="1" si="1218"/>
        <v>0.1553111960229526</v>
      </c>
      <c r="AD378" s="120">
        <f t="shared" ca="1" si="1468"/>
        <v>3.5616438356164383E-2</v>
      </c>
      <c r="AE378" s="120">
        <f t="shared" ca="1" si="1469"/>
        <v>20</v>
      </c>
      <c r="AF378" s="120"/>
      <c r="AG378" s="120"/>
      <c r="AH378" s="120">
        <f t="shared" ca="1" si="755"/>
        <v>2</v>
      </c>
      <c r="AI378" s="120"/>
      <c r="AJ378" s="120">
        <f t="shared" ca="1" si="756"/>
        <v>0</v>
      </c>
      <c r="AK378" s="120"/>
      <c r="AL378" s="147"/>
      <c r="AM378" s="160"/>
      <c r="AN378" s="160"/>
      <c r="AO378" s="160"/>
      <c r="AP378" s="160"/>
      <c r="AQ378" s="160"/>
      <c r="AR378" s="160"/>
      <c r="AS378" s="160"/>
      <c r="AT378" s="160"/>
      <c r="AU378" s="160"/>
      <c r="AV378" s="160"/>
      <c r="AW378" s="160"/>
      <c r="AX378" s="160"/>
      <c r="AY378" s="160"/>
      <c r="AZ378" s="160"/>
      <c r="BA378" s="160"/>
      <c r="BB378" s="160"/>
      <c r="BC378" s="160"/>
      <c r="BD378" s="160"/>
      <c r="BE378" s="160"/>
      <c r="BF378" s="160"/>
      <c r="BG378" s="160"/>
      <c r="BS378" s="13">
        <v>2</v>
      </c>
      <c r="BT378" s="128">
        <v>44491</v>
      </c>
      <c r="BU378" s="121" t="s">
        <v>8</v>
      </c>
      <c r="BV378" s="120" t="s">
        <v>482</v>
      </c>
      <c r="BW378" s="121" t="s">
        <v>502</v>
      </c>
      <c r="BX378" s="120">
        <v>18400</v>
      </c>
      <c r="BY378" s="120">
        <v>41.7</v>
      </c>
      <c r="BZ378" s="120">
        <v>47.945</v>
      </c>
      <c r="CA378" s="124">
        <v>-3216.6708800000001</v>
      </c>
      <c r="CB378" s="120">
        <v>1.1497601918465228</v>
      </c>
      <c r="CC378" s="120">
        <v>500</v>
      </c>
      <c r="CD378" s="120">
        <v>50</v>
      </c>
      <c r="CE378" s="124">
        <v>20850</v>
      </c>
    </row>
    <row r="379" spans="1:83" hidden="1">
      <c r="A379" s="13">
        <f t="shared" ca="1" si="753"/>
        <v>372</v>
      </c>
      <c r="B379" s="128">
        <v>44741</v>
      </c>
      <c r="C379" s="121" t="s">
        <v>8</v>
      </c>
      <c r="D379" s="121">
        <v>1</v>
      </c>
      <c r="E379" s="120" t="s">
        <v>481</v>
      </c>
      <c r="F379" s="121" t="s">
        <v>502</v>
      </c>
      <c r="G379" s="120">
        <v>16500</v>
      </c>
      <c r="H379" s="122">
        <v>44770</v>
      </c>
      <c r="I379" s="120">
        <v>50</v>
      </c>
      <c r="J379" s="120">
        <v>101.25</v>
      </c>
      <c r="K379" s="120">
        <v>0</v>
      </c>
      <c r="L379" s="124">
        <f t="shared" ref="L379:L380" ca="1" si="1470">IF(AND(K379&lt;&gt;0,I379&lt;&gt;0),(IF(C379="B",1,-1))*(K379-J379)*I379-AK379*2,0)*$D379*IF(MONTH($B$2)=MONTH($H379),1,0)</f>
        <v>0</v>
      </c>
      <c r="M379" s="124">
        <f t="shared" ref="M379:M380" ca="1" si="1471">IF(AND(K379&lt;&gt;0,I379&lt;&gt;0),(IF(C379="B",1,-1))*(K379-J379)*I379-AK379*2,0)*$D379</f>
        <v>0</v>
      </c>
      <c r="N379" s="120">
        <f t="shared" ref="N379:N380" ca="1" si="1472">K379/$J379</f>
        <v>0</v>
      </c>
      <c r="O379" s="164">
        <f t="shared" ref="O379:O380" ca="1" si="1473">J379*(1+$O$6*IF(C379="B",-1,1))</f>
        <v>126.5625</v>
      </c>
      <c r="P379" s="168">
        <f t="shared" ca="1" si="754"/>
        <v>5062.5</v>
      </c>
      <c r="Q379" s="168">
        <f t="shared" ref="Q379:Q380" ca="1" si="1474">(W379-J379)*I379*IF(C379="B",1,-1)*IF(K379=0,1,0)</f>
        <v>3475</v>
      </c>
      <c r="R379" s="184">
        <f t="shared" ca="1" si="1219"/>
        <v>-107319.56112131171</v>
      </c>
      <c r="S379" s="124">
        <f t="shared" ref="S379:S380" ca="1" si="1475">(1-$S$6)*J379</f>
        <v>10.124999999999998</v>
      </c>
      <c r="T379" s="120">
        <f ca="1">VLOOKUP(TRIM($F379),Reference!B:C,2,0)</f>
        <v>15938.65</v>
      </c>
      <c r="U379" s="181">
        <f t="shared" ref="U379:U380" ca="1" si="1476">AC379</f>
        <v>0.15731398886895406</v>
      </c>
      <c r="V379" s="125" t="str">
        <f t="shared" ca="1" si="1213"/>
        <v>NIFTY22JUL16500CE</v>
      </c>
      <c r="W379" s="166">
        <f ca="1">VLOOKUP($V379,Reference!BA:BD,4,0)</f>
        <v>31.75</v>
      </c>
      <c r="X379" s="168">
        <f t="shared" ca="1" si="1214"/>
        <v>-1587.5</v>
      </c>
      <c r="Y379" s="168">
        <f t="shared" ca="1" si="1215"/>
        <v>0.13466581061923275</v>
      </c>
      <c r="Z379" s="168">
        <f t="shared" ca="1" si="1220"/>
        <v>-6.7332905309616375</v>
      </c>
      <c r="AA379" s="168">
        <f t="shared" ca="1" si="1216"/>
        <v>182.76392972574899</v>
      </c>
      <c r="AB379" s="168">
        <f t="shared" ca="1" si="1217"/>
        <v>0</v>
      </c>
      <c r="AC379" s="124">
        <f t="shared" ca="1" si="1218"/>
        <v>0.15731398886895406</v>
      </c>
      <c r="AD379" s="120">
        <f t="shared" ref="AD379:AD380" ca="1" si="1477">(H379-TODAY())/365</f>
        <v>3.5616438356164383E-2</v>
      </c>
      <c r="AE379" s="120">
        <f t="shared" ref="AE379:AE380" ca="1" si="1478">IF(I379&lt;&gt;0,20,0)</f>
        <v>20</v>
      </c>
      <c r="AF379" s="120"/>
      <c r="AG379" s="120"/>
      <c r="AH379" s="120">
        <f t="shared" ca="1" si="755"/>
        <v>2.53125</v>
      </c>
      <c r="AI379" s="120"/>
      <c r="AJ379" s="120">
        <f t="shared" ca="1" si="756"/>
        <v>0</v>
      </c>
      <c r="AK379" s="120"/>
      <c r="AL379" s="147"/>
      <c r="AM379" s="160"/>
      <c r="AN379" s="160"/>
      <c r="AO379" s="160"/>
      <c r="AP379" s="160"/>
      <c r="AQ379" s="160"/>
      <c r="AR379" s="160"/>
      <c r="AS379" s="160"/>
      <c r="AT379" s="160"/>
      <c r="AU379" s="160"/>
      <c r="AV379" s="160"/>
      <c r="AW379" s="160"/>
      <c r="AX379" s="160"/>
      <c r="AY379" s="160"/>
      <c r="AZ379" s="160"/>
      <c r="BA379" s="160"/>
      <c r="BB379" s="160"/>
      <c r="BC379" s="160"/>
      <c r="BD379" s="160"/>
      <c r="BE379" s="160"/>
      <c r="BF379" s="160"/>
      <c r="BG379" s="160"/>
      <c r="BS379" s="13">
        <v>2</v>
      </c>
      <c r="BT379" s="128">
        <v>44491</v>
      </c>
      <c r="BU379" s="121" t="s">
        <v>8</v>
      </c>
      <c r="BV379" s="120" t="s">
        <v>482</v>
      </c>
      <c r="BW379" s="121" t="s">
        <v>502</v>
      </c>
      <c r="BX379" s="120">
        <v>18400</v>
      </c>
      <c r="BY379" s="120">
        <v>41.7</v>
      </c>
      <c r="BZ379" s="120">
        <v>47.945</v>
      </c>
      <c r="CA379" s="124">
        <v>-3216.6708800000001</v>
      </c>
      <c r="CB379" s="120">
        <v>1.1497601918465228</v>
      </c>
      <c r="CC379" s="120">
        <v>500</v>
      </c>
      <c r="CD379" s="120">
        <v>50</v>
      </c>
      <c r="CE379" s="124">
        <v>20850</v>
      </c>
    </row>
    <row r="380" spans="1:83" hidden="1">
      <c r="A380" s="13">
        <f t="shared" ca="1" si="753"/>
        <v>373</v>
      </c>
      <c r="B380" s="128">
        <v>44741</v>
      </c>
      <c r="C380" s="121" t="s">
        <v>8</v>
      </c>
      <c r="D380" s="121">
        <v>1</v>
      </c>
      <c r="E380" s="120" t="s">
        <v>481</v>
      </c>
      <c r="F380" s="121" t="s">
        <v>506</v>
      </c>
      <c r="G380" s="120">
        <v>35000</v>
      </c>
      <c r="H380" s="122">
        <v>44770</v>
      </c>
      <c r="I380" s="120">
        <v>25</v>
      </c>
      <c r="J380" s="120">
        <v>276.10000000000002</v>
      </c>
      <c r="K380" s="120">
        <v>0</v>
      </c>
      <c r="L380" s="124">
        <f t="shared" ca="1" si="1470"/>
        <v>0</v>
      </c>
      <c r="M380" s="124">
        <f t="shared" ca="1" si="1471"/>
        <v>0</v>
      </c>
      <c r="N380" s="120">
        <f t="shared" ca="1" si="1472"/>
        <v>0</v>
      </c>
      <c r="O380" s="164">
        <f t="shared" ca="1" si="1473"/>
        <v>345.125</v>
      </c>
      <c r="P380" s="168">
        <f t="shared" ca="1" si="754"/>
        <v>6902.5000000000009</v>
      </c>
      <c r="Q380" s="168">
        <f t="shared" ca="1" si="1474"/>
        <v>-3053.7499999999995</v>
      </c>
      <c r="R380" s="184">
        <f t="shared" ca="1" si="1219"/>
        <v>-362882.76244838152</v>
      </c>
      <c r="S380" s="124">
        <f t="shared" ca="1" si="1475"/>
        <v>27.609999999999996</v>
      </c>
      <c r="T380" s="120">
        <f ca="1">VLOOKUP(TRIM($F380),Reference!B:C,2,0)</f>
        <v>34651.199999999997</v>
      </c>
      <c r="U380" s="181">
        <f t="shared" ca="1" si="1476"/>
        <v>0.20432342584662164</v>
      </c>
      <c r="V380" s="125" t="str">
        <f t="shared" ca="1" si="1213"/>
        <v>BANKNIFTY22JUL35000CE</v>
      </c>
      <c r="W380" s="166">
        <f ca="1">VLOOKUP($V380,Reference!BA:BD,4,0)</f>
        <v>398.25</v>
      </c>
      <c r="X380" s="168">
        <f t="shared" ca="1" si="1214"/>
        <v>-9956.25</v>
      </c>
      <c r="Y380" s="168">
        <f t="shared" ca="1" si="1215"/>
        <v>0.41889777260052352</v>
      </c>
      <c r="Z380" s="168">
        <f t="shared" ca="1" si="1220"/>
        <v>-10.472444315013089</v>
      </c>
      <c r="AA380" s="168">
        <f t="shared" ca="1" si="1216"/>
        <v>453.59822496948038</v>
      </c>
      <c r="AB380" s="168">
        <f t="shared" ca="1" si="1217"/>
        <v>0</v>
      </c>
      <c r="AC380" s="124">
        <f t="shared" ca="1" si="1218"/>
        <v>0.20432342584662164</v>
      </c>
      <c r="AD380" s="120">
        <f t="shared" ca="1" si="1477"/>
        <v>3.5616438356164383E-2</v>
      </c>
      <c r="AE380" s="120">
        <f t="shared" ca="1" si="1478"/>
        <v>20</v>
      </c>
      <c r="AF380" s="120"/>
      <c r="AG380" s="120"/>
      <c r="AH380" s="120">
        <f t="shared" ca="1" si="755"/>
        <v>3.4512500000000004</v>
      </c>
      <c r="AI380" s="120"/>
      <c r="AJ380" s="120">
        <f t="shared" ca="1" si="756"/>
        <v>0</v>
      </c>
      <c r="AK380" s="120"/>
      <c r="AL380" s="147"/>
      <c r="AM380" s="160"/>
      <c r="AN380" s="160"/>
      <c r="AO380" s="160"/>
      <c r="AP380" s="160"/>
      <c r="AQ380" s="160"/>
      <c r="AR380" s="160"/>
      <c r="AS380" s="160"/>
      <c r="AT380" s="160"/>
      <c r="AU380" s="160"/>
      <c r="AV380" s="160"/>
      <c r="AW380" s="160"/>
      <c r="AX380" s="160"/>
      <c r="AY380" s="160"/>
      <c r="AZ380" s="160"/>
      <c r="BA380" s="160"/>
      <c r="BB380" s="160"/>
      <c r="BC380" s="160"/>
      <c r="BD380" s="160"/>
      <c r="BE380" s="160"/>
      <c r="BF380" s="160"/>
      <c r="BG380" s="160"/>
      <c r="BS380" s="13">
        <v>2</v>
      </c>
      <c r="BT380" s="128">
        <v>44491</v>
      </c>
      <c r="BU380" s="121" t="s">
        <v>8</v>
      </c>
      <c r="BV380" s="120" t="s">
        <v>482</v>
      </c>
      <c r="BW380" s="121" t="s">
        <v>502</v>
      </c>
      <c r="BX380" s="120">
        <v>18400</v>
      </c>
      <c r="BY380" s="120">
        <v>41.7</v>
      </c>
      <c r="BZ380" s="120">
        <v>47.945</v>
      </c>
      <c r="CA380" s="124">
        <v>-3216.6708800000001</v>
      </c>
      <c r="CB380" s="120">
        <v>1.1497601918465228</v>
      </c>
      <c r="CC380" s="120">
        <v>500</v>
      </c>
      <c r="CD380" s="120">
        <v>50</v>
      </c>
      <c r="CE380" s="124">
        <v>20850</v>
      </c>
    </row>
    <row r="381" spans="1:83" hidden="1">
      <c r="A381" s="13">
        <f t="shared" ca="1" si="753"/>
        <v>374</v>
      </c>
      <c r="B381" s="128">
        <v>44747</v>
      </c>
      <c r="C381" s="121" t="s">
        <v>8</v>
      </c>
      <c r="D381" s="121">
        <v>1</v>
      </c>
      <c r="E381" s="120" t="s">
        <v>481</v>
      </c>
      <c r="F381" s="121" t="s">
        <v>502</v>
      </c>
      <c r="G381" s="120">
        <v>16100</v>
      </c>
      <c r="H381" s="122">
        <v>44749</v>
      </c>
      <c r="I381" s="120">
        <v>50</v>
      </c>
      <c r="J381" s="120">
        <v>55.4</v>
      </c>
      <c r="K381" s="120">
        <v>0</v>
      </c>
      <c r="L381" s="124">
        <f t="shared" ref="L381:L382" ca="1" si="1479">IF(AND(K381&lt;&gt;0,I381&lt;&gt;0),(IF(C381="B",1,-1))*(K381-J381)*I381-AK381*2,0)*$D381*IF(MONTH($B$2)=MONTH($H381),1,0)</f>
        <v>0</v>
      </c>
      <c r="M381" s="124">
        <f t="shared" ref="M381:M382" ca="1" si="1480">IF(AND(K381&lt;&gt;0,I381&lt;&gt;0),(IF(C381="B",1,-1))*(K381-J381)*I381-AK381*2,0)*$D381</f>
        <v>0</v>
      </c>
      <c r="N381" s="120">
        <f t="shared" ref="N381:N382" ca="1" si="1481">K381/$J381</f>
        <v>0</v>
      </c>
      <c r="O381" s="164">
        <f t="shared" ref="O381:O382" ca="1" si="1482">J381*(1+$O$6*IF(C381="B",-1,1))</f>
        <v>69.25</v>
      </c>
      <c r="P381" s="168">
        <f t="shared" ca="1" si="754"/>
        <v>2770</v>
      </c>
      <c r="Q381" s="168" t="e">
        <f t="shared" ref="Q381:Q382" ca="1" si="1483">(W381-J381)*I381*IF(C381="B",1,-1)*IF(K381=0,1,0)</f>
        <v>#N/A</v>
      </c>
      <c r="R381" s="184">
        <f t="shared" ca="1" si="1219"/>
        <v>0</v>
      </c>
      <c r="S381" s="124">
        <f t="shared" ref="S381:S382" ca="1" si="1484">(1-$S$6)*J381</f>
        <v>5.5399999999999983</v>
      </c>
      <c r="T381" s="120">
        <f ca="1">VLOOKUP(TRIM($F381),Reference!B:C,2,0)</f>
        <v>15938.65</v>
      </c>
      <c r="U381" s="181">
        <f t="shared" ref="U381:U382" ca="1" si="1485">AC381</f>
        <v>0</v>
      </c>
      <c r="V381" s="125" t="str">
        <f t="shared" ca="1" si="1213"/>
        <v>NIFTY22JUL16100CE</v>
      </c>
      <c r="W381" s="166" t="e">
        <f ca="1">VLOOKUP($V381,Reference!BA:BD,4,0)</f>
        <v>#N/A</v>
      </c>
      <c r="X381" s="168">
        <f t="shared" ca="1" si="1214"/>
        <v>0</v>
      </c>
      <c r="Y381" s="168">
        <f t="shared" ca="1" si="1215"/>
        <v>0</v>
      </c>
      <c r="Z381" s="168">
        <f t="shared" ca="1" si="1220"/>
        <v>0</v>
      </c>
      <c r="AA381" s="168">
        <f t="shared" ca="1" si="1216"/>
        <v>0</v>
      </c>
      <c r="AB381" s="168">
        <f t="shared" ca="1" si="1217"/>
        <v>0</v>
      </c>
      <c r="AC381" s="124">
        <f t="shared" ca="1" si="1218"/>
        <v>0</v>
      </c>
      <c r="AD381" s="120">
        <f t="shared" ref="AD381:AD382" ca="1" si="1486">(H381-TODAY())/365</f>
        <v>-2.1917808219178082E-2</v>
      </c>
      <c r="AE381" s="120">
        <f t="shared" ref="AE381:AE382" ca="1" si="1487">IF(I381&lt;&gt;0,20,0)</f>
        <v>20</v>
      </c>
      <c r="AF381" s="120"/>
      <c r="AG381" s="120"/>
      <c r="AH381" s="120">
        <f t="shared" ca="1" si="755"/>
        <v>1.385</v>
      </c>
      <c r="AI381" s="120"/>
      <c r="AJ381" s="120">
        <f t="shared" ca="1" si="756"/>
        <v>0</v>
      </c>
      <c r="AK381" s="120"/>
      <c r="AL381" s="147"/>
      <c r="AM381" s="160"/>
      <c r="AN381" s="160"/>
      <c r="AO381" s="160"/>
      <c r="AP381" s="160"/>
      <c r="AQ381" s="160"/>
      <c r="AR381" s="160"/>
      <c r="AS381" s="160"/>
      <c r="AT381" s="160"/>
      <c r="AU381" s="160"/>
      <c r="AV381" s="160"/>
      <c r="AW381" s="160"/>
      <c r="AX381" s="160"/>
      <c r="AY381" s="160"/>
      <c r="AZ381" s="160"/>
      <c r="BA381" s="160"/>
      <c r="BB381" s="160"/>
      <c r="BC381" s="160"/>
      <c r="BD381" s="160"/>
      <c r="BE381" s="160"/>
      <c r="BF381" s="160"/>
      <c r="BG381" s="160"/>
      <c r="BS381" s="13">
        <v>2</v>
      </c>
      <c r="BT381" s="128">
        <v>44491</v>
      </c>
      <c r="BU381" s="121" t="s">
        <v>8</v>
      </c>
      <c r="BV381" s="120" t="s">
        <v>482</v>
      </c>
      <c r="BW381" s="121" t="s">
        <v>502</v>
      </c>
      <c r="BX381" s="120">
        <v>18400</v>
      </c>
      <c r="BY381" s="120">
        <v>41.7</v>
      </c>
      <c r="BZ381" s="120">
        <v>47.945</v>
      </c>
      <c r="CA381" s="124">
        <v>-3216.6708800000001</v>
      </c>
      <c r="CB381" s="120">
        <v>1.1497601918465228</v>
      </c>
      <c r="CC381" s="120">
        <v>500</v>
      </c>
      <c r="CD381" s="120">
        <v>50</v>
      </c>
      <c r="CE381" s="124">
        <v>20850</v>
      </c>
    </row>
    <row r="382" spans="1:83" hidden="1">
      <c r="A382" s="13">
        <f t="shared" ca="1" si="753"/>
        <v>375</v>
      </c>
      <c r="B382" s="128">
        <v>44747</v>
      </c>
      <c r="C382" s="121" t="s">
        <v>8</v>
      </c>
      <c r="D382" s="121">
        <v>1</v>
      </c>
      <c r="E382" s="120" t="s">
        <v>481</v>
      </c>
      <c r="F382" s="121" t="s">
        <v>284</v>
      </c>
      <c r="G382" s="120">
        <v>440</v>
      </c>
      <c r="H382" s="122">
        <v>44770</v>
      </c>
      <c r="I382" s="120">
        <v>1425</v>
      </c>
      <c r="J382" s="120">
        <v>7.4</v>
      </c>
      <c r="K382" s="120">
        <v>13.8</v>
      </c>
      <c r="L382" s="124">
        <f t="shared" ca="1" si="1479"/>
        <v>-9120</v>
      </c>
      <c r="M382" s="124">
        <f t="shared" ca="1" si="1480"/>
        <v>-9120</v>
      </c>
      <c r="N382" s="120">
        <f t="shared" ca="1" si="1481"/>
        <v>1.8648648648648649</v>
      </c>
      <c r="O382" s="164">
        <f t="shared" ca="1" si="1482"/>
        <v>9.25</v>
      </c>
      <c r="P382" s="168">
        <f t="shared" ca="1" si="754"/>
        <v>10545</v>
      </c>
      <c r="Q382" s="168" t="e">
        <f t="shared" ca="1" si="1483"/>
        <v>#N/A</v>
      </c>
      <c r="R382" s="184">
        <f t="shared" ca="1" si="1219"/>
        <v>0</v>
      </c>
      <c r="S382" s="124">
        <f t="shared" ca="1" si="1484"/>
        <v>0.73999999999999988</v>
      </c>
      <c r="T382" s="120">
        <f ca="1">VLOOKUP(TRIM($F382),Reference!B:C,2,0)</f>
        <v>428</v>
      </c>
      <c r="U382" s="181">
        <f t="shared" ca="1" si="1485"/>
        <v>0</v>
      </c>
      <c r="V382" s="125" t="str">
        <f t="shared" ca="1" si="1213"/>
        <v>TATAMOTORS22JUL440CE</v>
      </c>
      <c r="W382" s="166" t="e">
        <f ca="1">VLOOKUP($V382,Reference!BA:BD,4,0)</f>
        <v>#N/A</v>
      </c>
      <c r="X382" s="168">
        <f t="shared" ca="1" si="1214"/>
        <v>0</v>
      </c>
      <c r="Y382" s="168">
        <f t="shared" ca="1" si="1215"/>
        <v>0</v>
      </c>
      <c r="Z382" s="168">
        <f t="shared" ca="1" si="1220"/>
        <v>0</v>
      </c>
      <c r="AA382" s="168">
        <f t="shared" ca="1" si="1216"/>
        <v>0</v>
      </c>
      <c r="AB382" s="168">
        <f t="shared" ca="1" si="1217"/>
        <v>0</v>
      </c>
      <c r="AC382" s="124">
        <f t="shared" ca="1" si="1218"/>
        <v>0</v>
      </c>
      <c r="AD382" s="120">
        <f t="shared" ca="1" si="1486"/>
        <v>3.5616438356164383E-2</v>
      </c>
      <c r="AE382" s="120">
        <f t="shared" ca="1" si="1487"/>
        <v>20</v>
      </c>
      <c r="AF382" s="120"/>
      <c r="AG382" s="120"/>
      <c r="AH382" s="120">
        <f t="shared" ca="1" si="755"/>
        <v>5.2725</v>
      </c>
      <c r="AI382" s="120"/>
      <c r="AJ382" s="120">
        <f t="shared" ca="1" si="756"/>
        <v>0</v>
      </c>
      <c r="AK382" s="120"/>
      <c r="AL382" s="147"/>
      <c r="AM382" s="160"/>
      <c r="AN382" s="160"/>
      <c r="AO382" s="160"/>
      <c r="AP382" s="160"/>
      <c r="AQ382" s="160"/>
      <c r="AR382" s="160"/>
      <c r="AS382" s="160"/>
      <c r="AT382" s="160"/>
      <c r="AU382" s="160"/>
      <c r="AV382" s="160"/>
      <c r="AW382" s="160"/>
      <c r="AX382" s="160"/>
      <c r="AY382" s="160"/>
      <c r="AZ382" s="160"/>
      <c r="BA382" s="160"/>
      <c r="BB382" s="160"/>
      <c r="BC382" s="160"/>
      <c r="BD382" s="160"/>
      <c r="BE382" s="160"/>
      <c r="BF382" s="160"/>
      <c r="BG382" s="160"/>
      <c r="BS382" s="13">
        <v>2</v>
      </c>
      <c r="BT382" s="128">
        <v>44491</v>
      </c>
      <c r="BU382" s="121" t="s">
        <v>8</v>
      </c>
      <c r="BV382" s="120" t="s">
        <v>482</v>
      </c>
      <c r="BW382" s="121" t="s">
        <v>502</v>
      </c>
      <c r="BX382" s="120">
        <v>18400</v>
      </c>
      <c r="BY382" s="120">
        <v>41.7</v>
      </c>
      <c r="BZ382" s="120">
        <v>47.945</v>
      </c>
      <c r="CA382" s="124">
        <v>-3216.6708800000001</v>
      </c>
      <c r="CB382" s="120">
        <v>1.1497601918465228</v>
      </c>
      <c r="CC382" s="120">
        <v>500</v>
      </c>
      <c r="CD382" s="120">
        <v>50</v>
      </c>
      <c r="CE382" s="124">
        <v>20850</v>
      </c>
    </row>
    <row r="383" spans="1:83" hidden="1">
      <c r="A383" s="13">
        <f t="shared" ca="1" si="753"/>
        <v>376</v>
      </c>
      <c r="B383" s="128">
        <v>44747</v>
      </c>
      <c r="C383" s="121" t="s">
        <v>8</v>
      </c>
      <c r="D383" s="121">
        <v>1</v>
      </c>
      <c r="E383" s="120" t="s">
        <v>481</v>
      </c>
      <c r="F383" s="121" t="s">
        <v>284</v>
      </c>
      <c r="G383" s="120">
        <v>450</v>
      </c>
      <c r="H383" s="122">
        <v>44770</v>
      </c>
      <c r="I383" s="120">
        <v>1425</v>
      </c>
      <c r="J383" s="120">
        <v>5.15</v>
      </c>
      <c r="K383" s="120">
        <v>9.75</v>
      </c>
      <c r="L383" s="124">
        <f t="shared" ref="L383:L384" ca="1" si="1488">IF(AND(K383&lt;&gt;0,I383&lt;&gt;0),(IF(C383="B",1,-1))*(K383-J383)*I383-AK383*2,0)*$D383*IF(MONTH($B$2)=MONTH($H383),1,0)</f>
        <v>-6554.9999999999991</v>
      </c>
      <c r="M383" s="124">
        <f t="shared" ref="M383:M384" ca="1" si="1489">IF(AND(K383&lt;&gt;0,I383&lt;&gt;0),(IF(C383="B",1,-1))*(K383-J383)*I383-AK383*2,0)*$D383</f>
        <v>-6554.9999999999991</v>
      </c>
      <c r="N383" s="120">
        <f t="shared" ref="N383:N384" ca="1" si="1490">K383/$J383</f>
        <v>1.8932038834951455</v>
      </c>
      <c r="O383" s="164">
        <f t="shared" ref="O383:O384" ca="1" si="1491">J383*(1+$O$6*IF(C383="B",-1,1))</f>
        <v>6.4375</v>
      </c>
      <c r="P383" s="168">
        <f t="shared" ca="1" si="754"/>
        <v>7338.7500000000009</v>
      </c>
      <c r="Q383" s="168">
        <f t="shared" ref="Q383:Q384" ca="1" si="1492">(W383-J383)*I383*IF(C383="B",1,-1)*IF(K383=0,1,0)</f>
        <v>0</v>
      </c>
      <c r="R383" s="184">
        <f t="shared" ca="1" si="1219"/>
        <v>0</v>
      </c>
      <c r="S383" s="124">
        <f t="shared" ref="S383:S384" ca="1" si="1493">(1-$S$6)*J383</f>
        <v>0.5149999999999999</v>
      </c>
      <c r="T383" s="120">
        <f ca="1">VLOOKUP(TRIM($F383),Reference!B:C,2,0)</f>
        <v>428</v>
      </c>
      <c r="U383" s="181">
        <f t="shared" ref="U383:U384" ca="1" si="1494">AC383</f>
        <v>0</v>
      </c>
      <c r="V383" s="125" t="str">
        <f t="shared" ca="1" si="1213"/>
        <v>TATAMOTORS22JUL450CE</v>
      </c>
      <c r="W383" s="166">
        <f ca="1">VLOOKUP($V383,Reference!BA:BD,4,0)</f>
        <v>4.75</v>
      </c>
      <c r="X383" s="168">
        <f t="shared" ca="1" si="1214"/>
        <v>0</v>
      </c>
      <c r="Y383" s="168">
        <f t="shared" ca="1" si="1215"/>
        <v>0</v>
      </c>
      <c r="Z383" s="168">
        <f t="shared" ca="1" si="1220"/>
        <v>0</v>
      </c>
      <c r="AA383" s="168">
        <f t="shared" ca="1" si="1216"/>
        <v>0</v>
      </c>
      <c r="AB383" s="168">
        <f t="shared" ca="1" si="1217"/>
        <v>0</v>
      </c>
      <c r="AC383" s="124">
        <f t="shared" ca="1" si="1218"/>
        <v>0</v>
      </c>
      <c r="AD383" s="120">
        <f t="shared" ref="AD383:AD384" ca="1" si="1495">(H383-TODAY())/365</f>
        <v>3.5616438356164383E-2</v>
      </c>
      <c r="AE383" s="120">
        <f t="shared" ref="AE383:AE384" ca="1" si="1496">IF(I383&lt;&gt;0,20,0)</f>
        <v>20</v>
      </c>
      <c r="AF383" s="120"/>
      <c r="AG383" s="120"/>
      <c r="AH383" s="120">
        <f t="shared" ca="1" si="755"/>
        <v>3.6693750000000005</v>
      </c>
      <c r="AI383" s="120"/>
      <c r="AJ383" s="120">
        <f t="shared" ca="1" si="756"/>
        <v>0</v>
      </c>
      <c r="AK383" s="120"/>
      <c r="AL383" s="147"/>
      <c r="AM383" s="160"/>
      <c r="AN383" s="160"/>
      <c r="AO383" s="160"/>
      <c r="AP383" s="160"/>
      <c r="AQ383" s="160"/>
      <c r="AR383" s="160"/>
      <c r="AS383" s="160"/>
      <c r="AT383" s="160"/>
      <c r="AU383" s="160"/>
      <c r="AV383" s="160"/>
      <c r="AW383" s="160"/>
      <c r="AX383" s="160"/>
      <c r="AY383" s="160"/>
      <c r="AZ383" s="160"/>
      <c r="BA383" s="160"/>
      <c r="BB383" s="160"/>
      <c r="BC383" s="160"/>
      <c r="BD383" s="160"/>
      <c r="BE383" s="160"/>
      <c r="BF383" s="160"/>
      <c r="BG383" s="160"/>
      <c r="BS383" s="13">
        <v>2</v>
      </c>
      <c r="BT383" s="128">
        <v>44491</v>
      </c>
      <c r="BU383" s="121" t="s">
        <v>8</v>
      </c>
      <c r="BV383" s="120" t="s">
        <v>482</v>
      </c>
      <c r="BW383" s="121" t="s">
        <v>502</v>
      </c>
      <c r="BX383" s="120">
        <v>18400</v>
      </c>
      <c r="BY383" s="120">
        <v>41.7</v>
      </c>
      <c r="BZ383" s="120">
        <v>47.945</v>
      </c>
      <c r="CA383" s="124">
        <v>-3216.6708800000001</v>
      </c>
      <c r="CB383" s="120">
        <v>1.1497601918465228</v>
      </c>
      <c r="CC383" s="120">
        <v>500</v>
      </c>
      <c r="CD383" s="120">
        <v>50</v>
      </c>
      <c r="CE383" s="124">
        <v>20850</v>
      </c>
    </row>
    <row r="384" spans="1:83">
      <c r="A384" s="13">
        <f t="shared" ca="1" si="753"/>
        <v>377</v>
      </c>
      <c r="B384" s="128">
        <v>44747</v>
      </c>
      <c r="C384" s="121" t="s">
        <v>6</v>
      </c>
      <c r="D384" s="121">
        <v>1</v>
      </c>
      <c r="E384" s="120" t="s">
        <v>482</v>
      </c>
      <c r="F384" s="121" t="s">
        <v>104</v>
      </c>
      <c r="G384" s="120">
        <v>2360</v>
      </c>
      <c r="H384" s="122">
        <v>44770</v>
      </c>
      <c r="I384" s="120">
        <v>300</v>
      </c>
      <c r="J384" s="120">
        <v>46.05</v>
      </c>
      <c r="K384" s="120">
        <v>13.4</v>
      </c>
      <c r="L384" s="124">
        <f t="shared" ca="1" si="1488"/>
        <v>-9795</v>
      </c>
      <c r="M384" s="124">
        <f t="shared" ca="1" si="1489"/>
        <v>-9795</v>
      </c>
      <c r="N384" s="120">
        <f t="shared" ca="1" si="1490"/>
        <v>0.29098805646036918</v>
      </c>
      <c r="O384" s="164">
        <f t="shared" ca="1" si="1491"/>
        <v>34.537499999999994</v>
      </c>
      <c r="P384" s="168">
        <f t="shared" ca="1" si="754"/>
        <v>13815</v>
      </c>
      <c r="Q384" s="168" t="e">
        <f t="shared" ca="1" si="1492"/>
        <v>#N/A</v>
      </c>
      <c r="R384" s="184">
        <f t="shared" ca="1" si="1219"/>
        <v>0</v>
      </c>
      <c r="S384" s="124">
        <f t="shared" ca="1" si="1493"/>
        <v>4.6049999999999986</v>
      </c>
      <c r="T384" s="120">
        <f ca="1">VLOOKUP(TRIM($F384),Reference!B:C,2,0)</f>
        <v>2495.85</v>
      </c>
      <c r="U384" s="181">
        <f t="shared" ca="1" si="1494"/>
        <v>0</v>
      </c>
      <c r="V384" s="125" t="str">
        <f t="shared" ca="1" si="1213"/>
        <v>HINDUNILVR22JUL2360PE</v>
      </c>
      <c r="W384" s="166" t="e">
        <f ca="1">VLOOKUP($V384,Reference!BA:BD,4,0)</f>
        <v>#N/A</v>
      </c>
      <c r="X384" s="168">
        <f t="shared" ca="1" si="1214"/>
        <v>0</v>
      </c>
      <c r="Y384" s="168">
        <f t="shared" ca="1" si="1215"/>
        <v>0</v>
      </c>
      <c r="Z384" s="168">
        <f t="shared" ca="1" si="1220"/>
        <v>0</v>
      </c>
      <c r="AA384" s="168">
        <f t="shared" ca="1" si="1216"/>
        <v>0</v>
      </c>
      <c r="AB384" s="168">
        <f t="shared" ca="1" si="1217"/>
        <v>0</v>
      </c>
      <c r="AC384" s="124">
        <f t="shared" ca="1" si="1218"/>
        <v>0</v>
      </c>
      <c r="AD384" s="120">
        <f t="shared" ca="1" si="1495"/>
        <v>3.5616438356164383E-2</v>
      </c>
      <c r="AE384" s="120">
        <f t="shared" ca="1" si="1496"/>
        <v>20</v>
      </c>
      <c r="AF384" s="120"/>
      <c r="AG384" s="120"/>
      <c r="AH384" s="120">
        <f t="shared" ca="1" si="755"/>
        <v>0</v>
      </c>
      <c r="AI384" s="120"/>
      <c r="AJ384" s="120">
        <f t="shared" ca="1" si="756"/>
        <v>0.41444999999999999</v>
      </c>
      <c r="AK384" s="120"/>
      <c r="AL384" s="147"/>
      <c r="AM384" s="160"/>
      <c r="AN384" s="160"/>
      <c r="AO384" s="160"/>
      <c r="AP384" s="160"/>
      <c r="AQ384" s="160"/>
      <c r="AR384" s="160"/>
      <c r="AS384" s="160"/>
      <c r="AT384" s="160"/>
      <c r="AU384" s="160"/>
      <c r="AV384" s="160"/>
      <c r="AW384" s="160"/>
      <c r="AX384" s="160"/>
      <c r="AY384" s="160"/>
      <c r="AZ384" s="160"/>
      <c r="BA384" s="160"/>
      <c r="BB384" s="160"/>
      <c r="BC384" s="160"/>
      <c r="BD384" s="160"/>
      <c r="BE384" s="160"/>
      <c r="BF384" s="160"/>
      <c r="BG384" s="160"/>
      <c r="BS384" s="13">
        <v>2</v>
      </c>
      <c r="BT384" s="128">
        <v>44491</v>
      </c>
      <c r="BU384" s="121" t="s">
        <v>8</v>
      </c>
      <c r="BV384" s="120" t="s">
        <v>482</v>
      </c>
      <c r="BW384" s="121" t="s">
        <v>502</v>
      </c>
      <c r="BX384" s="120">
        <v>18400</v>
      </c>
      <c r="BY384" s="120">
        <v>41.7</v>
      </c>
      <c r="BZ384" s="120">
        <v>47.945</v>
      </c>
      <c r="CA384" s="124">
        <v>-3216.6708800000001</v>
      </c>
      <c r="CB384" s="120">
        <v>1.1497601918465228</v>
      </c>
      <c r="CC384" s="120">
        <v>500</v>
      </c>
      <c r="CD384" s="120">
        <v>50</v>
      </c>
      <c r="CE384" s="124">
        <v>20850</v>
      </c>
    </row>
    <row r="385" spans="1:83" hidden="1">
      <c r="A385" s="13">
        <f t="shared" ca="1" si="753"/>
        <v>378</v>
      </c>
      <c r="B385" s="128">
        <v>44747</v>
      </c>
      <c r="C385" s="121" t="s">
        <v>6</v>
      </c>
      <c r="D385" s="121">
        <v>1</v>
      </c>
      <c r="E385" s="120" t="s">
        <v>482</v>
      </c>
      <c r="F385" s="121" t="s">
        <v>284</v>
      </c>
      <c r="G385" s="120">
        <v>410</v>
      </c>
      <c r="H385" s="122">
        <v>44770</v>
      </c>
      <c r="I385" s="120">
        <v>1425</v>
      </c>
      <c r="J385" s="120">
        <v>12.95</v>
      </c>
      <c r="K385" s="120">
        <v>0</v>
      </c>
      <c r="L385" s="124">
        <f t="shared" ref="L385:L387" ca="1" si="1497">IF(AND(K385&lt;&gt;0,I385&lt;&gt;0),(IF(C385="B",1,-1))*(K385-J385)*I385-AK385*2,0)*$D385*IF(MONTH($B$2)=MONTH($H385),1,0)</f>
        <v>0</v>
      </c>
      <c r="M385" s="124">
        <f t="shared" ref="M385:M387" ca="1" si="1498">IF(AND(K385&lt;&gt;0,I385&lt;&gt;0),(IF(C385="B",1,-1))*(K385-J385)*I385-AK385*2,0)*$D385</f>
        <v>0</v>
      </c>
      <c r="N385" s="120">
        <f t="shared" ref="N385:N387" ca="1" si="1499">K385/$J385</f>
        <v>0</v>
      </c>
      <c r="O385" s="164">
        <f t="shared" ref="O385:O387" ca="1" si="1500">J385*(1+$O$6*IF(C385="B",-1,1))</f>
        <v>9.7124999999999986</v>
      </c>
      <c r="P385" s="168">
        <f t="shared" ca="1" si="754"/>
        <v>18453.75</v>
      </c>
      <c r="Q385" s="168" t="e">
        <f t="shared" ref="Q385:Q387" ca="1" si="1501">(W385-J385)*I385*IF(C385="B",1,-1)*IF(K385=0,1,0)</f>
        <v>#N/A</v>
      </c>
      <c r="R385" s="184" t="e">
        <f t="shared" ca="1" si="1219"/>
        <v>#VALUE!</v>
      </c>
      <c r="S385" s="124">
        <f t="shared" ref="S385:S387" ca="1" si="1502">(1-$S$6)*J385</f>
        <v>1.2949999999999997</v>
      </c>
      <c r="T385" s="120">
        <f ca="1">VLOOKUP(TRIM($F385),Reference!B:C,2,0)</f>
        <v>428</v>
      </c>
      <c r="U385" s="181" t="e">
        <f t="shared" ref="U385:U387" ca="1" si="1503">AC385</f>
        <v>#VALUE!</v>
      </c>
      <c r="V385" s="125" t="str">
        <f t="shared" ca="1" si="1213"/>
        <v>TATAMOTORS22JUL410PE</v>
      </c>
      <c r="W385" s="166" t="e">
        <f ca="1">VLOOKUP($V385,Reference!BA:BD,4,0)</f>
        <v>#N/A</v>
      </c>
      <c r="X385" s="168" t="e">
        <f t="shared" ca="1" si="1214"/>
        <v>#VALUE!</v>
      </c>
      <c r="Y385" s="168" t="e">
        <f t="shared" ca="1" si="1215"/>
        <v>#VALUE!</v>
      </c>
      <c r="Z385" s="168" t="e">
        <f t="shared" ca="1" si="1220"/>
        <v>#VALUE!</v>
      </c>
      <c r="AA385" s="168" t="e">
        <f t="shared" ca="1" si="1216"/>
        <v>#VALUE!</v>
      </c>
      <c r="AB385" s="168" t="e">
        <f t="shared" ca="1" si="1217"/>
        <v>#VALUE!</v>
      </c>
      <c r="AC385" s="124" t="e">
        <f t="shared" ca="1" si="1218"/>
        <v>#VALUE!</v>
      </c>
      <c r="AD385" s="120">
        <f t="shared" ref="AD385:AD387" ca="1" si="1504">(H385-TODAY())/365</f>
        <v>3.5616438356164383E-2</v>
      </c>
      <c r="AE385" s="120">
        <f t="shared" ref="AE385:AE387" ca="1" si="1505">IF(I385&lt;&gt;0,20,0)</f>
        <v>20</v>
      </c>
      <c r="AF385" s="120"/>
      <c r="AG385" s="120"/>
      <c r="AH385" s="120">
        <f t="shared" ca="1" si="755"/>
        <v>0</v>
      </c>
      <c r="AI385" s="120"/>
      <c r="AJ385" s="120">
        <f t="shared" ca="1" si="756"/>
        <v>0.55361250000000006</v>
      </c>
      <c r="AK385" s="120"/>
      <c r="AL385" s="147"/>
      <c r="AM385" s="160"/>
      <c r="AN385" s="160"/>
      <c r="AO385" s="160"/>
      <c r="AP385" s="160"/>
      <c r="AQ385" s="160"/>
      <c r="AR385" s="160"/>
      <c r="AS385" s="160"/>
      <c r="AT385" s="160"/>
      <c r="AU385" s="160"/>
      <c r="AV385" s="160"/>
      <c r="AW385" s="160"/>
      <c r="AX385" s="160"/>
      <c r="AY385" s="160"/>
      <c r="AZ385" s="160"/>
      <c r="BA385" s="160"/>
      <c r="BB385" s="160"/>
      <c r="BC385" s="160"/>
      <c r="BD385" s="160"/>
      <c r="BE385" s="160"/>
      <c r="BF385" s="160"/>
      <c r="BG385" s="160"/>
      <c r="BS385" s="13">
        <v>2</v>
      </c>
      <c r="BT385" s="128">
        <v>44491</v>
      </c>
      <c r="BU385" s="121" t="s">
        <v>8</v>
      </c>
      <c r="BV385" s="120" t="s">
        <v>482</v>
      </c>
      <c r="BW385" s="121" t="s">
        <v>502</v>
      </c>
      <c r="BX385" s="120">
        <v>18400</v>
      </c>
      <c r="BY385" s="120">
        <v>41.7</v>
      </c>
      <c r="BZ385" s="120">
        <v>47.945</v>
      </c>
      <c r="CA385" s="124">
        <v>-3216.6708800000001</v>
      </c>
      <c r="CB385" s="120">
        <v>1.1497601918465228</v>
      </c>
      <c r="CC385" s="120">
        <v>500</v>
      </c>
      <c r="CD385" s="120">
        <v>50</v>
      </c>
      <c r="CE385" s="124">
        <v>20850</v>
      </c>
    </row>
    <row r="386" spans="1:83">
      <c r="A386" s="13">
        <f t="shared" ca="1" si="753"/>
        <v>379</v>
      </c>
      <c r="B386" s="128">
        <v>44747</v>
      </c>
      <c r="C386" s="121" t="s">
        <v>8</v>
      </c>
      <c r="D386" s="121">
        <v>1</v>
      </c>
      <c r="E386" s="120" t="s">
        <v>481</v>
      </c>
      <c r="F386" s="121" t="s">
        <v>104</v>
      </c>
      <c r="G386" s="120">
        <v>2480</v>
      </c>
      <c r="H386" s="122">
        <v>44770</v>
      </c>
      <c r="I386" s="120">
        <v>300</v>
      </c>
      <c r="J386" s="120">
        <v>23.65</v>
      </c>
      <c r="K386" s="120">
        <v>0</v>
      </c>
      <c r="L386" s="124">
        <f t="shared" ca="1" si="1497"/>
        <v>0</v>
      </c>
      <c r="M386" s="124">
        <f t="shared" ca="1" si="1498"/>
        <v>0</v>
      </c>
      <c r="N386" s="120">
        <f t="shared" ca="1" si="1499"/>
        <v>0</v>
      </c>
      <c r="O386" s="164">
        <f t="shared" ca="1" si="1500"/>
        <v>29.5625</v>
      </c>
      <c r="P386" s="168">
        <f t="shared" ca="1" si="754"/>
        <v>7095</v>
      </c>
      <c r="Q386" s="168">
        <f t="shared" ca="1" si="1501"/>
        <v>-12075</v>
      </c>
      <c r="R386" s="184">
        <f t="shared" ca="1" si="1219"/>
        <v>-424941.13053233107</v>
      </c>
      <c r="S386" s="124">
        <f t="shared" ca="1" si="1502"/>
        <v>2.3649999999999993</v>
      </c>
      <c r="T386" s="120">
        <f ca="1">VLOOKUP(TRIM($F386),Reference!B:C,2,0)</f>
        <v>2495.85</v>
      </c>
      <c r="U386" s="181">
        <f t="shared" ca="1" si="1503"/>
        <v>0.28715184069452715</v>
      </c>
      <c r="V386" s="125" t="str">
        <f t="shared" ca="1" si="1213"/>
        <v>HINDUNILVR22JUL2480CE</v>
      </c>
      <c r="W386" s="166">
        <f ca="1">VLOOKUP($V386,Reference!BA:BD,4,0)</f>
        <v>63.9</v>
      </c>
      <c r="X386" s="168">
        <f t="shared" ca="1" si="1214"/>
        <v>-19169.999999999891</v>
      </c>
      <c r="Y386" s="168">
        <f t="shared" ca="1" si="1215"/>
        <v>0.5675302742984436</v>
      </c>
      <c r="Z386" s="168">
        <f t="shared" ca="1" si="1220"/>
        <v>-170.25908228953307</v>
      </c>
      <c r="AA386" s="168">
        <f t="shared" ca="1" si="1216"/>
        <v>558.10299015977648</v>
      </c>
      <c r="AB386" s="168">
        <f t="shared" ca="1" si="1217"/>
        <v>0</v>
      </c>
      <c r="AC386" s="124">
        <f t="shared" ca="1" si="1218"/>
        <v>0.28715184069452715</v>
      </c>
      <c r="AD386" s="120">
        <f t="shared" ca="1" si="1504"/>
        <v>3.5616438356164383E-2</v>
      </c>
      <c r="AE386" s="120">
        <f t="shared" ca="1" si="1505"/>
        <v>20</v>
      </c>
      <c r="AF386" s="120"/>
      <c r="AG386" s="120"/>
      <c r="AH386" s="120">
        <f t="shared" ca="1" si="755"/>
        <v>3.5474999999999999</v>
      </c>
      <c r="AI386" s="120"/>
      <c r="AJ386" s="120">
        <f t="shared" ca="1" si="756"/>
        <v>0</v>
      </c>
      <c r="AK386" s="120"/>
      <c r="AL386" s="147"/>
      <c r="AM386" s="160"/>
      <c r="AN386" s="160"/>
      <c r="AO386" s="160"/>
      <c r="AP386" s="160"/>
      <c r="AQ386" s="160"/>
      <c r="AR386" s="160"/>
      <c r="AS386" s="160"/>
      <c r="AT386" s="160"/>
      <c r="AU386" s="160"/>
      <c r="AV386" s="160"/>
      <c r="AW386" s="160"/>
      <c r="AX386" s="160"/>
      <c r="AY386" s="160"/>
      <c r="AZ386" s="160"/>
      <c r="BA386" s="160"/>
      <c r="BB386" s="160"/>
      <c r="BC386" s="160"/>
      <c r="BD386" s="160"/>
      <c r="BE386" s="160"/>
      <c r="BF386" s="160"/>
      <c r="BG386" s="160"/>
      <c r="BS386" s="13">
        <v>2</v>
      </c>
      <c r="BT386" s="128">
        <v>44491</v>
      </c>
      <c r="BU386" s="121" t="s">
        <v>8</v>
      </c>
      <c r="BV386" s="120" t="s">
        <v>482</v>
      </c>
      <c r="BW386" s="121" t="s">
        <v>502</v>
      </c>
      <c r="BX386" s="120">
        <v>18400</v>
      </c>
      <c r="BY386" s="120">
        <v>41.7</v>
      </c>
      <c r="BZ386" s="120">
        <v>47.945</v>
      </c>
      <c r="CA386" s="124">
        <v>-3216.6708800000001</v>
      </c>
      <c r="CB386" s="120">
        <v>1.1497601918465228</v>
      </c>
      <c r="CC386" s="120">
        <v>500</v>
      </c>
      <c r="CD386" s="120">
        <v>50</v>
      </c>
      <c r="CE386" s="124">
        <v>20850</v>
      </c>
    </row>
    <row r="387" spans="1:83">
      <c r="A387" s="13">
        <f t="shared" ca="1" si="753"/>
        <v>380</v>
      </c>
      <c r="B387" s="128">
        <v>44747</v>
      </c>
      <c r="C387" s="121" t="s">
        <v>6</v>
      </c>
      <c r="D387" s="121">
        <v>1</v>
      </c>
      <c r="E387" s="120" t="s">
        <v>632</v>
      </c>
      <c r="F387" s="121" t="s">
        <v>104</v>
      </c>
      <c r="G387" s="120" t="s">
        <v>568</v>
      </c>
      <c r="H387" s="122">
        <v>44798</v>
      </c>
      <c r="I387" s="120">
        <v>300</v>
      </c>
      <c r="J387" s="120">
        <v>2401.6</v>
      </c>
      <c r="K387" s="120">
        <v>2560</v>
      </c>
      <c r="L387" s="124">
        <f ca="1">IF(AND(K387&lt;&gt;0,I387&lt;&gt;0),(IF(C387="B",1,-1))*(K387-J387)*I387-AK387*2,0)*$D387*IF(MONTH($B$2)=MONTH($H387),1,0)</f>
        <v>0</v>
      </c>
      <c r="M387" s="124">
        <f t="shared" ca="1" si="1498"/>
        <v>47520.000000000029</v>
      </c>
      <c r="N387" s="120">
        <f t="shared" ca="1" si="1499"/>
        <v>1.0659560293137909</v>
      </c>
      <c r="O387" s="164">
        <f t="shared" ca="1" si="1500"/>
        <v>1801.1999999999998</v>
      </c>
      <c r="P387" s="168">
        <f t="shared" ca="1" si="754"/>
        <v>720480</v>
      </c>
      <c r="Q387" s="168">
        <f t="shared" ca="1" si="1501"/>
        <v>0</v>
      </c>
      <c r="R387" s="184">
        <f t="shared" ca="1" si="1219"/>
        <v>0</v>
      </c>
      <c r="S387" s="124">
        <f t="shared" ca="1" si="1502"/>
        <v>240.15999999999994</v>
      </c>
      <c r="T387" s="120">
        <f ca="1">VLOOKUP(TRIM($F387),Reference!B:C,2,0)</f>
        <v>2495.85</v>
      </c>
      <c r="U387" s="181">
        <f t="shared" ca="1" si="1503"/>
        <v>0</v>
      </c>
      <c r="V387" s="125" t="str">
        <f t="shared" ca="1" si="1213"/>
        <v>HINDUNILVR22AUGFUT</v>
      </c>
      <c r="W387" s="166">
        <f ca="1">VLOOKUP($V387,Reference!BA:BD,4,0)</f>
        <v>2510.85</v>
      </c>
      <c r="X387" s="168">
        <f t="shared" ca="1" si="1214"/>
        <v>0</v>
      </c>
      <c r="Y387" s="168">
        <f t="shared" ca="1" si="1215"/>
        <v>0</v>
      </c>
      <c r="Z387" s="168">
        <f t="shared" ca="1" si="1220"/>
        <v>0</v>
      </c>
      <c r="AA387" s="168">
        <f t="shared" ca="1" si="1216"/>
        <v>0</v>
      </c>
      <c r="AB387" s="168">
        <f t="shared" ca="1" si="1217"/>
        <v>0</v>
      </c>
      <c r="AC387" s="124">
        <f t="shared" ca="1" si="1218"/>
        <v>0</v>
      </c>
      <c r="AD387" s="120">
        <f t="shared" ca="1" si="1504"/>
        <v>0.11232876712328767</v>
      </c>
      <c r="AE387" s="120">
        <f t="shared" ca="1" si="1505"/>
        <v>20</v>
      </c>
      <c r="AF387" s="120"/>
      <c r="AG387" s="120"/>
      <c r="AH387" s="120">
        <f t="shared" ca="1" si="755"/>
        <v>0</v>
      </c>
      <c r="AI387" s="120"/>
      <c r="AJ387" s="120">
        <f t="shared" ca="1" si="756"/>
        <v>21.6144</v>
      </c>
      <c r="AK387" s="120"/>
      <c r="AL387" s="147"/>
      <c r="AM387" s="160"/>
      <c r="AN387" s="160"/>
      <c r="AO387" s="160"/>
      <c r="AP387" s="160"/>
      <c r="AQ387" s="160"/>
      <c r="AR387" s="160"/>
      <c r="AS387" s="160"/>
      <c r="AT387" s="160"/>
      <c r="AU387" s="160"/>
      <c r="AV387" s="160"/>
      <c r="AW387" s="160"/>
      <c r="AX387" s="160"/>
      <c r="AY387" s="160"/>
      <c r="AZ387" s="160"/>
      <c r="BA387" s="160"/>
      <c r="BB387" s="160"/>
      <c r="BC387" s="160"/>
      <c r="BD387" s="160"/>
      <c r="BE387" s="160"/>
      <c r="BF387" s="160"/>
      <c r="BG387" s="160"/>
      <c r="BS387" s="13">
        <v>2</v>
      </c>
      <c r="BT387" s="128">
        <v>44491</v>
      </c>
      <c r="BU387" s="121" t="s">
        <v>8</v>
      </c>
      <c r="BV387" s="120" t="s">
        <v>482</v>
      </c>
      <c r="BW387" s="121" t="s">
        <v>502</v>
      </c>
      <c r="BX387" s="120">
        <v>18400</v>
      </c>
      <c r="BY387" s="120">
        <v>41.7</v>
      </c>
      <c r="BZ387" s="120">
        <v>47.945</v>
      </c>
      <c r="CA387" s="124">
        <v>-3216.6708800000001</v>
      </c>
      <c r="CB387" s="120">
        <v>1.1497601918465228</v>
      </c>
      <c r="CC387" s="120">
        <v>500</v>
      </c>
      <c r="CD387" s="120">
        <v>50</v>
      </c>
      <c r="CE387" s="124">
        <v>20850</v>
      </c>
    </row>
    <row r="388" spans="1:83" hidden="1">
      <c r="A388" s="13">
        <f t="shared" ca="1" si="753"/>
        <v>381</v>
      </c>
      <c r="B388" s="128">
        <v>44747</v>
      </c>
      <c r="C388" s="121" t="s">
        <v>8</v>
      </c>
      <c r="D388" s="121">
        <v>1</v>
      </c>
      <c r="E388" s="120" t="s">
        <v>481</v>
      </c>
      <c r="F388" s="121" t="s">
        <v>126</v>
      </c>
      <c r="G388" s="120">
        <v>175</v>
      </c>
      <c r="H388" s="122">
        <v>44770</v>
      </c>
      <c r="I388" s="120">
        <v>3750</v>
      </c>
      <c r="J388" s="120">
        <v>2.4500000000000002</v>
      </c>
      <c r="K388" s="120">
        <v>0</v>
      </c>
      <c r="L388" s="124">
        <f t="shared" ref="L388:L389" ca="1" si="1506">IF(AND(K388&lt;&gt;0,I388&lt;&gt;0),(IF(C388="B",1,-1))*(K388-J388)*I388-AK388*2,0)*$D388*IF(MONTH($B$2)=MONTH($H388),1,0)</f>
        <v>0</v>
      </c>
      <c r="M388" s="124">
        <f t="shared" ref="M388:M389" ca="1" si="1507">IF(AND(K388&lt;&gt;0,I388&lt;&gt;0),(IF(C388="B",1,-1))*(K388-J388)*I388-AK388*2,0)*$D388</f>
        <v>0</v>
      </c>
      <c r="N388" s="120">
        <f t="shared" ref="N388:N389" ca="1" si="1508">K388/$J388</f>
        <v>0</v>
      </c>
      <c r="O388" s="164">
        <f t="shared" ref="O388:O389" ca="1" si="1509">J388*(1+$O$6*IF(C388="B",-1,1))</f>
        <v>3.0625</v>
      </c>
      <c r="P388" s="168">
        <f t="shared" ca="1" si="754"/>
        <v>9187.5</v>
      </c>
      <c r="Q388" s="168">
        <f t="shared" ref="Q388:Q389" ca="1" si="1510">(W388-J388)*I388*IF(C388="B",1,-1)*IF(K388=0,1,0)</f>
        <v>2062.5000000000009</v>
      </c>
      <c r="R388" s="184">
        <f t="shared" ca="1" si="1219"/>
        <v>-137483.91728704949</v>
      </c>
      <c r="S388" s="124">
        <f t="shared" ref="S388:S389" ca="1" si="1511">(1-$S$6)*J388</f>
        <v>0.24499999999999997</v>
      </c>
      <c r="T388" s="120">
        <f ca="1">VLOOKUP(TRIM($F388),Reference!B:C,2,0)</f>
        <v>162.15</v>
      </c>
      <c r="U388" s="181">
        <f t="shared" ref="U388:U389" ca="1" si="1512">AC388</f>
        <v>0.49685318471703571</v>
      </c>
      <c r="V388" s="125" t="str">
        <f t="shared" ca="1" si="1213"/>
        <v>IEX22JUL175CE</v>
      </c>
      <c r="W388" s="166">
        <f ca="1">VLOOKUP($V388,Reference!BA:BD,4,0)</f>
        <v>1.9</v>
      </c>
      <c r="X388" s="168">
        <f t="shared" ca="1" si="1214"/>
        <v>-7124.9999999999682</v>
      </c>
      <c r="Y388" s="168">
        <f t="shared" ca="1" si="1215"/>
        <v>0.2261016216047684</v>
      </c>
      <c r="Z388" s="168">
        <f t="shared" ca="1" si="1220"/>
        <v>-847.88108101788157</v>
      </c>
      <c r="AA388" s="168">
        <f t="shared" ca="1" si="1216"/>
        <v>641.66302874203427</v>
      </c>
      <c r="AB388" s="168">
        <f t="shared" ca="1" si="1217"/>
        <v>0</v>
      </c>
      <c r="AC388" s="124">
        <f t="shared" ca="1" si="1218"/>
        <v>0.49685318471703571</v>
      </c>
      <c r="AD388" s="120">
        <f t="shared" ref="AD388:AD389" ca="1" si="1513">(H388-TODAY())/365</f>
        <v>3.5616438356164383E-2</v>
      </c>
      <c r="AE388" s="120">
        <f t="shared" ref="AE388:AE389" ca="1" si="1514">IF(I388&lt;&gt;0,20,0)</f>
        <v>20</v>
      </c>
      <c r="AF388" s="120"/>
      <c r="AG388" s="120"/>
      <c r="AH388" s="120">
        <f t="shared" ca="1" si="755"/>
        <v>4.59375</v>
      </c>
      <c r="AI388" s="120"/>
      <c r="AJ388" s="120">
        <f t="shared" ca="1" si="756"/>
        <v>0</v>
      </c>
      <c r="AK388" s="120"/>
      <c r="AL388" s="147"/>
      <c r="AM388" s="160"/>
      <c r="AN388" s="160"/>
      <c r="AO388" s="160"/>
      <c r="AP388" s="160"/>
      <c r="AQ388" s="160"/>
      <c r="AR388" s="160"/>
      <c r="AS388" s="160"/>
      <c r="AT388" s="160"/>
      <c r="AU388" s="160"/>
      <c r="AV388" s="160"/>
      <c r="AW388" s="160"/>
      <c r="AX388" s="160"/>
      <c r="AY388" s="160"/>
      <c r="AZ388" s="160"/>
      <c r="BA388" s="160"/>
      <c r="BB388" s="160"/>
      <c r="BC388" s="160"/>
      <c r="BD388" s="160"/>
      <c r="BE388" s="160"/>
      <c r="BF388" s="160"/>
      <c r="BG388" s="160"/>
      <c r="BS388" s="13">
        <v>2</v>
      </c>
      <c r="BT388" s="128">
        <v>44491</v>
      </c>
      <c r="BU388" s="121" t="s">
        <v>8</v>
      </c>
      <c r="BV388" s="120" t="s">
        <v>482</v>
      </c>
      <c r="BW388" s="121" t="s">
        <v>502</v>
      </c>
      <c r="BX388" s="120">
        <v>18400</v>
      </c>
      <c r="BY388" s="120">
        <v>41.7</v>
      </c>
      <c r="BZ388" s="120">
        <v>47.945</v>
      </c>
      <c r="CA388" s="124">
        <v>-3216.6708800000001</v>
      </c>
      <c r="CB388" s="120">
        <v>1.1497601918465228</v>
      </c>
      <c r="CC388" s="120">
        <v>500</v>
      </c>
      <c r="CD388" s="120">
        <v>50</v>
      </c>
      <c r="CE388" s="124">
        <v>20850</v>
      </c>
    </row>
    <row r="389" spans="1:83" hidden="1">
      <c r="A389" s="13">
        <f t="shared" ca="1" si="753"/>
        <v>382</v>
      </c>
      <c r="B389" s="128">
        <v>44747</v>
      </c>
      <c r="C389" s="121" t="s">
        <v>6</v>
      </c>
      <c r="D389" s="121">
        <v>1</v>
      </c>
      <c r="E389" s="120" t="s">
        <v>482</v>
      </c>
      <c r="F389" s="121" t="s">
        <v>284</v>
      </c>
      <c r="G389" s="120">
        <v>410</v>
      </c>
      <c r="H389" s="122">
        <v>44770</v>
      </c>
      <c r="I389" s="120">
        <v>1425</v>
      </c>
      <c r="J389" s="120">
        <v>12.95</v>
      </c>
      <c r="K389" s="120">
        <v>0</v>
      </c>
      <c r="L389" s="124">
        <f t="shared" ca="1" si="1506"/>
        <v>0</v>
      </c>
      <c r="M389" s="124">
        <f t="shared" ca="1" si="1507"/>
        <v>0</v>
      </c>
      <c r="N389" s="120">
        <f t="shared" ca="1" si="1508"/>
        <v>0</v>
      </c>
      <c r="O389" s="164">
        <f t="shared" ca="1" si="1509"/>
        <v>9.7124999999999986</v>
      </c>
      <c r="P389" s="168">
        <f t="shared" ca="1" si="754"/>
        <v>18453.75</v>
      </c>
      <c r="Q389" s="168" t="e">
        <f t="shared" ca="1" si="1510"/>
        <v>#N/A</v>
      </c>
      <c r="R389" s="184" t="e">
        <f t="shared" ca="1" si="1219"/>
        <v>#VALUE!</v>
      </c>
      <c r="S389" s="124">
        <f t="shared" ca="1" si="1511"/>
        <v>1.2949999999999997</v>
      </c>
      <c r="T389" s="120">
        <f ca="1">VLOOKUP(TRIM($F389),Reference!B:C,2,0)</f>
        <v>428</v>
      </c>
      <c r="U389" s="181" t="e">
        <f t="shared" ca="1" si="1512"/>
        <v>#VALUE!</v>
      </c>
      <c r="V389" s="125" t="str">
        <f t="shared" ca="1" si="1213"/>
        <v>TATAMOTORS22JUL410PE</v>
      </c>
      <c r="W389" s="166" t="e">
        <f ca="1">VLOOKUP($V389,Reference!BA:BD,4,0)</f>
        <v>#N/A</v>
      </c>
      <c r="X389" s="168" t="e">
        <f t="shared" ca="1" si="1214"/>
        <v>#VALUE!</v>
      </c>
      <c r="Y389" s="168" t="e">
        <f t="shared" ca="1" si="1215"/>
        <v>#VALUE!</v>
      </c>
      <c r="Z389" s="168" t="e">
        <f t="shared" ca="1" si="1220"/>
        <v>#VALUE!</v>
      </c>
      <c r="AA389" s="168" t="e">
        <f t="shared" ca="1" si="1216"/>
        <v>#VALUE!</v>
      </c>
      <c r="AB389" s="168" t="e">
        <f t="shared" ca="1" si="1217"/>
        <v>#VALUE!</v>
      </c>
      <c r="AC389" s="124" t="e">
        <f t="shared" ca="1" si="1218"/>
        <v>#VALUE!</v>
      </c>
      <c r="AD389" s="120">
        <f t="shared" ca="1" si="1513"/>
        <v>3.5616438356164383E-2</v>
      </c>
      <c r="AE389" s="120">
        <f t="shared" ca="1" si="1514"/>
        <v>20</v>
      </c>
      <c r="AF389" s="120"/>
      <c r="AG389" s="120"/>
      <c r="AH389" s="120">
        <f t="shared" ca="1" si="755"/>
        <v>0</v>
      </c>
      <c r="AI389" s="120"/>
      <c r="AJ389" s="120">
        <f t="shared" ca="1" si="756"/>
        <v>0.55361250000000006</v>
      </c>
      <c r="AK389" s="120"/>
      <c r="AL389" s="147"/>
      <c r="AM389" s="160"/>
      <c r="AN389" s="160"/>
      <c r="AO389" s="160"/>
      <c r="AP389" s="160"/>
      <c r="AQ389" s="160"/>
      <c r="AR389" s="160"/>
      <c r="AS389" s="160"/>
      <c r="AT389" s="160"/>
      <c r="AU389" s="160"/>
      <c r="AV389" s="160"/>
      <c r="AW389" s="160"/>
      <c r="AX389" s="160"/>
      <c r="AY389" s="160"/>
      <c r="AZ389" s="160"/>
      <c r="BA389" s="160"/>
      <c r="BB389" s="160"/>
      <c r="BC389" s="160"/>
      <c r="BD389" s="160"/>
      <c r="BE389" s="160"/>
      <c r="BF389" s="160"/>
      <c r="BG389" s="160"/>
      <c r="BS389" s="13">
        <v>2</v>
      </c>
      <c r="BT389" s="128">
        <v>44491</v>
      </c>
      <c r="BU389" s="121" t="s">
        <v>8</v>
      </c>
      <c r="BV389" s="120" t="s">
        <v>482</v>
      </c>
      <c r="BW389" s="121" t="s">
        <v>502</v>
      </c>
      <c r="BX389" s="120">
        <v>18400</v>
      </c>
      <c r="BY389" s="120">
        <v>41.7</v>
      </c>
      <c r="BZ389" s="120">
        <v>47.945</v>
      </c>
      <c r="CA389" s="124">
        <v>-3216.6708800000001</v>
      </c>
      <c r="CB389" s="120">
        <v>1.1497601918465228</v>
      </c>
      <c r="CC389" s="120">
        <v>500</v>
      </c>
      <c r="CD389" s="120">
        <v>50</v>
      </c>
      <c r="CE389" s="124">
        <v>20850</v>
      </c>
    </row>
    <row r="390" spans="1:83" hidden="1">
      <c r="A390" s="13">
        <f t="shared" ca="1" si="753"/>
        <v>383</v>
      </c>
      <c r="B390" s="128">
        <v>44747</v>
      </c>
      <c r="C390" s="121" t="s">
        <v>6</v>
      </c>
      <c r="D390" s="121">
        <v>1</v>
      </c>
      <c r="E390" s="120" t="s">
        <v>482</v>
      </c>
      <c r="F390" s="121" t="s">
        <v>284</v>
      </c>
      <c r="G390" s="120">
        <v>410</v>
      </c>
      <c r="H390" s="122">
        <v>44770</v>
      </c>
      <c r="I390" s="120">
        <v>1425</v>
      </c>
      <c r="J390" s="120">
        <v>12.95</v>
      </c>
      <c r="K390" s="120">
        <v>0</v>
      </c>
      <c r="L390" s="124">
        <f t="shared" ref="L390:L392" ca="1" si="1515">IF(AND(K390&lt;&gt;0,I390&lt;&gt;0),(IF(C390="B",1,-1))*(K390-J390)*I390-AK390*2,0)*$D390*IF(MONTH($B$2)=MONTH($H390),1,0)</f>
        <v>0</v>
      </c>
      <c r="M390" s="124">
        <f t="shared" ref="M390:M392" ca="1" si="1516">IF(AND(K390&lt;&gt;0,I390&lt;&gt;0),(IF(C390="B",1,-1))*(K390-J390)*I390-AK390*2,0)*$D390</f>
        <v>0</v>
      </c>
      <c r="N390" s="120">
        <f t="shared" ref="N390:N392" ca="1" si="1517">K390/$J390</f>
        <v>0</v>
      </c>
      <c r="O390" s="164">
        <f t="shared" ref="O390:O392" ca="1" si="1518">J390*(1+$O$6*IF(C390="B",-1,1))</f>
        <v>9.7124999999999986</v>
      </c>
      <c r="P390" s="168">
        <f t="shared" ca="1" si="754"/>
        <v>18453.75</v>
      </c>
      <c r="Q390" s="168" t="e">
        <f t="shared" ref="Q390:Q392" ca="1" si="1519">(W390-J390)*I390*IF(C390="B",1,-1)*IF(K390=0,1,0)</f>
        <v>#N/A</v>
      </c>
      <c r="R390" s="184" t="e">
        <f t="shared" ca="1" si="1219"/>
        <v>#VALUE!</v>
      </c>
      <c r="S390" s="124">
        <f t="shared" ref="S390:S392" ca="1" si="1520">(1-$S$6)*J390</f>
        <v>1.2949999999999997</v>
      </c>
      <c r="T390" s="120">
        <f ca="1">VLOOKUP(TRIM($F390),Reference!B:C,2,0)</f>
        <v>428</v>
      </c>
      <c r="U390" s="181" t="e">
        <f t="shared" ref="U390:U392" ca="1" si="1521">AC390</f>
        <v>#VALUE!</v>
      </c>
      <c r="V390" s="125" t="str">
        <f t="shared" ca="1" si="1213"/>
        <v>TATAMOTORS22JUL410PE</v>
      </c>
      <c r="W390" s="166" t="e">
        <f ca="1">VLOOKUP($V390,Reference!BA:BD,4,0)</f>
        <v>#N/A</v>
      </c>
      <c r="X390" s="168" t="e">
        <f t="shared" ca="1" si="1214"/>
        <v>#VALUE!</v>
      </c>
      <c r="Y390" s="168" t="e">
        <f t="shared" ca="1" si="1215"/>
        <v>#VALUE!</v>
      </c>
      <c r="Z390" s="168" t="e">
        <f t="shared" ca="1" si="1220"/>
        <v>#VALUE!</v>
      </c>
      <c r="AA390" s="168" t="e">
        <f t="shared" ca="1" si="1216"/>
        <v>#VALUE!</v>
      </c>
      <c r="AB390" s="168" t="e">
        <f t="shared" ca="1" si="1217"/>
        <v>#VALUE!</v>
      </c>
      <c r="AC390" s="124" t="e">
        <f t="shared" ca="1" si="1218"/>
        <v>#VALUE!</v>
      </c>
      <c r="AD390" s="120">
        <f t="shared" ref="AD390:AD392" ca="1" si="1522">(H390-TODAY())/365</f>
        <v>3.5616438356164383E-2</v>
      </c>
      <c r="AE390" s="120">
        <f t="shared" ref="AE390:AE392" ca="1" si="1523">IF(I390&lt;&gt;0,20,0)</f>
        <v>20</v>
      </c>
      <c r="AF390" s="120"/>
      <c r="AG390" s="120"/>
      <c r="AH390" s="120">
        <f t="shared" ca="1" si="755"/>
        <v>0</v>
      </c>
      <c r="AI390" s="120"/>
      <c r="AJ390" s="120">
        <f t="shared" ca="1" si="756"/>
        <v>0.55361250000000006</v>
      </c>
      <c r="AK390" s="120"/>
      <c r="AL390" s="147"/>
      <c r="AM390" s="160"/>
      <c r="AN390" s="160"/>
      <c r="AO390" s="160"/>
      <c r="AP390" s="160"/>
      <c r="AQ390" s="160"/>
      <c r="AR390" s="160"/>
      <c r="AS390" s="160"/>
      <c r="AT390" s="160"/>
      <c r="AU390" s="160"/>
      <c r="AV390" s="160"/>
      <c r="AW390" s="160"/>
      <c r="AX390" s="160"/>
      <c r="AY390" s="160"/>
      <c r="AZ390" s="160"/>
      <c r="BA390" s="160"/>
      <c r="BB390" s="160"/>
      <c r="BC390" s="160"/>
      <c r="BD390" s="160"/>
      <c r="BE390" s="160"/>
      <c r="BF390" s="160"/>
      <c r="BG390" s="160"/>
      <c r="BS390" s="13">
        <v>2</v>
      </c>
      <c r="BT390" s="128">
        <v>44491</v>
      </c>
      <c r="BU390" s="121" t="s">
        <v>8</v>
      </c>
      <c r="BV390" s="120" t="s">
        <v>482</v>
      </c>
      <c r="BW390" s="121" t="s">
        <v>502</v>
      </c>
      <c r="BX390" s="120">
        <v>18400</v>
      </c>
      <c r="BY390" s="120">
        <v>41.7</v>
      </c>
      <c r="BZ390" s="120">
        <v>47.945</v>
      </c>
      <c r="CA390" s="124">
        <v>-3216.6708800000001</v>
      </c>
      <c r="CB390" s="120">
        <v>1.1497601918465228</v>
      </c>
      <c r="CC390" s="120">
        <v>500</v>
      </c>
      <c r="CD390" s="120">
        <v>50</v>
      </c>
      <c r="CE390" s="124">
        <v>20850</v>
      </c>
    </row>
    <row r="391" spans="1:83" hidden="1">
      <c r="A391" s="13">
        <f t="shared" ca="1" si="753"/>
        <v>384</v>
      </c>
      <c r="B391" s="128">
        <v>44747</v>
      </c>
      <c r="C391" s="121" t="s">
        <v>8</v>
      </c>
      <c r="D391" s="121">
        <v>1</v>
      </c>
      <c r="E391" s="120" t="s">
        <v>481</v>
      </c>
      <c r="F391" s="121" t="s">
        <v>390</v>
      </c>
      <c r="G391" s="120">
        <v>2300</v>
      </c>
      <c r="H391" s="122">
        <v>44770</v>
      </c>
      <c r="I391" s="120">
        <v>375</v>
      </c>
      <c r="J391" s="120">
        <v>31.2</v>
      </c>
      <c r="K391" s="120">
        <v>0</v>
      </c>
      <c r="L391" s="124">
        <f t="shared" ca="1" si="1515"/>
        <v>0</v>
      </c>
      <c r="M391" s="124">
        <f t="shared" ca="1" si="1516"/>
        <v>0</v>
      </c>
      <c r="N391" s="120">
        <f t="shared" ca="1" si="1517"/>
        <v>0</v>
      </c>
      <c r="O391" s="164">
        <f t="shared" ca="1" si="1518"/>
        <v>39</v>
      </c>
      <c r="P391" s="168">
        <f t="shared" ca="1" si="754"/>
        <v>11700</v>
      </c>
      <c r="Q391" s="168">
        <f t="shared" ca="1" si="1519"/>
        <v>74.99999999999973</v>
      </c>
      <c r="R391" s="184">
        <f t="shared" ca="1" si="1219"/>
        <v>-262085.51546773352</v>
      </c>
      <c r="S391" s="124">
        <f t="shared" ca="1" si="1520"/>
        <v>3.1199999999999992</v>
      </c>
      <c r="T391" s="120">
        <f ca="1">VLOOKUP(TRIM($F391),Reference!B:C,2,0)</f>
        <v>2214</v>
      </c>
      <c r="U391" s="181">
        <f t="shared" ca="1" si="1521"/>
        <v>0.37756645889705115</v>
      </c>
      <c r="V391" s="125" t="str">
        <f t="shared" ca="1" si="1213"/>
        <v>SRF22JUL2300CE</v>
      </c>
      <c r="W391" s="166">
        <f ca="1">VLOOKUP($V391,Reference!BA:BD,4,0)</f>
        <v>31</v>
      </c>
      <c r="X391" s="168">
        <f t="shared" ca="1" si="1214"/>
        <v>-11625</v>
      </c>
      <c r="Y391" s="168">
        <f t="shared" ca="1" si="1215"/>
        <v>0.31567059978046796</v>
      </c>
      <c r="Z391" s="168">
        <f t="shared" ca="1" si="1220"/>
        <v>-118.37647491767548</v>
      </c>
      <c r="AA391" s="168">
        <f t="shared" ca="1" si="1216"/>
        <v>774.73899674190932</v>
      </c>
      <c r="AB391" s="168">
        <f t="shared" ca="1" si="1217"/>
        <v>0</v>
      </c>
      <c r="AC391" s="124">
        <f t="shared" ca="1" si="1218"/>
        <v>0.37756645889705115</v>
      </c>
      <c r="AD391" s="120">
        <f t="shared" ca="1" si="1522"/>
        <v>3.5616438356164383E-2</v>
      </c>
      <c r="AE391" s="120">
        <f t="shared" ca="1" si="1523"/>
        <v>20</v>
      </c>
      <c r="AF391" s="120"/>
      <c r="AG391" s="120"/>
      <c r="AH391" s="120">
        <f t="shared" ca="1" si="755"/>
        <v>5.8500000000000005</v>
      </c>
      <c r="AI391" s="120"/>
      <c r="AJ391" s="120">
        <f t="shared" ca="1" si="756"/>
        <v>0</v>
      </c>
      <c r="AK391" s="120"/>
      <c r="AL391" s="147"/>
      <c r="AM391" s="160"/>
      <c r="AN391" s="160"/>
      <c r="AO391" s="160"/>
      <c r="AP391" s="160"/>
      <c r="AQ391" s="160"/>
      <c r="AR391" s="160"/>
      <c r="AS391" s="160"/>
      <c r="AT391" s="160"/>
      <c r="AU391" s="160"/>
      <c r="AV391" s="160"/>
      <c r="AW391" s="160"/>
      <c r="AX391" s="160"/>
      <c r="AY391" s="160"/>
      <c r="AZ391" s="160"/>
      <c r="BA391" s="160"/>
      <c r="BB391" s="160"/>
      <c r="BC391" s="160"/>
      <c r="BD391" s="160"/>
      <c r="BE391" s="160"/>
      <c r="BF391" s="160"/>
      <c r="BG391" s="160"/>
      <c r="BS391" s="13">
        <v>2</v>
      </c>
      <c r="BT391" s="128">
        <v>44491</v>
      </c>
      <c r="BU391" s="121" t="s">
        <v>8</v>
      </c>
      <c r="BV391" s="120" t="s">
        <v>482</v>
      </c>
      <c r="BW391" s="121" t="s">
        <v>502</v>
      </c>
      <c r="BX391" s="120">
        <v>18400</v>
      </c>
      <c r="BY391" s="120">
        <v>41.7</v>
      </c>
      <c r="BZ391" s="120">
        <v>47.945</v>
      </c>
      <c r="CA391" s="124">
        <v>-3216.6708800000001</v>
      </c>
      <c r="CB391" s="120">
        <v>1.1497601918465228</v>
      </c>
      <c r="CC391" s="120">
        <v>500</v>
      </c>
      <c r="CD391" s="120">
        <v>50</v>
      </c>
      <c r="CE391" s="124">
        <v>20850</v>
      </c>
    </row>
    <row r="392" spans="1:83" hidden="1">
      <c r="A392" s="13">
        <f t="shared" ca="1" si="753"/>
        <v>385</v>
      </c>
      <c r="B392" s="128">
        <v>44747</v>
      </c>
      <c r="C392" s="121" t="s">
        <v>8</v>
      </c>
      <c r="D392" s="121">
        <v>1</v>
      </c>
      <c r="E392" s="120" t="s">
        <v>481</v>
      </c>
      <c r="F392" s="121" t="s">
        <v>502</v>
      </c>
      <c r="G392" s="120">
        <v>16100</v>
      </c>
      <c r="H392" s="122">
        <v>44749</v>
      </c>
      <c r="I392" s="120">
        <v>50</v>
      </c>
      <c r="J392" s="120">
        <v>60</v>
      </c>
      <c r="K392" s="120">
        <v>0</v>
      </c>
      <c r="L392" s="124">
        <f t="shared" ca="1" si="1515"/>
        <v>0</v>
      </c>
      <c r="M392" s="124">
        <f t="shared" ca="1" si="1516"/>
        <v>0</v>
      </c>
      <c r="N392" s="120">
        <f t="shared" ca="1" si="1517"/>
        <v>0</v>
      </c>
      <c r="O392" s="164">
        <f t="shared" ca="1" si="1518"/>
        <v>75</v>
      </c>
      <c r="P392" s="168">
        <f t="shared" ca="1" si="754"/>
        <v>3000</v>
      </c>
      <c r="Q392" s="168" t="e">
        <f t="shared" ca="1" si="1519"/>
        <v>#N/A</v>
      </c>
      <c r="R392" s="184">
        <f t="shared" ca="1" si="1219"/>
        <v>0</v>
      </c>
      <c r="S392" s="124">
        <f t="shared" ca="1" si="1520"/>
        <v>5.9999999999999982</v>
      </c>
      <c r="T392" s="120">
        <f ca="1">VLOOKUP(TRIM($F392),Reference!B:C,2,0)</f>
        <v>15938.65</v>
      </c>
      <c r="U392" s="181">
        <f t="shared" ca="1" si="1521"/>
        <v>0</v>
      </c>
      <c r="V392" s="125" t="str">
        <f t="shared" ref="V392:V420" ca="1" si="1524">TRIM(F392)&amp;TEXT(H392,"YY")&amp;UPPER(TEXT(H392,"MMM"))&amp;TRIM(G392)&amp;TRIM(E392)</f>
        <v>NIFTY22JUL16100CE</v>
      </c>
      <c r="W392" s="166" t="e">
        <f ca="1">VLOOKUP($V392,Reference!BA:BD,4,0)</f>
        <v>#N/A</v>
      </c>
      <c r="X392" s="168">
        <f t="shared" ref="X392:X421" ca="1" si="1525">IF(OR($AD392&lt;0,$K392&lt;&gt;0),0,IF($E392="FUT",W392,OptionPrice(LEFT($E392),$T392,$G392,$AD392,RISKFREE_RATE,$U392,NIFTY_DIVYLD))*IF(C392="B",1,-1)*IF(I392=0,0,1)*IF(K392=0,1,0)*I392)</f>
        <v>0</v>
      </c>
      <c r="Y392" s="168">
        <f t="shared" ref="Y392:Y421" ca="1" si="1526">IF(OR($AD392&lt;0,$K392&lt;&gt;0),0,IF($E392="FUT",1,OptionDelta(LEFT(E392),T392,G392,AD392,RISKFREE_RATE,U392,NIFTY_DIVYLD)))</f>
        <v>0</v>
      </c>
      <c r="Z392" s="168">
        <f t="shared" ca="1" si="1220"/>
        <v>0</v>
      </c>
      <c r="AA392" s="168">
        <f t="shared" ref="AA392:AA421" ca="1" si="1527">IF(OR($AD392&lt;0,$K392&lt;&gt;0),0,IF($E392="FUT",0,OptionTheta(LEFT(E392),T392,G392,AD392,RISKFREE_RATE,U392,NIFTY_DIVYLD))*IF(C392="B",1,-1)*IF(I392=0,0,1)*IF(K392=0,1,0)*I392)</f>
        <v>0</v>
      </c>
      <c r="AB392" s="168">
        <f t="shared" ref="AB392:AB421" ca="1" si="1528">IF(OR($AD392&lt;0,$K392&lt;&gt;0),0,IF($E392="FUT",0,OptionGamma(T392,G392,AD392,RISKFREE_RATE,U392,NIFTY_DIVYLD))*IF(C392="B",1,-1)*IF(I392=0,0,1)*IF(K392=0,1,0))</f>
        <v>0</v>
      </c>
      <c r="AC392" s="124">
        <f t="shared" ref="AC392:AC421" ca="1" si="1529">IF(OR($AD392&lt;0,$K392&lt;&gt;0),0,IF($E392="FUT",0,ImpliedVolatility(LEFT(E392),T392,G392,RISKFREE_RATE,AD392,NIFTY_DIVYLD,W392,$AC$6)))</f>
        <v>0</v>
      </c>
      <c r="AD392" s="120">
        <f t="shared" ca="1" si="1522"/>
        <v>-2.1917808219178082E-2</v>
      </c>
      <c r="AE392" s="120">
        <f t="shared" ca="1" si="1523"/>
        <v>20</v>
      </c>
      <c r="AF392" s="120"/>
      <c r="AG392" s="120"/>
      <c r="AH392" s="120">
        <f t="shared" ca="1" si="755"/>
        <v>1.5</v>
      </c>
      <c r="AI392" s="120"/>
      <c r="AJ392" s="120">
        <f t="shared" ca="1" si="756"/>
        <v>0</v>
      </c>
      <c r="AK392" s="120"/>
      <c r="AL392" s="147"/>
      <c r="AM392" s="160"/>
      <c r="AN392" s="160"/>
      <c r="AO392" s="160"/>
      <c r="AP392" s="160"/>
      <c r="AQ392" s="160"/>
      <c r="AR392" s="160"/>
      <c r="AS392" s="160"/>
      <c r="AT392" s="160"/>
      <c r="AU392" s="160"/>
      <c r="AV392" s="160"/>
      <c r="AW392" s="160"/>
      <c r="AX392" s="160"/>
      <c r="AY392" s="160"/>
      <c r="AZ392" s="160"/>
      <c r="BA392" s="160"/>
      <c r="BB392" s="160"/>
      <c r="BC392" s="160"/>
      <c r="BD392" s="160"/>
      <c r="BE392" s="160"/>
      <c r="BF392" s="160"/>
      <c r="BG392" s="160"/>
      <c r="BS392" s="13">
        <v>2</v>
      </c>
      <c r="BT392" s="128">
        <v>44491</v>
      </c>
      <c r="BU392" s="121" t="s">
        <v>8</v>
      </c>
      <c r="BV392" s="120" t="s">
        <v>482</v>
      </c>
      <c r="BW392" s="121" t="s">
        <v>502</v>
      </c>
      <c r="BX392" s="120">
        <v>18400</v>
      </c>
      <c r="BY392" s="120">
        <v>41.7</v>
      </c>
      <c r="BZ392" s="120">
        <v>47.945</v>
      </c>
      <c r="CA392" s="124">
        <v>-3216.6708800000001</v>
      </c>
      <c r="CB392" s="120">
        <v>1.1497601918465228</v>
      </c>
      <c r="CC392" s="120">
        <v>500</v>
      </c>
      <c r="CD392" s="120">
        <v>50</v>
      </c>
      <c r="CE392" s="124">
        <v>20850</v>
      </c>
    </row>
    <row r="393" spans="1:83" hidden="1">
      <c r="A393" s="13">
        <f t="shared" ca="1" si="753"/>
        <v>386</v>
      </c>
      <c r="B393" s="128">
        <v>44747</v>
      </c>
      <c r="C393" s="121" t="s">
        <v>8</v>
      </c>
      <c r="D393" s="121">
        <v>1</v>
      </c>
      <c r="E393" s="120" t="s">
        <v>481</v>
      </c>
      <c r="F393" s="121" t="s">
        <v>130</v>
      </c>
      <c r="G393" s="120">
        <v>235</v>
      </c>
      <c r="H393" s="122">
        <v>44770</v>
      </c>
      <c r="I393" s="120">
        <v>3375</v>
      </c>
      <c r="J393" s="120">
        <v>2.4500000000000002</v>
      </c>
      <c r="K393" s="120">
        <v>0</v>
      </c>
      <c r="L393" s="124">
        <f t="shared" ref="L393" ca="1" si="1530">IF(AND(K393&lt;&gt;0,I393&lt;&gt;0),(IF(C393="B",1,-1))*(K393-J393)*I393-AK393*2,0)*$D393*IF(MONTH($B$2)=MONTH($H393),1,0)</f>
        <v>0</v>
      </c>
      <c r="M393" s="124">
        <f t="shared" ref="M393" ca="1" si="1531">IF(AND(K393&lt;&gt;0,I393&lt;&gt;0),(IF(C393="B",1,-1))*(K393-J393)*I393-AK393*2,0)*$D393</f>
        <v>0</v>
      </c>
      <c r="N393" s="120">
        <f t="shared" ref="N393" ca="1" si="1532">K393/$J393</f>
        <v>0</v>
      </c>
      <c r="O393" s="164">
        <f t="shared" ref="O393" ca="1" si="1533">J393*(1+$O$6*IF(C393="B",-1,1))</f>
        <v>3.0625</v>
      </c>
      <c r="P393" s="168">
        <f t="shared" ca="1" si="754"/>
        <v>8268.75</v>
      </c>
      <c r="Q393" s="168">
        <f t="shared" ref="Q393" ca="1" si="1534">(W393-J393)*I393*IF(C393="B",1,-1)*IF(K393=0,1,0)</f>
        <v>843.75</v>
      </c>
      <c r="R393" s="184">
        <f t="shared" ref="R393:R421" ca="1" si="1535">Z393*T393</f>
        <v>-175230.21835197159</v>
      </c>
      <c r="S393" s="124">
        <f t="shared" ref="S393" ca="1" si="1536">(1-$S$6)*J393</f>
        <v>0.24499999999999997</v>
      </c>
      <c r="T393" s="120">
        <f ca="1">VLOOKUP(TRIM($F393),Reference!B:C,2,0)</f>
        <v>221.6</v>
      </c>
      <c r="U393" s="181">
        <f t="shared" ref="U393" ca="1" si="1537">AC393</f>
        <v>0.39848654265583427</v>
      </c>
      <c r="V393" s="125" t="str">
        <f t="shared" ca="1" si="1524"/>
        <v>TATAPOWER22JUL235CE</v>
      </c>
      <c r="W393" s="166">
        <f ca="1">VLOOKUP($V393,Reference!BA:BD,4,0)</f>
        <v>2.2000000000000002</v>
      </c>
      <c r="X393" s="168">
        <f t="shared" ca="1" si="1525"/>
        <v>-7425.0000000000337</v>
      </c>
      <c r="Y393" s="168">
        <f t="shared" ca="1" si="1526"/>
        <v>0.23429632083429816</v>
      </c>
      <c r="Z393" s="168">
        <f t="shared" ref="Z393:Z421" ca="1" si="1538">Y393*IF(C393="B",1,-1)*IF(I393=0,0,1)*IF(K393=0,1,0)*I393</f>
        <v>-790.75008281575629</v>
      </c>
      <c r="AA393" s="168">
        <f t="shared" ca="1" si="1527"/>
        <v>640.69432231903647</v>
      </c>
      <c r="AB393" s="168">
        <f t="shared" ca="1" si="1528"/>
        <v>0</v>
      </c>
      <c r="AC393" s="124">
        <f t="shared" ca="1" si="1529"/>
        <v>0.39848654265583427</v>
      </c>
      <c r="AD393" s="120">
        <f t="shared" ref="AD393" ca="1" si="1539">(H393-TODAY())/365</f>
        <v>3.5616438356164383E-2</v>
      </c>
      <c r="AE393" s="120">
        <f t="shared" ref="AE393" ca="1" si="1540">IF(I393&lt;&gt;0,20,0)</f>
        <v>20</v>
      </c>
      <c r="AF393" s="120"/>
      <c r="AG393" s="120"/>
      <c r="AH393" s="120">
        <f t="shared" ca="1" si="755"/>
        <v>4.1343750000000004</v>
      </c>
      <c r="AI393" s="120"/>
      <c r="AJ393" s="120">
        <f t="shared" ca="1" si="756"/>
        <v>0</v>
      </c>
      <c r="AK393" s="120"/>
      <c r="AL393" s="147"/>
      <c r="AM393" s="160"/>
      <c r="AN393" s="160"/>
      <c r="AO393" s="160"/>
      <c r="AP393" s="160"/>
      <c r="AQ393" s="160"/>
      <c r="AR393" s="160"/>
      <c r="AS393" s="160"/>
      <c r="AT393" s="160"/>
      <c r="AU393" s="160"/>
      <c r="AV393" s="160"/>
      <c r="AW393" s="160"/>
      <c r="AX393" s="160"/>
      <c r="AY393" s="160"/>
      <c r="AZ393" s="160"/>
      <c r="BA393" s="160"/>
      <c r="BB393" s="160"/>
      <c r="BC393" s="160"/>
      <c r="BD393" s="160"/>
      <c r="BE393" s="160"/>
      <c r="BF393" s="160"/>
      <c r="BG393" s="160"/>
      <c r="BS393" s="13">
        <v>2</v>
      </c>
      <c r="BT393" s="128">
        <v>44491</v>
      </c>
      <c r="BU393" s="121" t="s">
        <v>8</v>
      </c>
      <c r="BV393" s="120" t="s">
        <v>482</v>
      </c>
      <c r="BW393" s="121" t="s">
        <v>502</v>
      </c>
      <c r="BX393" s="120">
        <v>18400</v>
      </c>
      <c r="BY393" s="120">
        <v>41.7</v>
      </c>
      <c r="BZ393" s="120">
        <v>47.945</v>
      </c>
      <c r="CA393" s="124">
        <v>-3216.6708800000001</v>
      </c>
      <c r="CB393" s="120">
        <v>1.1497601918465228</v>
      </c>
      <c r="CC393" s="120">
        <v>500</v>
      </c>
      <c r="CD393" s="120">
        <v>50</v>
      </c>
      <c r="CE393" s="124">
        <v>20850</v>
      </c>
    </row>
    <row r="394" spans="1:83" hidden="1">
      <c r="A394" s="13">
        <f t="shared" ca="1" si="753"/>
        <v>387</v>
      </c>
      <c r="B394" s="128">
        <v>44747</v>
      </c>
      <c r="C394" s="121" t="s">
        <v>8</v>
      </c>
      <c r="D394" s="121">
        <v>1</v>
      </c>
      <c r="E394" s="120" t="s">
        <v>481</v>
      </c>
      <c r="F394" s="121" t="s">
        <v>390</v>
      </c>
      <c r="G394" s="120">
        <v>2300</v>
      </c>
      <c r="H394" s="122">
        <v>44770</v>
      </c>
      <c r="I394" s="120">
        <v>375</v>
      </c>
      <c r="J394" s="120">
        <v>31.5</v>
      </c>
      <c r="K394" s="120">
        <v>0</v>
      </c>
      <c r="L394" s="124">
        <f t="shared" ref="L394" ca="1" si="1541">IF(AND(K394&lt;&gt;0,I394&lt;&gt;0),(IF(C394="B",1,-1))*(K394-J394)*I394-AK394*2,0)*$D394*IF(MONTH($B$2)=MONTH($H394),1,0)</f>
        <v>0</v>
      </c>
      <c r="M394" s="124">
        <f t="shared" ref="M394" ca="1" si="1542">IF(AND(K394&lt;&gt;0,I394&lt;&gt;0),(IF(C394="B",1,-1))*(K394-J394)*I394-AK394*2,0)*$D394</f>
        <v>0</v>
      </c>
      <c r="N394" s="120">
        <f t="shared" ref="N394" ca="1" si="1543">K394/$J394</f>
        <v>0</v>
      </c>
      <c r="O394" s="164">
        <f t="shared" ref="O394" ca="1" si="1544">J394*(1+$O$6*IF(C394="B",-1,1))</f>
        <v>39.375</v>
      </c>
      <c r="P394" s="168">
        <f t="shared" ca="1" si="754"/>
        <v>11812.5</v>
      </c>
      <c r="Q394" s="168">
        <f t="shared" ref="Q394" ca="1" si="1545">(W394-J394)*I394*IF(C394="B",1,-1)*IF(K394=0,1,0)</f>
        <v>187.5</v>
      </c>
      <c r="R394" s="184">
        <f t="shared" ca="1" si="1535"/>
        <v>-262085.51546773352</v>
      </c>
      <c r="S394" s="124">
        <f t="shared" ref="S394" ca="1" si="1546">(1-$S$6)*J394</f>
        <v>3.1499999999999995</v>
      </c>
      <c r="T394" s="120">
        <f ca="1">VLOOKUP(TRIM($F394),Reference!B:C,2,0)</f>
        <v>2214</v>
      </c>
      <c r="U394" s="181">
        <f t="shared" ref="U394" ca="1" si="1547">AC394</f>
        <v>0.37756645889705115</v>
      </c>
      <c r="V394" s="125" t="str">
        <f t="shared" ca="1" si="1524"/>
        <v>SRF22JUL2300CE</v>
      </c>
      <c r="W394" s="166">
        <f ca="1">VLOOKUP($V394,Reference!BA:BD,4,0)</f>
        <v>31</v>
      </c>
      <c r="X394" s="168">
        <f t="shared" ca="1" si="1525"/>
        <v>-11625</v>
      </c>
      <c r="Y394" s="168">
        <f t="shared" ca="1" si="1526"/>
        <v>0.31567059978046796</v>
      </c>
      <c r="Z394" s="168">
        <f t="shared" ca="1" si="1538"/>
        <v>-118.37647491767548</v>
      </c>
      <c r="AA394" s="168">
        <f t="shared" ca="1" si="1527"/>
        <v>774.73899674190932</v>
      </c>
      <c r="AB394" s="168">
        <f t="shared" ca="1" si="1528"/>
        <v>0</v>
      </c>
      <c r="AC394" s="124">
        <f t="shared" ca="1" si="1529"/>
        <v>0.37756645889705115</v>
      </c>
      <c r="AD394" s="120">
        <f t="shared" ref="AD394" ca="1" si="1548">(H394-TODAY())/365</f>
        <v>3.5616438356164383E-2</v>
      </c>
      <c r="AE394" s="120">
        <f t="shared" ref="AE394" ca="1" si="1549">IF(I394&lt;&gt;0,20,0)</f>
        <v>20</v>
      </c>
      <c r="AF394" s="120"/>
      <c r="AG394" s="120"/>
      <c r="AH394" s="120">
        <f t="shared" ca="1" si="755"/>
        <v>5.90625</v>
      </c>
      <c r="AI394" s="120"/>
      <c r="AJ394" s="120">
        <f t="shared" ca="1" si="756"/>
        <v>0</v>
      </c>
      <c r="AK394" s="120"/>
      <c r="AL394" s="147"/>
      <c r="AM394" s="160"/>
      <c r="AN394" s="160"/>
      <c r="AO394" s="160"/>
      <c r="AP394" s="160"/>
      <c r="AQ394" s="160"/>
      <c r="AR394" s="160"/>
      <c r="AS394" s="160"/>
      <c r="AT394" s="160"/>
      <c r="AU394" s="160"/>
      <c r="AV394" s="160"/>
      <c r="AW394" s="160"/>
      <c r="AX394" s="160"/>
      <c r="AY394" s="160"/>
      <c r="AZ394" s="160"/>
      <c r="BA394" s="160"/>
      <c r="BB394" s="160"/>
      <c r="BC394" s="160"/>
      <c r="BD394" s="160"/>
      <c r="BE394" s="160"/>
      <c r="BF394" s="160"/>
      <c r="BG394" s="160"/>
      <c r="BS394" s="13">
        <v>2</v>
      </c>
      <c r="BT394" s="128">
        <v>44491</v>
      </c>
      <c r="BU394" s="121" t="s">
        <v>8</v>
      </c>
      <c r="BV394" s="120" t="s">
        <v>482</v>
      </c>
      <c r="BW394" s="121" t="s">
        <v>502</v>
      </c>
      <c r="BX394" s="120">
        <v>18400</v>
      </c>
      <c r="BY394" s="120">
        <v>41.7</v>
      </c>
      <c r="BZ394" s="120">
        <v>47.945</v>
      </c>
      <c r="CA394" s="124">
        <v>-3216.6708800000001</v>
      </c>
      <c r="CB394" s="120">
        <v>1.1497601918465228</v>
      </c>
      <c r="CC394" s="120">
        <v>500</v>
      </c>
      <c r="CD394" s="120">
        <v>50</v>
      </c>
      <c r="CE394" s="124">
        <v>20850</v>
      </c>
    </row>
    <row r="395" spans="1:83" hidden="1">
      <c r="A395" s="13">
        <f t="shared" ca="1" si="753"/>
        <v>388</v>
      </c>
      <c r="B395" s="128">
        <v>44747</v>
      </c>
      <c r="C395" s="121" t="s">
        <v>8</v>
      </c>
      <c r="D395" s="121">
        <v>1</v>
      </c>
      <c r="E395" s="120" t="s">
        <v>481</v>
      </c>
      <c r="F395" s="121" t="s">
        <v>506</v>
      </c>
      <c r="G395" s="120">
        <v>35000</v>
      </c>
      <c r="H395" s="122">
        <v>44770</v>
      </c>
      <c r="I395" s="120">
        <v>25</v>
      </c>
      <c r="J395" s="120">
        <v>455</v>
      </c>
      <c r="K395" s="120">
        <v>0</v>
      </c>
      <c r="L395" s="124">
        <f t="shared" ref="L395:L396" ca="1" si="1550">IF(AND(K395&lt;&gt;0,I395&lt;&gt;0),(IF(C395="B",1,-1))*(K395-J395)*I395-AK395*2,0)*$D395*IF(MONTH($B$2)=MONTH($H395),1,0)</f>
        <v>0</v>
      </c>
      <c r="M395" s="124">
        <f t="shared" ref="M395:M396" ca="1" si="1551">IF(AND(K395&lt;&gt;0,I395&lt;&gt;0),(IF(C395="B",1,-1))*(K395-J395)*I395-AK395*2,0)*$D395</f>
        <v>0</v>
      </c>
      <c r="N395" s="120">
        <f t="shared" ref="N395:N396" ca="1" si="1552">K395/$J395</f>
        <v>0</v>
      </c>
      <c r="O395" s="164">
        <f t="shared" ref="O395:O396" ca="1" si="1553">J395*(1+$O$6*IF(C395="B",-1,1))</f>
        <v>568.75</v>
      </c>
      <c r="P395" s="168">
        <f t="shared" ca="1" si="754"/>
        <v>11375</v>
      </c>
      <c r="Q395" s="168">
        <f t="shared" ref="Q395:Q396" ca="1" si="1554">(W395-J395)*I395*IF(C395="B",1,-1)*IF(K395=0,1,0)</f>
        <v>1418.75</v>
      </c>
      <c r="R395" s="184">
        <f t="shared" ca="1" si="1535"/>
        <v>-362882.76244838152</v>
      </c>
      <c r="S395" s="124">
        <f t="shared" ref="S395:S396" ca="1" si="1555">(1-$S$6)*J395</f>
        <v>45.499999999999993</v>
      </c>
      <c r="T395" s="120">
        <f ca="1">VLOOKUP(TRIM($F395),Reference!B:C,2,0)</f>
        <v>34651.199999999997</v>
      </c>
      <c r="U395" s="181">
        <f t="shared" ref="U395:U396" ca="1" si="1556">AC395</f>
        <v>0.20432342584662164</v>
      </c>
      <c r="V395" s="125" t="str">
        <f t="shared" ca="1" si="1524"/>
        <v>BANKNIFTY22JUL35000CE</v>
      </c>
      <c r="W395" s="166">
        <f ca="1">VLOOKUP($V395,Reference!BA:BD,4,0)</f>
        <v>398.25</v>
      </c>
      <c r="X395" s="168">
        <f t="shared" ca="1" si="1525"/>
        <v>-9956.25</v>
      </c>
      <c r="Y395" s="168">
        <f t="shared" ca="1" si="1526"/>
        <v>0.41889777260052352</v>
      </c>
      <c r="Z395" s="168">
        <f t="shared" ca="1" si="1538"/>
        <v>-10.472444315013089</v>
      </c>
      <c r="AA395" s="168">
        <f t="shared" ca="1" si="1527"/>
        <v>453.59822496948038</v>
      </c>
      <c r="AB395" s="168">
        <f t="shared" ca="1" si="1528"/>
        <v>0</v>
      </c>
      <c r="AC395" s="124">
        <f t="shared" ca="1" si="1529"/>
        <v>0.20432342584662164</v>
      </c>
      <c r="AD395" s="120">
        <f t="shared" ref="AD395:AD396" ca="1" si="1557">(H395-TODAY())/365</f>
        <v>3.5616438356164383E-2</v>
      </c>
      <c r="AE395" s="120">
        <f t="shared" ref="AE395:AE396" ca="1" si="1558">IF(I395&lt;&gt;0,20,0)</f>
        <v>20</v>
      </c>
      <c r="AF395" s="120"/>
      <c r="AG395" s="120"/>
      <c r="AH395" s="120">
        <f t="shared" ca="1" si="755"/>
        <v>5.6875</v>
      </c>
      <c r="AI395" s="120"/>
      <c r="AJ395" s="120">
        <f t="shared" ca="1" si="756"/>
        <v>0</v>
      </c>
      <c r="AK395" s="120"/>
      <c r="AL395" s="147"/>
      <c r="AM395" s="160"/>
      <c r="AN395" s="160"/>
      <c r="AO395" s="160"/>
      <c r="AP395" s="160"/>
      <c r="AQ395" s="160"/>
      <c r="AR395" s="160"/>
      <c r="AS395" s="160"/>
      <c r="AT395" s="160"/>
      <c r="AU395" s="160"/>
      <c r="AV395" s="160"/>
      <c r="AW395" s="160"/>
      <c r="AX395" s="160"/>
      <c r="AY395" s="160"/>
      <c r="AZ395" s="160"/>
      <c r="BA395" s="160"/>
      <c r="BB395" s="160"/>
      <c r="BC395" s="160"/>
      <c r="BD395" s="160"/>
      <c r="BE395" s="160"/>
      <c r="BF395" s="160"/>
      <c r="BG395" s="160"/>
      <c r="BS395" s="13">
        <v>2</v>
      </c>
      <c r="BT395" s="128">
        <v>44491</v>
      </c>
      <c r="BU395" s="121" t="s">
        <v>8</v>
      </c>
      <c r="BV395" s="120" t="s">
        <v>482</v>
      </c>
      <c r="BW395" s="121" t="s">
        <v>502</v>
      </c>
      <c r="BX395" s="120">
        <v>18400</v>
      </c>
      <c r="BY395" s="120">
        <v>41.7</v>
      </c>
      <c r="BZ395" s="120">
        <v>47.945</v>
      </c>
      <c r="CA395" s="124">
        <v>-3216.6708800000001</v>
      </c>
      <c r="CB395" s="120">
        <v>1.1497601918465228</v>
      </c>
      <c r="CC395" s="120">
        <v>500</v>
      </c>
      <c r="CD395" s="120">
        <v>50</v>
      </c>
      <c r="CE395" s="124">
        <v>20850</v>
      </c>
    </row>
    <row r="396" spans="1:83" hidden="1">
      <c r="A396" s="13">
        <f t="shared" ca="1" si="753"/>
        <v>389</v>
      </c>
      <c r="B396" s="128">
        <v>44749</v>
      </c>
      <c r="C396" s="121" t="s">
        <v>6</v>
      </c>
      <c r="D396" s="121">
        <v>1</v>
      </c>
      <c r="E396" s="120" t="s">
        <v>482</v>
      </c>
      <c r="F396" s="121" t="s">
        <v>126</v>
      </c>
      <c r="G396" s="120">
        <v>160</v>
      </c>
      <c r="H396" s="122">
        <v>44770</v>
      </c>
      <c r="I396" s="120">
        <v>3750</v>
      </c>
      <c r="J396" s="120">
        <v>5.35</v>
      </c>
      <c r="K396" s="120">
        <v>0</v>
      </c>
      <c r="L396" s="124">
        <f t="shared" ca="1" si="1550"/>
        <v>0</v>
      </c>
      <c r="M396" s="124">
        <f t="shared" ca="1" si="1551"/>
        <v>0</v>
      </c>
      <c r="N396" s="120">
        <f t="shared" ca="1" si="1552"/>
        <v>0</v>
      </c>
      <c r="O396" s="164">
        <f t="shared" ca="1" si="1553"/>
        <v>4.0124999999999993</v>
      </c>
      <c r="P396" s="168">
        <f t="shared" ca="1" si="754"/>
        <v>20062.5</v>
      </c>
      <c r="Q396" s="168">
        <f t="shared" ca="1" si="1554"/>
        <v>-2812.5</v>
      </c>
      <c r="R396" s="184">
        <f t="shared" ca="1" si="1535"/>
        <v>-253447.70424495538</v>
      </c>
      <c r="S396" s="124">
        <f t="shared" ca="1" si="1555"/>
        <v>0.53499999999999981</v>
      </c>
      <c r="T396" s="120">
        <f ca="1">VLOOKUP(TRIM($F396),Reference!B:C,2,0)</f>
        <v>162.15</v>
      </c>
      <c r="U396" s="181">
        <f t="shared" ca="1" si="1556"/>
        <v>0.47123476190860536</v>
      </c>
      <c r="V396" s="125" t="str">
        <f t="shared" ca="1" si="1524"/>
        <v>IEX22JUL160PE</v>
      </c>
      <c r="W396" s="166">
        <f ca="1">VLOOKUP($V396,Reference!BA:BD,4,0)</f>
        <v>4.5999999999999996</v>
      </c>
      <c r="X396" s="168">
        <f t="shared" ca="1" si="1525"/>
        <v>17250.000000000084</v>
      </c>
      <c r="Y396" s="168">
        <f t="shared" ca="1" si="1526"/>
        <v>-0.41681193009757278</v>
      </c>
      <c r="Z396" s="168">
        <f t="shared" ca="1" si="1538"/>
        <v>-1563.044737865898</v>
      </c>
      <c r="AA396" s="168">
        <f t="shared" ca="1" si="1527"/>
        <v>-848.71303979393588</v>
      </c>
      <c r="AB396" s="168">
        <f t="shared" ca="1" si="1528"/>
        <v>0</v>
      </c>
      <c r="AC396" s="124">
        <f t="shared" ca="1" si="1529"/>
        <v>0.47123476190860536</v>
      </c>
      <c r="AD396" s="120">
        <f t="shared" ca="1" si="1557"/>
        <v>3.5616438356164383E-2</v>
      </c>
      <c r="AE396" s="120">
        <f t="shared" ca="1" si="1558"/>
        <v>20</v>
      </c>
      <c r="AF396" s="120"/>
      <c r="AG396" s="120"/>
      <c r="AH396" s="120">
        <f t="shared" ca="1" si="755"/>
        <v>0</v>
      </c>
      <c r="AI396" s="120"/>
      <c r="AJ396" s="120">
        <f t="shared" ca="1" si="756"/>
        <v>0.60187500000000005</v>
      </c>
      <c r="AK396" s="120"/>
      <c r="AL396" s="147"/>
      <c r="AM396" s="160"/>
      <c r="AN396" s="160"/>
      <c r="AO396" s="160"/>
      <c r="AP396" s="160"/>
      <c r="AQ396" s="160"/>
      <c r="AR396" s="160"/>
      <c r="AS396" s="160"/>
      <c r="AT396" s="160"/>
      <c r="AU396" s="160"/>
      <c r="AV396" s="160"/>
      <c r="AW396" s="160"/>
      <c r="AX396" s="160"/>
      <c r="AY396" s="160"/>
      <c r="AZ396" s="160"/>
      <c r="BA396" s="160"/>
      <c r="BB396" s="160"/>
      <c r="BC396" s="160"/>
      <c r="BD396" s="160"/>
      <c r="BE396" s="160"/>
      <c r="BF396" s="160"/>
      <c r="BG396" s="160"/>
      <c r="BS396" s="13">
        <v>2</v>
      </c>
      <c r="BT396" s="128">
        <v>44491</v>
      </c>
      <c r="BU396" s="121" t="s">
        <v>8</v>
      </c>
      <c r="BV396" s="120" t="s">
        <v>482</v>
      </c>
      <c r="BW396" s="121" t="s">
        <v>502</v>
      </c>
      <c r="BX396" s="120">
        <v>18400</v>
      </c>
      <c r="BY396" s="120">
        <v>41.7</v>
      </c>
      <c r="BZ396" s="120">
        <v>47.945</v>
      </c>
      <c r="CA396" s="124">
        <v>-3216.6708800000001</v>
      </c>
      <c r="CB396" s="120">
        <v>1.1497601918465228</v>
      </c>
      <c r="CC396" s="120">
        <v>500</v>
      </c>
      <c r="CD396" s="120">
        <v>50</v>
      </c>
      <c r="CE396" s="124">
        <v>20850</v>
      </c>
    </row>
    <row r="397" spans="1:83" hidden="1">
      <c r="A397" s="13">
        <f t="shared" ca="1" si="753"/>
        <v>390</v>
      </c>
      <c r="B397" s="128">
        <v>44749</v>
      </c>
      <c r="C397" s="121" t="s">
        <v>8</v>
      </c>
      <c r="D397" s="121">
        <v>1</v>
      </c>
      <c r="E397" s="120" t="s">
        <v>481</v>
      </c>
      <c r="F397" s="121" t="s">
        <v>126</v>
      </c>
      <c r="G397" s="120">
        <v>175</v>
      </c>
      <c r="H397" s="122">
        <v>44770</v>
      </c>
      <c r="I397" s="120">
        <v>3750</v>
      </c>
      <c r="J397" s="120">
        <v>2.8</v>
      </c>
      <c r="K397" s="120">
        <v>0</v>
      </c>
      <c r="L397" s="124">
        <f t="shared" ref="L397" ca="1" si="1559">IF(AND(K397&lt;&gt;0,I397&lt;&gt;0),(IF(C397="B",1,-1))*(K397-J397)*I397-AK397*2,0)*$D397*IF(MONTH($B$2)=MONTH($H397),1,0)</f>
        <v>0</v>
      </c>
      <c r="M397" s="124">
        <f t="shared" ref="M397" ca="1" si="1560">IF(AND(K397&lt;&gt;0,I397&lt;&gt;0),(IF(C397="B",1,-1))*(K397-J397)*I397-AK397*2,0)*$D397</f>
        <v>0</v>
      </c>
      <c r="N397" s="120">
        <f t="shared" ref="N397" ca="1" si="1561">K397/$J397</f>
        <v>0</v>
      </c>
      <c r="O397" s="164">
        <f t="shared" ref="O397" ca="1" si="1562">J397*(1+$O$6*IF(C397="B",-1,1))</f>
        <v>3.5</v>
      </c>
      <c r="P397" s="168">
        <f t="shared" ca="1" si="754"/>
        <v>10500</v>
      </c>
      <c r="Q397" s="168">
        <f t="shared" ref="Q397" ca="1" si="1563">(W397-J397)*I397*IF(C397="B",1,-1)*IF(K397=0,1,0)</f>
        <v>3374.9999999999995</v>
      </c>
      <c r="R397" s="184">
        <f t="shared" ca="1" si="1535"/>
        <v>-137483.91728704949</v>
      </c>
      <c r="S397" s="124">
        <f t="shared" ref="S397" ca="1" si="1564">(1-$S$6)*J397</f>
        <v>0.27999999999999992</v>
      </c>
      <c r="T397" s="120">
        <f ca="1">VLOOKUP(TRIM($F397),Reference!B:C,2,0)</f>
        <v>162.15</v>
      </c>
      <c r="U397" s="181">
        <f t="shared" ref="U397" ca="1" si="1565">AC397</f>
        <v>0.49685318471703571</v>
      </c>
      <c r="V397" s="125" t="str">
        <f t="shared" ca="1" si="1524"/>
        <v>IEX22JUL175CE</v>
      </c>
      <c r="W397" s="166">
        <f ca="1">VLOOKUP($V397,Reference!BA:BD,4,0)</f>
        <v>1.9</v>
      </c>
      <c r="X397" s="168">
        <f t="shared" ca="1" si="1525"/>
        <v>-7124.9999999999682</v>
      </c>
      <c r="Y397" s="168">
        <f t="shared" ca="1" si="1526"/>
        <v>0.2261016216047684</v>
      </c>
      <c r="Z397" s="168">
        <f t="shared" ca="1" si="1538"/>
        <v>-847.88108101788157</v>
      </c>
      <c r="AA397" s="168">
        <f t="shared" ca="1" si="1527"/>
        <v>641.66302874203427</v>
      </c>
      <c r="AB397" s="168">
        <f t="shared" ca="1" si="1528"/>
        <v>0</v>
      </c>
      <c r="AC397" s="124">
        <f t="shared" ca="1" si="1529"/>
        <v>0.49685318471703571</v>
      </c>
      <c r="AD397" s="120">
        <f t="shared" ref="AD397" ca="1" si="1566">(H397-TODAY())/365</f>
        <v>3.5616438356164383E-2</v>
      </c>
      <c r="AE397" s="120">
        <f t="shared" ref="AE397" ca="1" si="1567">IF(I397&lt;&gt;0,20,0)</f>
        <v>20</v>
      </c>
      <c r="AF397" s="120"/>
      <c r="AG397" s="120"/>
      <c r="AH397" s="120">
        <f t="shared" ca="1" si="755"/>
        <v>5.25</v>
      </c>
      <c r="AI397" s="120"/>
      <c r="AJ397" s="120">
        <f t="shared" ca="1" si="756"/>
        <v>0</v>
      </c>
      <c r="AK397" s="120"/>
      <c r="AL397" s="147"/>
      <c r="AM397" s="160"/>
      <c r="AN397" s="160"/>
      <c r="AO397" s="160"/>
      <c r="AP397" s="160"/>
      <c r="AQ397" s="160"/>
      <c r="AR397" s="160"/>
      <c r="AS397" s="160"/>
      <c r="AT397" s="160"/>
      <c r="AU397" s="160"/>
      <c r="AV397" s="160"/>
      <c r="AW397" s="160"/>
      <c r="AX397" s="160"/>
      <c r="AY397" s="160"/>
      <c r="AZ397" s="160"/>
      <c r="BA397" s="160"/>
      <c r="BB397" s="160"/>
      <c r="BC397" s="160"/>
      <c r="BD397" s="160"/>
      <c r="BE397" s="160"/>
      <c r="BF397" s="160"/>
      <c r="BG397" s="160"/>
      <c r="BS397" s="13">
        <v>2</v>
      </c>
      <c r="BT397" s="128">
        <v>44491</v>
      </c>
      <c r="BU397" s="121" t="s">
        <v>8</v>
      </c>
      <c r="BV397" s="120" t="s">
        <v>482</v>
      </c>
      <c r="BW397" s="121" t="s">
        <v>502</v>
      </c>
      <c r="BX397" s="120">
        <v>18400</v>
      </c>
      <c r="BY397" s="120">
        <v>41.7</v>
      </c>
      <c r="BZ397" s="120">
        <v>47.945</v>
      </c>
      <c r="CA397" s="124">
        <v>-3216.6708800000001</v>
      </c>
      <c r="CB397" s="120">
        <v>1.1497601918465228</v>
      </c>
      <c r="CC397" s="120">
        <v>500</v>
      </c>
      <c r="CD397" s="120">
        <v>50</v>
      </c>
      <c r="CE397" s="124">
        <v>20850</v>
      </c>
    </row>
    <row r="398" spans="1:83" hidden="1">
      <c r="A398" s="13">
        <f t="shared" ca="1" si="753"/>
        <v>391</v>
      </c>
      <c r="B398" s="128">
        <v>44749</v>
      </c>
      <c r="C398" s="121" t="s">
        <v>8</v>
      </c>
      <c r="D398" s="121">
        <v>1</v>
      </c>
      <c r="E398" s="120" t="s">
        <v>481</v>
      </c>
      <c r="F398" s="121" t="s">
        <v>126</v>
      </c>
      <c r="G398" s="120">
        <v>170</v>
      </c>
      <c r="H398" s="122">
        <v>44770</v>
      </c>
      <c r="I398" s="120">
        <v>3750</v>
      </c>
      <c r="J398" s="120">
        <v>4.2</v>
      </c>
      <c r="K398" s="120">
        <v>0</v>
      </c>
      <c r="L398" s="124">
        <f t="shared" ref="L398:L399" ca="1" si="1568">IF(AND(K398&lt;&gt;0,I398&lt;&gt;0),(IF(C398="B",1,-1))*(K398-J398)*I398-AK398*2,0)*$D398*IF(MONTH($B$2)=MONTH($H398),1,0)</f>
        <v>0</v>
      </c>
      <c r="M398" s="124">
        <f t="shared" ref="M398:M399" ca="1" si="1569">IF(AND(K398&lt;&gt;0,I398&lt;&gt;0),(IF(C398="B",1,-1))*(K398-J398)*I398-AK398*2,0)*$D398</f>
        <v>0</v>
      </c>
      <c r="N398" s="120">
        <f t="shared" ref="N398:N399" ca="1" si="1570">K398/$J398</f>
        <v>0</v>
      </c>
      <c r="O398" s="164">
        <f t="shared" ref="O398:O399" ca="1" si="1571">J398*(1+$O$6*IF(C398="B",-1,1))</f>
        <v>5.25</v>
      </c>
      <c r="P398" s="168">
        <f t="shared" ca="1" si="754"/>
        <v>15750</v>
      </c>
      <c r="Q398" s="168">
        <f t="shared" ref="Q398:Q399" ca="1" si="1572">(W398-J398)*I398*IF(C398="B",1,-1)*IF(K398=0,1,0)</f>
        <v>3937.5000000000009</v>
      </c>
      <c r="R398" s="184">
        <f t="shared" ca="1" si="1535"/>
        <v>-200603.40149154101</v>
      </c>
      <c r="S398" s="124">
        <f t="shared" ref="S398:S399" ca="1" si="1573">(1-$S$6)*J398</f>
        <v>0.41999999999999993</v>
      </c>
      <c r="T398" s="120">
        <f ca="1">VLOOKUP(TRIM($F398),Reference!B:C,2,0)</f>
        <v>162.15</v>
      </c>
      <c r="U398" s="181">
        <f t="shared" ref="U398:U399" ca="1" si="1574">AC398</f>
        <v>0.4991152933279917</v>
      </c>
      <c r="V398" s="125" t="str">
        <f t="shared" ca="1" si="1524"/>
        <v>IEX22JUL170CE</v>
      </c>
      <c r="W398" s="166">
        <f ca="1">VLOOKUP($V398,Reference!BA:BD,4,0)</f>
        <v>3.15</v>
      </c>
      <c r="X398" s="168">
        <f t="shared" ca="1" si="1525"/>
        <v>-11812.499999999995</v>
      </c>
      <c r="Y398" s="168">
        <f t="shared" ca="1" si="1526"/>
        <v>0.32990589206132759</v>
      </c>
      <c r="Z398" s="168">
        <f t="shared" ca="1" si="1538"/>
        <v>-1237.1470952299785</v>
      </c>
      <c r="AA398" s="168">
        <f t="shared" ca="1" si="1527"/>
        <v>771.8468823808563</v>
      </c>
      <c r="AB398" s="168">
        <f t="shared" ca="1" si="1528"/>
        <v>0</v>
      </c>
      <c r="AC398" s="124">
        <f t="shared" ca="1" si="1529"/>
        <v>0.4991152933279917</v>
      </c>
      <c r="AD398" s="120">
        <f t="shared" ref="AD398:AD399" ca="1" si="1575">(H398-TODAY())/365</f>
        <v>3.5616438356164383E-2</v>
      </c>
      <c r="AE398" s="120">
        <f t="shared" ref="AE398:AE399" ca="1" si="1576">IF(I398&lt;&gt;0,20,0)</f>
        <v>20</v>
      </c>
      <c r="AF398" s="120"/>
      <c r="AG398" s="120"/>
      <c r="AH398" s="120">
        <f t="shared" ca="1" si="755"/>
        <v>7.875</v>
      </c>
      <c r="AI398" s="120"/>
      <c r="AJ398" s="120">
        <f t="shared" ca="1" si="756"/>
        <v>0</v>
      </c>
      <c r="AK398" s="120"/>
      <c r="AL398" s="147"/>
      <c r="AM398" s="160"/>
      <c r="AN398" s="160"/>
      <c r="AO398" s="160"/>
      <c r="AP398" s="160"/>
      <c r="AQ398" s="160"/>
      <c r="AR398" s="160"/>
      <c r="AS398" s="160"/>
      <c r="AT398" s="160"/>
      <c r="AU398" s="160"/>
      <c r="AV398" s="160"/>
      <c r="AW398" s="160"/>
      <c r="AX398" s="160"/>
      <c r="AY398" s="160"/>
      <c r="AZ398" s="160"/>
      <c r="BA398" s="160"/>
      <c r="BB398" s="160"/>
      <c r="BC398" s="160"/>
      <c r="BD398" s="160"/>
      <c r="BE398" s="160"/>
      <c r="BF398" s="160"/>
      <c r="BG398" s="160"/>
      <c r="BS398" s="13">
        <v>2</v>
      </c>
      <c r="BT398" s="128">
        <v>44491</v>
      </c>
      <c r="BU398" s="121" t="s">
        <v>8</v>
      </c>
      <c r="BV398" s="120" t="s">
        <v>482</v>
      </c>
      <c r="BW398" s="121" t="s">
        <v>502</v>
      </c>
      <c r="BX398" s="120">
        <v>18400</v>
      </c>
      <c r="BY398" s="120">
        <v>41.7</v>
      </c>
      <c r="BZ398" s="120">
        <v>47.945</v>
      </c>
      <c r="CA398" s="124">
        <v>-3216.6708800000001</v>
      </c>
      <c r="CB398" s="120">
        <v>1.1497601918465228</v>
      </c>
      <c r="CC398" s="120">
        <v>500</v>
      </c>
      <c r="CD398" s="120">
        <v>50</v>
      </c>
      <c r="CE398" s="124">
        <v>20850</v>
      </c>
    </row>
    <row r="399" spans="1:83" hidden="1">
      <c r="A399" s="13">
        <f t="shared" ca="1" si="753"/>
        <v>392</v>
      </c>
      <c r="B399" s="128">
        <v>44749</v>
      </c>
      <c r="C399" s="121" t="s">
        <v>6</v>
      </c>
      <c r="D399" s="121">
        <v>1</v>
      </c>
      <c r="E399" s="120" t="s">
        <v>482</v>
      </c>
      <c r="F399" s="121" t="s">
        <v>502</v>
      </c>
      <c r="G399" s="120">
        <v>16000</v>
      </c>
      <c r="H399" s="122">
        <v>44770</v>
      </c>
      <c r="I399" s="120">
        <v>50</v>
      </c>
      <c r="J399" s="120">
        <v>260.5</v>
      </c>
      <c r="K399" s="120">
        <v>0</v>
      </c>
      <c r="L399" s="124">
        <f t="shared" ca="1" si="1568"/>
        <v>0</v>
      </c>
      <c r="M399" s="124">
        <f t="shared" ca="1" si="1569"/>
        <v>0</v>
      </c>
      <c r="N399" s="120">
        <f t="shared" ca="1" si="1570"/>
        <v>0</v>
      </c>
      <c r="O399" s="164">
        <f t="shared" ca="1" si="1571"/>
        <v>195.375</v>
      </c>
      <c r="P399" s="168">
        <f t="shared" ca="1" si="754"/>
        <v>13025</v>
      </c>
      <c r="Q399" s="168">
        <f t="shared" ca="1" si="1572"/>
        <v>-825</v>
      </c>
      <c r="R399" s="184">
        <f t="shared" ca="1" si="1535"/>
        <v>-415136.70580968872</v>
      </c>
      <c r="S399" s="124">
        <f t="shared" ca="1" si="1573"/>
        <v>26.049999999999994</v>
      </c>
      <c r="T399" s="120">
        <f ca="1">VLOOKUP(TRIM($F399),Reference!B:C,2,0)</f>
        <v>15938.65</v>
      </c>
      <c r="U399" s="181">
        <f t="shared" ca="1" si="1574"/>
        <v>0.18635534501235387</v>
      </c>
      <c r="V399" s="125" t="str">
        <f t="shared" ca="1" si="1524"/>
        <v>NIFTY22JUL16000PE</v>
      </c>
      <c r="W399" s="166">
        <f ca="1">VLOOKUP($V399,Reference!BA:BD,4,0)</f>
        <v>244</v>
      </c>
      <c r="X399" s="168">
        <f t="shared" ca="1" si="1525"/>
        <v>12200</v>
      </c>
      <c r="Y399" s="168">
        <f t="shared" ca="1" si="1526"/>
        <v>-0.5209182782854116</v>
      </c>
      <c r="Z399" s="168">
        <f t="shared" ca="1" si="1538"/>
        <v>-26.045913914270578</v>
      </c>
      <c r="AA399" s="168">
        <f t="shared" ca="1" si="1527"/>
        <v>-487.98140556487226</v>
      </c>
      <c r="AB399" s="168">
        <f t="shared" ca="1" si="1528"/>
        <v>0</v>
      </c>
      <c r="AC399" s="124">
        <f t="shared" ca="1" si="1529"/>
        <v>0.18635534501235387</v>
      </c>
      <c r="AD399" s="120">
        <f t="shared" ca="1" si="1575"/>
        <v>3.5616438356164383E-2</v>
      </c>
      <c r="AE399" s="120">
        <f t="shared" ca="1" si="1576"/>
        <v>20</v>
      </c>
      <c r="AF399" s="120"/>
      <c r="AG399" s="120"/>
      <c r="AH399" s="120">
        <f t="shared" ca="1" si="755"/>
        <v>0</v>
      </c>
      <c r="AI399" s="120"/>
      <c r="AJ399" s="120">
        <f t="shared" ca="1" si="756"/>
        <v>0.39074999999999999</v>
      </c>
      <c r="AK399" s="120"/>
      <c r="AL399" s="147"/>
      <c r="AM399" s="160"/>
      <c r="AN399" s="160"/>
      <c r="AO399" s="160"/>
      <c r="AP399" s="160"/>
      <c r="AQ399" s="160"/>
      <c r="AR399" s="160"/>
      <c r="AS399" s="160"/>
      <c r="AT399" s="160"/>
      <c r="AU399" s="160"/>
      <c r="AV399" s="160"/>
      <c r="AW399" s="160"/>
      <c r="AX399" s="160"/>
      <c r="AY399" s="160"/>
      <c r="AZ399" s="160"/>
      <c r="BA399" s="160"/>
      <c r="BB399" s="160"/>
      <c r="BC399" s="160"/>
      <c r="BD399" s="160"/>
      <c r="BE399" s="160"/>
      <c r="BF399" s="160"/>
      <c r="BG399" s="160"/>
      <c r="BS399" s="13">
        <v>2</v>
      </c>
      <c r="BT399" s="128">
        <v>44491</v>
      </c>
      <c r="BU399" s="121" t="s">
        <v>8</v>
      </c>
      <c r="BV399" s="120" t="s">
        <v>482</v>
      </c>
      <c r="BW399" s="121" t="s">
        <v>502</v>
      </c>
      <c r="BX399" s="120">
        <v>18400</v>
      </c>
      <c r="BY399" s="120">
        <v>41.7</v>
      </c>
      <c r="BZ399" s="120">
        <v>47.945</v>
      </c>
      <c r="CA399" s="124">
        <v>-3216.6708800000001</v>
      </c>
      <c r="CB399" s="120">
        <v>1.1497601918465228</v>
      </c>
      <c r="CC399" s="120">
        <v>500</v>
      </c>
      <c r="CD399" s="120">
        <v>50</v>
      </c>
      <c r="CE399" s="124">
        <v>20850</v>
      </c>
    </row>
    <row r="400" spans="1:83" hidden="1">
      <c r="A400" s="13">
        <f t="shared" ca="1" si="753"/>
        <v>393</v>
      </c>
      <c r="B400" s="128">
        <v>44749</v>
      </c>
      <c r="C400" s="121" t="s">
        <v>8</v>
      </c>
      <c r="D400" s="121">
        <v>1</v>
      </c>
      <c r="E400" s="120" t="s">
        <v>482</v>
      </c>
      <c r="F400" s="121" t="s">
        <v>502</v>
      </c>
      <c r="G400" s="120">
        <v>15200</v>
      </c>
      <c r="H400" s="122">
        <v>44770</v>
      </c>
      <c r="I400" s="120">
        <v>50</v>
      </c>
      <c r="J400" s="120">
        <v>66.3</v>
      </c>
      <c r="K400" s="120">
        <v>0</v>
      </c>
      <c r="L400" s="124">
        <f t="shared" ref="L400:L401" ca="1" si="1577">IF(AND(K400&lt;&gt;0,I400&lt;&gt;0),(IF(C400="B",1,-1))*(K400-J400)*I400-AK400*2,0)*$D400*IF(MONTH($B$2)=MONTH($H400),1,0)</f>
        <v>0</v>
      </c>
      <c r="M400" s="124">
        <f t="shared" ref="M400:M401" ca="1" si="1578">IF(AND(K400&lt;&gt;0,I400&lt;&gt;0),(IF(C400="B",1,-1))*(K400-J400)*I400-AK400*2,0)*$D400</f>
        <v>0</v>
      </c>
      <c r="N400" s="120">
        <f t="shared" ref="N400:N401" ca="1" si="1579">K400/$J400</f>
        <v>0</v>
      </c>
      <c r="O400" s="164">
        <f t="shared" ref="O400:O401" ca="1" si="1580">J400*(1+$O$6*IF(C400="B",-1,1))</f>
        <v>82.875</v>
      </c>
      <c r="P400" s="168">
        <f t="shared" ca="1" si="754"/>
        <v>3315</v>
      </c>
      <c r="Q400" s="168">
        <f t="shared" ref="Q400:Q401" ca="1" si="1581">(W400-J400)*I400*IF(C400="B",1,-1)*IF(K400=0,1,0)</f>
        <v>1497.4999999999998</v>
      </c>
      <c r="R400" s="184">
        <f t="shared" ca="1" si="1535"/>
        <v>89831.582278854024</v>
      </c>
      <c r="S400" s="124">
        <f t="shared" ref="S400:S401" ca="1" si="1582">(1-$S$6)*J400</f>
        <v>6.6299999999999981</v>
      </c>
      <c r="T400" s="120">
        <f ca="1">VLOOKUP(TRIM($F400),Reference!B:C,2,0)</f>
        <v>15938.65</v>
      </c>
      <c r="U400" s="181">
        <f t="shared" ref="U400:U401" ca="1" si="1583">AC400</f>
        <v>0.21711827945499565</v>
      </c>
      <c r="V400" s="125" t="str">
        <f t="shared" ca="1" si="1524"/>
        <v>NIFTY22JUL15200PE</v>
      </c>
      <c r="W400" s="166">
        <f ca="1">VLOOKUP($V400,Reference!BA:BD,4,0)</f>
        <v>36.35</v>
      </c>
      <c r="X400" s="168">
        <f t="shared" ca="1" si="1525"/>
        <v>-1817.5000000000409</v>
      </c>
      <c r="Y400" s="168">
        <f t="shared" ca="1" si="1526"/>
        <v>-0.11272169509820973</v>
      </c>
      <c r="Z400" s="168">
        <f t="shared" ca="1" si="1538"/>
        <v>5.6360847549104864</v>
      </c>
      <c r="AA400" s="168">
        <f t="shared" ca="1" si="1527"/>
        <v>252.87965175601261</v>
      </c>
      <c r="AB400" s="168">
        <f t="shared" ca="1" si="1528"/>
        <v>0</v>
      </c>
      <c r="AC400" s="124">
        <f t="shared" ca="1" si="1529"/>
        <v>0.21711827945499565</v>
      </c>
      <c r="AD400" s="120">
        <f t="shared" ref="AD400:AD401" ca="1" si="1584">(H400-TODAY())/365</f>
        <v>3.5616438356164383E-2</v>
      </c>
      <c r="AE400" s="120">
        <f t="shared" ref="AE400:AE401" ca="1" si="1585">IF(I400&lt;&gt;0,20,0)</f>
        <v>20</v>
      </c>
      <c r="AF400" s="120"/>
      <c r="AG400" s="120"/>
      <c r="AH400" s="120">
        <f t="shared" ca="1" si="755"/>
        <v>1.6575</v>
      </c>
      <c r="AI400" s="120"/>
      <c r="AJ400" s="120">
        <f t="shared" ca="1" si="756"/>
        <v>0</v>
      </c>
      <c r="AK400" s="120"/>
      <c r="AL400" s="147"/>
      <c r="AM400" s="160"/>
      <c r="AN400" s="160"/>
      <c r="AO400" s="160"/>
      <c r="AP400" s="160"/>
      <c r="AQ400" s="160"/>
      <c r="AR400" s="160"/>
      <c r="AS400" s="160"/>
      <c r="AT400" s="160"/>
      <c r="AU400" s="160"/>
      <c r="AV400" s="160"/>
      <c r="AW400" s="160"/>
      <c r="AX400" s="160"/>
      <c r="AY400" s="160"/>
      <c r="AZ400" s="160"/>
      <c r="BA400" s="160"/>
      <c r="BB400" s="160"/>
      <c r="BC400" s="160"/>
      <c r="BD400" s="160"/>
      <c r="BE400" s="160"/>
      <c r="BF400" s="160"/>
      <c r="BG400" s="160"/>
      <c r="BS400" s="13">
        <v>2</v>
      </c>
      <c r="BT400" s="128">
        <v>44491</v>
      </c>
      <c r="BU400" s="121" t="s">
        <v>8</v>
      </c>
      <c r="BV400" s="120" t="s">
        <v>482</v>
      </c>
      <c r="BW400" s="121" t="s">
        <v>502</v>
      </c>
      <c r="BX400" s="120">
        <v>18400</v>
      </c>
      <c r="BY400" s="120">
        <v>41.7</v>
      </c>
      <c r="BZ400" s="120">
        <v>47.945</v>
      </c>
      <c r="CA400" s="124">
        <v>-3216.6708800000001</v>
      </c>
      <c r="CB400" s="120">
        <v>1.1497601918465228</v>
      </c>
      <c r="CC400" s="120">
        <v>500</v>
      </c>
      <c r="CD400" s="120">
        <v>50</v>
      </c>
      <c r="CE400" s="124">
        <v>20850</v>
      </c>
    </row>
    <row r="401" spans="1:83" hidden="1">
      <c r="A401" s="13">
        <f t="shared" ca="1" si="753"/>
        <v>394</v>
      </c>
      <c r="B401" s="128">
        <v>44749</v>
      </c>
      <c r="C401" s="121" t="s">
        <v>8</v>
      </c>
      <c r="D401" s="121">
        <v>1</v>
      </c>
      <c r="E401" s="120" t="s">
        <v>481</v>
      </c>
      <c r="F401" s="121" t="s">
        <v>126</v>
      </c>
      <c r="G401" s="120">
        <v>172.5</v>
      </c>
      <c r="H401" s="122">
        <v>44770</v>
      </c>
      <c r="I401" s="120">
        <v>3750</v>
      </c>
      <c r="J401" s="120">
        <v>3.6</v>
      </c>
      <c r="K401" s="120">
        <v>0</v>
      </c>
      <c r="L401" s="124">
        <f t="shared" ca="1" si="1577"/>
        <v>0</v>
      </c>
      <c r="M401" s="124">
        <f t="shared" ca="1" si="1578"/>
        <v>0</v>
      </c>
      <c r="N401" s="120">
        <f t="shared" ca="1" si="1579"/>
        <v>0</v>
      </c>
      <c r="O401" s="164">
        <f t="shared" ca="1" si="1580"/>
        <v>4.5</v>
      </c>
      <c r="P401" s="168">
        <f t="shared" ca="1" si="754"/>
        <v>13500</v>
      </c>
      <c r="Q401" s="168">
        <f t="shared" ca="1" si="1581"/>
        <v>4312.5</v>
      </c>
      <c r="R401" s="184">
        <f t="shared" ca="1" si="1535"/>
        <v>-167054.11413166916</v>
      </c>
      <c r="S401" s="124">
        <f t="shared" ca="1" si="1582"/>
        <v>0.35999999999999993</v>
      </c>
      <c r="T401" s="120">
        <f ca="1">VLOOKUP(TRIM($F401),Reference!B:C,2,0)</f>
        <v>162.15</v>
      </c>
      <c r="U401" s="181">
        <f t="shared" ca="1" si="1583"/>
        <v>0.49666086981585922</v>
      </c>
      <c r="V401" s="125" t="str">
        <f t="shared" ca="1" si="1524"/>
        <v>IEX22JUL172.5CE</v>
      </c>
      <c r="W401" s="166">
        <f ca="1">VLOOKUP($V401,Reference!BA:BD,4,0)</f>
        <v>2.4500000000000002</v>
      </c>
      <c r="X401" s="168">
        <f t="shared" ca="1" si="1525"/>
        <v>-9187.5000000000109</v>
      </c>
      <c r="Y401" s="168">
        <f t="shared" ca="1" si="1526"/>
        <v>0.27473181479152087</v>
      </c>
      <c r="Z401" s="168">
        <f t="shared" ca="1" si="1538"/>
        <v>-1030.2443054682033</v>
      </c>
      <c r="AA401" s="168">
        <f t="shared" ca="1" si="1527"/>
        <v>709.473648199634</v>
      </c>
      <c r="AB401" s="168">
        <f t="shared" ca="1" si="1528"/>
        <v>0</v>
      </c>
      <c r="AC401" s="124">
        <f t="shared" ca="1" si="1529"/>
        <v>0.49666086981585922</v>
      </c>
      <c r="AD401" s="120">
        <f t="shared" ca="1" si="1584"/>
        <v>3.5616438356164383E-2</v>
      </c>
      <c r="AE401" s="120">
        <f t="shared" ca="1" si="1585"/>
        <v>20</v>
      </c>
      <c r="AF401" s="120"/>
      <c r="AG401" s="120"/>
      <c r="AH401" s="120">
        <f t="shared" ca="1" si="755"/>
        <v>6.75</v>
      </c>
      <c r="AI401" s="120"/>
      <c r="AJ401" s="120">
        <f t="shared" ca="1" si="756"/>
        <v>0</v>
      </c>
      <c r="AK401" s="120"/>
      <c r="AL401" s="147"/>
      <c r="AM401" s="160"/>
      <c r="AN401" s="160"/>
      <c r="AO401" s="160"/>
      <c r="AP401" s="160"/>
      <c r="AQ401" s="160"/>
      <c r="AR401" s="160"/>
      <c r="AS401" s="160"/>
      <c r="AT401" s="160"/>
      <c r="AU401" s="160"/>
      <c r="AV401" s="160"/>
      <c r="AW401" s="160"/>
      <c r="AX401" s="160"/>
      <c r="AY401" s="160"/>
      <c r="AZ401" s="160"/>
      <c r="BA401" s="160"/>
      <c r="BB401" s="160"/>
      <c r="BC401" s="160"/>
      <c r="BD401" s="160"/>
      <c r="BE401" s="160"/>
      <c r="BF401" s="160"/>
      <c r="BG401" s="160"/>
      <c r="BS401" s="13">
        <v>2</v>
      </c>
      <c r="BT401" s="128">
        <v>44491</v>
      </c>
      <c r="BU401" s="121" t="s">
        <v>8</v>
      </c>
      <c r="BV401" s="120" t="s">
        <v>482</v>
      </c>
      <c r="BW401" s="121" t="s">
        <v>502</v>
      </c>
      <c r="BX401" s="120">
        <v>18400</v>
      </c>
      <c r="BY401" s="120">
        <v>41.7</v>
      </c>
      <c r="BZ401" s="120">
        <v>47.945</v>
      </c>
      <c r="CA401" s="124">
        <v>-3216.6708800000001</v>
      </c>
      <c r="CB401" s="120">
        <v>1.1497601918465228</v>
      </c>
      <c r="CC401" s="120">
        <v>500</v>
      </c>
      <c r="CD401" s="120">
        <v>50</v>
      </c>
      <c r="CE401" s="124">
        <v>20850</v>
      </c>
    </row>
    <row r="402" spans="1:83" hidden="1">
      <c r="A402" s="13">
        <f t="shared" ca="1" si="753"/>
        <v>395</v>
      </c>
      <c r="B402" s="128">
        <v>44749</v>
      </c>
      <c r="C402" s="121" t="s">
        <v>8</v>
      </c>
      <c r="D402" s="121">
        <v>1</v>
      </c>
      <c r="E402" s="120" t="s">
        <v>481</v>
      </c>
      <c r="F402" s="121" t="s">
        <v>90</v>
      </c>
      <c r="G402" s="120">
        <v>3400</v>
      </c>
      <c r="H402" s="122">
        <v>44770</v>
      </c>
      <c r="I402" s="120">
        <v>150</v>
      </c>
      <c r="J402" s="120">
        <v>50.15</v>
      </c>
      <c r="K402" s="120">
        <v>0</v>
      </c>
      <c r="L402" s="124">
        <f t="shared" ref="L402:L403" ca="1" si="1586">IF(AND(K402&lt;&gt;0,I402&lt;&gt;0),(IF(C402="B",1,-1))*(K402-J402)*I402-AK402*2,0)*$D402*IF(MONTH($B$2)=MONTH($H402),1,0)</f>
        <v>0</v>
      </c>
      <c r="M402" s="124">
        <f t="shared" ref="M402:M403" ca="1" si="1587">IF(AND(K402&lt;&gt;0,I402&lt;&gt;0),(IF(C402="B",1,-1))*(K402-J402)*I402-AK402*2,0)*$D402</f>
        <v>0</v>
      </c>
      <c r="N402" s="120">
        <f t="shared" ref="N402:N403" ca="1" si="1588">K402/$J402</f>
        <v>0</v>
      </c>
      <c r="O402" s="164">
        <f t="shared" ref="O402:O403" ca="1" si="1589">J402*(1+$O$6*IF(C402="B",-1,1))</f>
        <v>62.6875</v>
      </c>
      <c r="P402" s="168">
        <f t="shared" ca="1" si="754"/>
        <v>7522.5</v>
      </c>
      <c r="Q402" s="168">
        <f t="shared" ref="Q402:Q403" ca="1" si="1590">(W402-J402)*I402*IF(C402="B",1,-1)*IF(K402=0,1,0)</f>
        <v>7079.9999999999991</v>
      </c>
      <c r="R402" s="184">
        <f t="shared" ca="1" si="1535"/>
        <v>-16796.963282837933</v>
      </c>
      <c r="S402" s="124">
        <f t="shared" ref="S402:S403" ca="1" si="1591">(1-$S$6)*J402</f>
        <v>5.0149999999999988</v>
      </c>
      <c r="T402" s="120">
        <f ca="1">VLOOKUP(TRIM($F402),Reference!B:C,2,0)</f>
        <v>3003</v>
      </c>
      <c r="U402" s="181">
        <f t="shared" ref="U402:U403" ca="1" si="1592">AC402</f>
        <v>0.35810040110597796</v>
      </c>
      <c r="V402" s="125" t="str">
        <f t="shared" ca="1" si="1524"/>
        <v>TCS22JUL3400CE</v>
      </c>
      <c r="W402" s="166">
        <f ca="1">VLOOKUP($V402,Reference!BA:BD,4,0)</f>
        <v>2.95</v>
      </c>
      <c r="X402" s="168">
        <f t="shared" ca="1" si="1525"/>
        <v>-442.49999999998761</v>
      </c>
      <c r="Y402" s="168">
        <f t="shared" ca="1" si="1526"/>
        <v>3.7289295777195988E-2</v>
      </c>
      <c r="Z402" s="168">
        <f t="shared" ca="1" si="1538"/>
        <v>-5.5933943665793979</v>
      </c>
      <c r="AA402" s="168">
        <f t="shared" ca="1" si="1527"/>
        <v>93.050356321903564</v>
      </c>
      <c r="AB402" s="168">
        <f t="shared" ca="1" si="1528"/>
        <v>0</v>
      </c>
      <c r="AC402" s="124">
        <f t="shared" ca="1" si="1529"/>
        <v>0.35810040110597796</v>
      </c>
      <c r="AD402" s="120">
        <f t="shared" ref="AD402:AD403" ca="1" si="1593">(H402-TODAY())/365</f>
        <v>3.5616438356164383E-2</v>
      </c>
      <c r="AE402" s="120">
        <f t="shared" ref="AE402:AE403" ca="1" si="1594">IF(I402&lt;&gt;0,20,0)</f>
        <v>20</v>
      </c>
      <c r="AF402" s="120"/>
      <c r="AG402" s="120"/>
      <c r="AH402" s="120">
        <f t="shared" ca="1" si="755"/>
        <v>3.76125</v>
      </c>
      <c r="AI402" s="120"/>
      <c r="AJ402" s="120">
        <f t="shared" ca="1" si="756"/>
        <v>0</v>
      </c>
      <c r="AK402" s="120"/>
      <c r="AL402" s="147"/>
      <c r="AM402" s="160"/>
      <c r="AN402" s="160"/>
      <c r="AO402" s="160"/>
      <c r="AP402" s="160"/>
      <c r="AQ402" s="160"/>
      <c r="AR402" s="160"/>
      <c r="AS402" s="160"/>
      <c r="AT402" s="160"/>
      <c r="AU402" s="160"/>
      <c r="AV402" s="160"/>
      <c r="AW402" s="160"/>
      <c r="AX402" s="160"/>
      <c r="AY402" s="160"/>
      <c r="AZ402" s="160"/>
      <c r="BA402" s="160"/>
      <c r="BB402" s="160"/>
      <c r="BC402" s="160"/>
      <c r="BD402" s="160"/>
      <c r="BE402" s="160"/>
      <c r="BF402" s="160"/>
      <c r="BG402" s="160"/>
      <c r="BS402" s="13">
        <v>2</v>
      </c>
      <c r="BT402" s="128">
        <v>44491</v>
      </c>
      <c r="BU402" s="121" t="s">
        <v>8</v>
      </c>
      <c r="BV402" s="120" t="s">
        <v>482</v>
      </c>
      <c r="BW402" s="121" t="s">
        <v>502</v>
      </c>
      <c r="BX402" s="120">
        <v>18400</v>
      </c>
      <c r="BY402" s="120">
        <v>41.7</v>
      </c>
      <c r="BZ402" s="120">
        <v>47.945</v>
      </c>
      <c r="CA402" s="124">
        <v>-3216.6708800000001</v>
      </c>
      <c r="CB402" s="120">
        <v>1.1497601918465228</v>
      </c>
      <c r="CC402" s="120">
        <v>500</v>
      </c>
      <c r="CD402" s="120">
        <v>50</v>
      </c>
      <c r="CE402" s="124">
        <v>20850</v>
      </c>
    </row>
    <row r="403" spans="1:83" hidden="1">
      <c r="A403" s="13">
        <f t="shared" ca="1" si="753"/>
        <v>396</v>
      </c>
      <c r="B403" s="128">
        <v>44750</v>
      </c>
      <c r="C403" s="121" t="s">
        <v>6</v>
      </c>
      <c r="D403" s="121">
        <v>1</v>
      </c>
      <c r="E403" s="120" t="s">
        <v>632</v>
      </c>
      <c r="F403" s="121" t="s">
        <v>399</v>
      </c>
      <c r="G403" s="120" t="s">
        <v>568</v>
      </c>
      <c r="H403" s="122">
        <v>44798</v>
      </c>
      <c r="I403" s="120">
        <v>300</v>
      </c>
      <c r="J403" s="120">
        <v>1659.98</v>
      </c>
      <c r="K403" s="120">
        <v>0</v>
      </c>
      <c r="L403" s="124">
        <f t="shared" ca="1" si="1586"/>
        <v>0</v>
      </c>
      <c r="M403" s="124">
        <f t="shared" ca="1" si="1587"/>
        <v>0</v>
      </c>
      <c r="N403" s="120">
        <f t="shared" ca="1" si="1588"/>
        <v>0</v>
      </c>
      <c r="O403" s="164">
        <f t="shared" ca="1" si="1589"/>
        <v>1244.9850000000001</v>
      </c>
      <c r="P403" s="168">
        <f t="shared" ca="1" si="754"/>
        <v>497994</v>
      </c>
      <c r="Q403" s="168">
        <f t="shared" ca="1" si="1590"/>
        <v>-8829.0000000000182</v>
      </c>
      <c r="R403" s="184">
        <f t="shared" ca="1" si="1535"/>
        <v>493800</v>
      </c>
      <c r="S403" s="124">
        <f t="shared" ca="1" si="1591"/>
        <v>165.99799999999996</v>
      </c>
      <c r="T403" s="120">
        <f ca="1">VLOOKUP(TRIM($F403),Reference!B:C,2,0)</f>
        <v>1646</v>
      </c>
      <c r="U403" s="181">
        <f t="shared" ca="1" si="1592"/>
        <v>0</v>
      </c>
      <c r="V403" s="125" t="str">
        <f t="shared" ca="1" si="1524"/>
        <v>LT22AUGFUT</v>
      </c>
      <c r="W403" s="166">
        <f ca="1">VLOOKUP($V403,Reference!BA:BD,4,0)</f>
        <v>1630.55</v>
      </c>
      <c r="X403" s="168">
        <f t="shared" ca="1" si="1525"/>
        <v>489165</v>
      </c>
      <c r="Y403" s="168">
        <f t="shared" ca="1" si="1526"/>
        <v>1</v>
      </c>
      <c r="Z403" s="168">
        <f t="shared" ca="1" si="1538"/>
        <v>300</v>
      </c>
      <c r="AA403" s="168">
        <f t="shared" ca="1" si="1527"/>
        <v>0</v>
      </c>
      <c r="AB403" s="168">
        <f t="shared" ca="1" si="1528"/>
        <v>0</v>
      </c>
      <c r="AC403" s="124">
        <f t="shared" ca="1" si="1529"/>
        <v>0</v>
      </c>
      <c r="AD403" s="120">
        <f t="shared" ca="1" si="1593"/>
        <v>0.11232876712328767</v>
      </c>
      <c r="AE403" s="120">
        <f t="shared" ca="1" si="1594"/>
        <v>20</v>
      </c>
      <c r="AF403" s="120"/>
      <c r="AG403" s="120"/>
      <c r="AH403" s="120">
        <f t="shared" ca="1" si="755"/>
        <v>0</v>
      </c>
      <c r="AI403" s="120"/>
      <c r="AJ403" s="120">
        <f t="shared" ca="1" si="756"/>
        <v>14.939820000000001</v>
      </c>
      <c r="AK403" s="120"/>
      <c r="AL403" s="147"/>
      <c r="AM403" s="160"/>
      <c r="AN403" s="160"/>
      <c r="AO403" s="160"/>
      <c r="AP403" s="160"/>
      <c r="AQ403" s="160"/>
      <c r="AR403" s="160"/>
      <c r="AS403" s="160"/>
      <c r="AT403" s="160"/>
      <c r="AU403" s="160"/>
      <c r="AV403" s="160"/>
      <c r="AW403" s="160"/>
      <c r="AX403" s="160"/>
      <c r="AY403" s="160"/>
      <c r="AZ403" s="160"/>
      <c r="BA403" s="160"/>
      <c r="BB403" s="160"/>
      <c r="BC403" s="160"/>
      <c r="BD403" s="160"/>
      <c r="BE403" s="160"/>
      <c r="BF403" s="160"/>
      <c r="BG403" s="160"/>
      <c r="BS403" s="13">
        <v>2</v>
      </c>
      <c r="BT403" s="128">
        <v>44491</v>
      </c>
      <c r="BU403" s="121" t="s">
        <v>8</v>
      </c>
      <c r="BV403" s="120" t="s">
        <v>482</v>
      </c>
      <c r="BW403" s="121" t="s">
        <v>502</v>
      </c>
      <c r="BX403" s="120">
        <v>18400</v>
      </c>
      <c r="BY403" s="120">
        <v>41.7</v>
      </c>
      <c r="BZ403" s="120">
        <v>47.945</v>
      </c>
      <c r="CA403" s="124">
        <v>-3216.6708800000001</v>
      </c>
      <c r="CB403" s="120">
        <v>1.1497601918465228</v>
      </c>
      <c r="CC403" s="120">
        <v>500</v>
      </c>
      <c r="CD403" s="120">
        <v>50</v>
      </c>
      <c r="CE403" s="124">
        <v>20850</v>
      </c>
    </row>
    <row r="404" spans="1:83" hidden="1">
      <c r="A404" s="13">
        <f t="shared" ca="1" si="753"/>
        <v>397</v>
      </c>
      <c r="B404" s="128">
        <v>44750</v>
      </c>
      <c r="C404" s="121" t="s">
        <v>6</v>
      </c>
      <c r="D404" s="121">
        <v>1</v>
      </c>
      <c r="E404" s="120" t="s">
        <v>632</v>
      </c>
      <c r="F404" s="121" t="s">
        <v>399</v>
      </c>
      <c r="G404" s="120" t="s">
        <v>568</v>
      </c>
      <c r="H404" s="122">
        <v>44798</v>
      </c>
      <c r="I404" s="120">
        <v>300</v>
      </c>
      <c r="J404" s="120">
        <v>1659.98</v>
      </c>
      <c r="K404" s="120">
        <v>0</v>
      </c>
      <c r="L404" s="124">
        <f t="shared" ref="L404:L405" ca="1" si="1595">IF(AND(K404&lt;&gt;0,I404&lt;&gt;0),(IF(C404="B",1,-1))*(K404-J404)*I404-AK404*2,0)*$D404*IF(MONTH($B$2)=MONTH($H404),1,0)</f>
        <v>0</v>
      </c>
      <c r="M404" s="124">
        <f t="shared" ref="M404:M405" ca="1" si="1596">IF(AND(K404&lt;&gt;0,I404&lt;&gt;0),(IF(C404="B",1,-1))*(K404-J404)*I404-AK404*2,0)*$D404</f>
        <v>0</v>
      </c>
      <c r="N404" s="120">
        <f t="shared" ref="N404:N405" ca="1" si="1597">K404/$J404</f>
        <v>0</v>
      </c>
      <c r="O404" s="164">
        <f t="shared" ref="O404:O405" ca="1" si="1598">J404*(1+$O$6*IF(C404="B",-1,1))</f>
        <v>1244.9850000000001</v>
      </c>
      <c r="P404" s="168">
        <f t="shared" ca="1" si="754"/>
        <v>497994</v>
      </c>
      <c r="Q404" s="168">
        <f t="shared" ref="Q404:Q405" ca="1" si="1599">(W404-J404)*I404*IF(C404="B",1,-1)*IF(K404=0,1,0)</f>
        <v>-8829.0000000000182</v>
      </c>
      <c r="R404" s="184">
        <f t="shared" ca="1" si="1535"/>
        <v>493800</v>
      </c>
      <c r="S404" s="124">
        <f t="shared" ref="S404:S405" ca="1" si="1600">(1-$S$6)*J404</f>
        <v>165.99799999999996</v>
      </c>
      <c r="T404" s="120">
        <f ca="1">VLOOKUP(TRIM($F404),Reference!B:C,2,0)</f>
        <v>1646</v>
      </c>
      <c r="U404" s="181">
        <f t="shared" ref="U404:U405" ca="1" si="1601">AC404</f>
        <v>0</v>
      </c>
      <c r="V404" s="125" t="str">
        <f t="shared" ca="1" si="1524"/>
        <v>LT22AUGFUT</v>
      </c>
      <c r="W404" s="166">
        <f ca="1">VLOOKUP($V404,Reference!BA:BD,4,0)</f>
        <v>1630.55</v>
      </c>
      <c r="X404" s="168">
        <f t="shared" ca="1" si="1525"/>
        <v>489165</v>
      </c>
      <c r="Y404" s="168">
        <f t="shared" ca="1" si="1526"/>
        <v>1</v>
      </c>
      <c r="Z404" s="168">
        <f t="shared" ca="1" si="1538"/>
        <v>300</v>
      </c>
      <c r="AA404" s="168">
        <f t="shared" ca="1" si="1527"/>
        <v>0</v>
      </c>
      <c r="AB404" s="168">
        <f t="shared" ca="1" si="1528"/>
        <v>0</v>
      </c>
      <c r="AC404" s="124">
        <f t="shared" ca="1" si="1529"/>
        <v>0</v>
      </c>
      <c r="AD404" s="120">
        <f t="shared" ref="AD404:AD405" ca="1" si="1602">(H404-TODAY())/365</f>
        <v>0.11232876712328767</v>
      </c>
      <c r="AE404" s="120">
        <f t="shared" ref="AE404:AE405" ca="1" si="1603">IF(I404&lt;&gt;0,20,0)</f>
        <v>20</v>
      </c>
      <c r="AF404" s="120"/>
      <c r="AG404" s="120"/>
      <c r="AH404" s="120">
        <f t="shared" ca="1" si="755"/>
        <v>0</v>
      </c>
      <c r="AI404" s="120"/>
      <c r="AJ404" s="120">
        <f t="shared" ca="1" si="756"/>
        <v>14.939820000000001</v>
      </c>
      <c r="AK404" s="120"/>
      <c r="AL404" s="147"/>
      <c r="AM404" s="160"/>
      <c r="AN404" s="160"/>
      <c r="AO404" s="160"/>
      <c r="AP404" s="160"/>
      <c r="AQ404" s="160"/>
      <c r="AR404" s="160"/>
      <c r="AS404" s="160"/>
      <c r="AT404" s="160"/>
      <c r="AU404" s="160"/>
      <c r="AV404" s="160"/>
      <c r="AW404" s="160"/>
      <c r="AX404" s="160"/>
      <c r="AY404" s="160"/>
      <c r="AZ404" s="160"/>
      <c r="BA404" s="160"/>
      <c r="BB404" s="160"/>
      <c r="BC404" s="160"/>
      <c r="BD404" s="160"/>
      <c r="BE404" s="160"/>
      <c r="BF404" s="160"/>
      <c r="BG404" s="160"/>
      <c r="BS404" s="13">
        <v>2</v>
      </c>
      <c r="BT404" s="128">
        <v>44491</v>
      </c>
      <c r="BU404" s="121" t="s">
        <v>8</v>
      </c>
      <c r="BV404" s="120" t="s">
        <v>482</v>
      </c>
      <c r="BW404" s="121" t="s">
        <v>502</v>
      </c>
      <c r="BX404" s="120">
        <v>18400</v>
      </c>
      <c r="BY404" s="120">
        <v>41.7</v>
      </c>
      <c r="BZ404" s="120">
        <v>47.945</v>
      </c>
      <c r="CA404" s="124">
        <v>-3216.6708800000001</v>
      </c>
      <c r="CB404" s="120">
        <v>1.1497601918465228</v>
      </c>
      <c r="CC404" s="120">
        <v>500</v>
      </c>
      <c r="CD404" s="120">
        <v>50</v>
      </c>
      <c r="CE404" s="124">
        <v>20850</v>
      </c>
    </row>
    <row r="405" spans="1:83" hidden="1">
      <c r="A405" s="13">
        <f t="shared" ca="1" si="753"/>
        <v>398</v>
      </c>
      <c r="B405" s="128">
        <v>44750</v>
      </c>
      <c r="C405" s="121" t="s">
        <v>6</v>
      </c>
      <c r="D405" s="121">
        <v>1</v>
      </c>
      <c r="E405" s="120" t="s">
        <v>482</v>
      </c>
      <c r="F405" s="121" t="s">
        <v>399</v>
      </c>
      <c r="G405" s="120">
        <v>1640</v>
      </c>
      <c r="H405" s="122">
        <v>44770</v>
      </c>
      <c r="I405" s="120">
        <v>300</v>
      </c>
      <c r="J405" s="120">
        <v>30</v>
      </c>
      <c r="K405" s="120">
        <v>0</v>
      </c>
      <c r="L405" s="124">
        <f t="shared" ca="1" si="1595"/>
        <v>0</v>
      </c>
      <c r="M405" s="124">
        <f t="shared" ca="1" si="1596"/>
        <v>0</v>
      </c>
      <c r="N405" s="120">
        <f t="shared" ca="1" si="1597"/>
        <v>0</v>
      </c>
      <c r="O405" s="164">
        <f t="shared" ca="1" si="1598"/>
        <v>22.5</v>
      </c>
      <c r="P405" s="168">
        <f t="shared" ca="1" si="754"/>
        <v>9000</v>
      </c>
      <c r="Q405" s="168">
        <f t="shared" ca="1" si="1599"/>
        <v>2760.0000000000009</v>
      </c>
      <c r="R405" s="184">
        <f t="shared" ca="1" si="1535"/>
        <v>-225426.90477660915</v>
      </c>
      <c r="S405" s="124">
        <f t="shared" ca="1" si="1600"/>
        <v>2.9999999999999991</v>
      </c>
      <c r="T405" s="120">
        <f ca="1">VLOOKUP(TRIM($F405),Reference!B:C,2,0)</f>
        <v>1646</v>
      </c>
      <c r="U405" s="181">
        <f t="shared" ca="1" si="1601"/>
        <v>0.34969344336260738</v>
      </c>
      <c r="V405" s="125" t="str">
        <f t="shared" ca="1" si="1524"/>
        <v>LT22JUL1640PE</v>
      </c>
      <c r="W405" s="166">
        <f ca="1">VLOOKUP($V405,Reference!BA:BD,4,0)</f>
        <v>39.200000000000003</v>
      </c>
      <c r="X405" s="168">
        <f t="shared" ca="1" si="1525"/>
        <v>11760.000000000015</v>
      </c>
      <c r="Y405" s="168">
        <f t="shared" ca="1" si="1526"/>
        <v>-0.45651459047510967</v>
      </c>
      <c r="Z405" s="168">
        <f t="shared" ca="1" si="1538"/>
        <v>-136.95437714253291</v>
      </c>
      <c r="AA405" s="168">
        <f t="shared" ca="1" si="1527"/>
        <v>-529.54058016939018</v>
      </c>
      <c r="AB405" s="168">
        <f t="shared" ca="1" si="1528"/>
        <v>0</v>
      </c>
      <c r="AC405" s="124">
        <f t="shared" ca="1" si="1529"/>
        <v>0.34969344336260738</v>
      </c>
      <c r="AD405" s="120">
        <f t="shared" ca="1" si="1602"/>
        <v>3.5616438356164383E-2</v>
      </c>
      <c r="AE405" s="120">
        <f t="shared" ca="1" si="1603"/>
        <v>20</v>
      </c>
      <c r="AF405" s="120"/>
      <c r="AG405" s="120"/>
      <c r="AH405" s="120">
        <f t="shared" ca="1" si="755"/>
        <v>0</v>
      </c>
      <c r="AI405" s="120"/>
      <c r="AJ405" s="120">
        <f t="shared" ca="1" si="756"/>
        <v>0.27</v>
      </c>
      <c r="AK405" s="120"/>
      <c r="AL405" s="147"/>
      <c r="AM405" s="160"/>
      <c r="AN405" s="160"/>
      <c r="AO405" s="160"/>
      <c r="AP405" s="160"/>
      <c r="AQ405" s="160"/>
      <c r="AR405" s="160"/>
      <c r="AS405" s="160"/>
      <c r="AT405" s="160"/>
      <c r="AU405" s="160"/>
      <c r="AV405" s="160"/>
      <c r="AW405" s="160"/>
      <c r="AX405" s="160"/>
      <c r="AY405" s="160"/>
      <c r="AZ405" s="160"/>
      <c r="BA405" s="160"/>
      <c r="BB405" s="160"/>
      <c r="BC405" s="160"/>
      <c r="BD405" s="160"/>
      <c r="BE405" s="160"/>
      <c r="BF405" s="160"/>
      <c r="BG405" s="160"/>
      <c r="BS405" s="13">
        <v>2</v>
      </c>
      <c r="BT405" s="128">
        <v>44491</v>
      </c>
      <c r="BU405" s="121" t="s">
        <v>8</v>
      </c>
      <c r="BV405" s="120" t="s">
        <v>482</v>
      </c>
      <c r="BW405" s="121" t="s">
        <v>502</v>
      </c>
      <c r="BX405" s="120">
        <v>18400</v>
      </c>
      <c r="BY405" s="120">
        <v>41.7</v>
      </c>
      <c r="BZ405" s="120">
        <v>47.945</v>
      </c>
      <c r="CA405" s="124">
        <v>-3216.6708800000001</v>
      </c>
      <c r="CB405" s="120">
        <v>1.1497601918465228</v>
      </c>
      <c r="CC405" s="120">
        <v>500</v>
      </c>
      <c r="CD405" s="120">
        <v>50</v>
      </c>
      <c r="CE405" s="124">
        <v>20850</v>
      </c>
    </row>
    <row r="406" spans="1:83" hidden="1">
      <c r="A406" s="13">
        <f t="shared" ca="1" si="753"/>
        <v>399</v>
      </c>
      <c r="B406" s="128">
        <v>44750</v>
      </c>
      <c r="C406" s="121" t="s">
        <v>6</v>
      </c>
      <c r="D406" s="121">
        <v>1</v>
      </c>
      <c r="E406" s="120" t="s">
        <v>482</v>
      </c>
      <c r="F406" s="121" t="s">
        <v>399</v>
      </c>
      <c r="G406" s="120">
        <v>1640</v>
      </c>
      <c r="H406" s="122">
        <v>44770</v>
      </c>
      <c r="I406" s="120">
        <v>300</v>
      </c>
      <c r="J406" s="120">
        <v>30</v>
      </c>
      <c r="K406" s="120">
        <v>0</v>
      </c>
      <c r="L406" s="124">
        <f t="shared" ref="L406:L407" ca="1" si="1604">IF(AND(K406&lt;&gt;0,I406&lt;&gt;0),(IF(C406="B",1,-1))*(K406-J406)*I406-AK406*2,0)*$D406*IF(MONTH($B$2)=MONTH($H406),1,0)</f>
        <v>0</v>
      </c>
      <c r="M406" s="124">
        <f t="shared" ref="M406:M407" ca="1" si="1605">IF(AND(K406&lt;&gt;0,I406&lt;&gt;0),(IF(C406="B",1,-1))*(K406-J406)*I406-AK406*2,0)*$D406</f>
        <v>0</v>
      </c>
      <c r="N406" s="120">
        <f t="shared" ref="N406:N407" ca="1" si="1606">K406/$J406</f>
        <v>0</v>
      </c>
      <c r="O406" s="164">
        <f t="shared" ref="O406:O407" ca="1" si="1607">J406*(1+$O$6*IF(C406="B",-1,1))</f>
        <v>22.5</v>
      </c>
      <c r="P406" s="168">
        <f ca="1">$J406*$I406*$D406</f>
        <v>9000</v>
      </c>
      <c r="Q406" s="168">
        <f t="shared" ref="Q406:Q407" ca="1" si="1608">(W406-J406)*I406*IF(C406="B",1,-1)*IF(K406=0,1,0)</f>
        <v>2760.0000000000009</v>
      </c>
      <c r="R406" s="184">
        <f t="shared" ca="1" si="1535"/>
        <v>-225426.90477660915</v>
      </c>
      <c r="S406" s="124">
        <f t="shared" ref="S406:S407" ca="1" si="1609">(1-$S$6)*J406</f>
        <v>2.9999999999999991</v>
      </c>
      <c r="T406" s="120">
        <f ca="1">VLOOKUP(TRIM($F406),Reference!B:C,2,0)</f>
        <v>1646</v>
      </c>
      <c r="U406" s="181">
        <f t="shared" ref="U406:U407" ca="1" si="1610">AC406</f>
        <v>0.34969344336260738</v>
      </c>
      <c r="V406" s="125" t="str">
        <f t="shared" ca="1" si="1524"/>
        <v>LT22JUL1640PE</v>
      </c>
      <c r="W406" s="166">
        <f ca="1">VLOOKUP($V406,Reference!BA:BD,4,0)</f>
        <v>39.200000000000003</v>
      </c>
      <c r="X406" s="168">
        <f t="shared" ca="1" si="1525"/>
        <v>11760.000000000015</v>
      </c>
      <c r="Y406" s="168">
        <f t="shared" ca="1" si="1526"/>
        <v>-0.45651459047510967</v>
      </c>
      <c r="Z406" s="168">
        <f t="shared" ca="1" si="1538"/>
        <v>-136.95437714253291</v>
      </c>
      <c r="AA406" s="168">
        <f t="shared" ca="1" si="1527"/>
        <v>-529.54058016939018</v>
      </c>
      <c r="AB406" s="168">
        <f t="shared" ca="1" si="1528"/>
        <v>0</v>
      </c>
      <c r="AC406" s="124">
        <f t="shared" ca="1" si="1529"/>
        <v>0.34969344336260738</v>
      </c>
      <c r="AD406" s="120">
        <f t="shared" ref="AD406:AD407" ca="1" si="1611">(H406-TODAY())/365</f>
        <v>3.5616438356164383E-2</v>
      </c>
      <c r="AE406" s="120">
        <f t="shared" ref="AE406:AE407" ca="1" si="1612">IF(I406&lt;&gt;0,20,0)</f>
        <v>20</v>
      </c>
      <c r="AF406" s="120"/>
      <c r="AG406" s="120"/>
      <c r="AH406" s="120">
        <f t="shared" ca="1" si="755"/>
        <v>0</v>
      </c>
      <c r="AI406" s="120"/>
      <c r="AJ406" s="120">
        <f t="shared" ca="1" si="756"/>
        <v>0.27</v>
      </c>
      <c r="AK406" s="120"/>
      <c r="AL406" s="147"/>
      <c r="AM406" s="160"/>
      <c r="AN406" s="160"/>
      <c r="AO406" s="160"/>
      <c r="AP406" s="160"/>
      <c r="AQ406" s="160"/>
      <c r="AR406" s="160"/>
      <c r="AS406" s="160"/>
      <c r="AT406" s="160"/>
      <c r="AU406" s="160"/>
      <c r="AV406" s="160"/>
      <c r="AW406" s="160"/>
      <c r="AX406" s="160"/>
      <c r="AY406" s="160"/>
      <c r="AZ406" s="160"/>
      <c r="BA406" s="160"/>
      <c r="BB406" s="160"/>
      <c r="BC406" s="160"/>
      <c r="BD406" s="160"/>
      <c r="BE406" s="160"/>
      <c r="BF406" s="160"/>
      <c r="BG406" s="160"/>
      <c r="BS406" s="13">
        <v>2</v>
      </c>
      <c r="BT406" s="128">
        <v>44491</v>
      </c>
      <c r="BU406" s="121" t="s">
        <v>8</v>
      </c>
      <c r="BV406" s="120" t="s">
        <v>482</v>
      </c>
      <c r="BW406" s="121" t="s">
        <v>502</v>
      </c>
      <c r="BX406" s="120">
        <v>18400</v>
      </c>
      <c r="BY406" s="120">
        <v>41.7</v>
      </c>
      <c r="BZ406" s="120">
        <v>47.945</v>
      </c>
      <c r="CA406" s="124">
        <v>-3216.6708800000001</v>
      </c>
      <c r="CB406" s="120">
        <v>1.1497601918465228</v>
      </c>
      <c r="CC406" s="120">
        <v>500</v>
      </c>
      <c r="CD406" s="120">
        <v>50</v>
      </c>
      <c r="CE406" s="124">
        <v>20850</v>
      </c>
    </row>
    <row r="407" spans="1:83" hidden="1">
      <c r="A407" s="13">
        <f t="shared" ca="1" si="753"/>
        <v>400</v>
      </c>
      <c r="B407" s="128">
        <v>44750</v>
      </c>
      <c r="C407" s="121" t="s">
        <v>6</v>
      </c>
      <c r="D407" s="121">
        <v>1</v>
      </c>
      <c r="E407" s="120" t="s">
        <v>632</v>
      </c>
      <c r="F407" s="121" t="s">
        <v>506</v>
      </c>
      <c r="G407" s="120" t="s">
        <v>568</v>
      </c>
      <c r="H407" s="122">
        <v>44798</v>
      </c>
      <c r="I407" s="120">
        <v>25</v>
      </c>
      <c r="J407" s="120">
        <v>35190</v>
      </c>
      <c r="K407" s="120">
        <v>0</v>
      </c>
      <c r="L407" s="124">
        <f t="shared" ca="1" si="1604"/>
        <v>0</v>
      </c>
      <c r="M407" s="124">
        <f t="shared" ca="1" si="1605"/>
        <v>0</v>
      </c>
      <c r="N407" s="120">
        <f t="shared" ca="1" si="1606"/>
        <v>0</v>
      </c>
      <c r="O407" s="164">
        <f t="shared" ca="1" si="1607"/>
        <v>26392.5</v>
      </c>
      <c r="P407" s="168">
        <f t="shared" ca="1" si="754"/>
        <v>879750</v>
      </c>
      <c r="Q407" s="168">
        <f t="shared" ca="1" si="1608"/>
        <v>-10750</v>
      </c>
      <c r="R407" s="184">
        <f t="shared" ca="1" si="1535"/>
        <v>866279.99999999988</v>
      </c>
      <c r="S407" s="124">
        <f t="shared" ca="1" si="1609"/>
        <v>3518.9999999999991</v>
      </c>
      <c r="T407" s="120">
        <f ca="1">VLOOKUP(TRIM($F407),Reference!B:C,2,0)</f>
        <v>34651.199999999997</v>
      </c>
      <c r="U407" s="181">
        <f t="shared" ca="1" si="1610"/>
        <v>0</v>
      </c>
      <c r="V407" s="125" t="str">
        <f t="shared" ca="1" si="1524"/>
        <v>BANKNIFTY22AUGFUT</v>
      </c>
      <c r="W407" s="166">
        <f ca="1">VLOOKUP($V407,Reference!BA:BD,4,0)</f>
        <v>34760</v>
      </c>
      <c r="X407" s="168">
        <f t="shared" ca="1" si="1525"/>
        <v>869000</v>
      </c>
      <c r="Y407" s="168">
        <f t="shared" ca="1" si="1526"/>
        <v>1</v>
      </c>
      <c r="Z407" s="168">
        <f t="shared" ca="1" si="1538"/>
        <v>25</v>
      </c>
      <c r="AA407" s="168">
        <f t="shared" ca="1" si="1527"/>
        <v>0</v>
      </c>
      <c r="AB407" s="168">
        <f t="shared" ca="1" si="1528"/>
        <v>0</v>
      </c>
      <c r="AC407" s="124">
        <f t="shared" ca="1" si="1529"/>
        <v>0</v>
      </c>
      <c r="AD407" s="120">
        <f t="shared" ca="1" si="1611"/>
        <v>0.11232876712328767</v>
      </c>
      <c r="AE407" s="120">
        <f t="shared" ca="1" si="1612"/>
        <v>20</v>
      </c>
      <c r="AF407" s="120"/>
      <c r="AG407" s="120"/>
      <c r="AH407" s="120">
        <f t="shared" ca="1" si="755"/>
        <v>0</v>
      </c>
      <c r="AI407" s="120"/>
      <c r="AJ407" s="120">
        <f t="shared" ca="1" si="756"/>
        <v>26.392500000000002</v>
      </c>
      <c r="AK407" s="120"/>
      <c r="AL407" s="147"/>
      <c r="AM407" s="160"/>
      <c r="AN407" s="160"/>
      <c r="AO407" s="160"/>
      <c r="AP407" s="160"/>
      <c r="AQ407" s="160"/>
      <c r="AR407" s="160"/>
      <c r="AS407" s="160"/>
      <c r="AT407" s="160"/>
      <c r="AU407" s="160"/>
      <c r="AV407" s="160"/>
      <c r="AW407" s="160"/>
      <c r="AX407" s="160"/>
      <c r="AY407" s="160"/>
      <c r="AZ407" s="160"/>
      <c r="BA407" s="160"/>
      <c r="BB407" s="160"/>
      <c r="BC407" s="160"/>
      <c r="BD407" s="160"/>
      <c r="BE407" s="160"/>
      <c r="BF407" s="160"/>
      <c r="BG407" s="160"/>
      <c r="BS407" s="13">
        <v>2</v>
      </c>
      <c r="BT407" s="128">
        <v>44491</v>
      </c>
      <c r="BU407" s="121" t="s">
        <v>8</v>
      </c>
      <c r="BV407" s="120" t="s">
        <v>482</v>
      </c>
      <c r="BW407" s="121" t="s">
        <v>502</v>
      </c>
      <c r="BX407" s="120">
        <v>18400</v>
      </c>
      <c r="BY407" s="120">
        <v>41.7</v>
      </c>
      <c r="BZ407" s="120">
        <v>47.945</v>
      </c>
      <c r="CA407" s="124">
        <v>-3216.6708800000001</v>
      </c>
      <c r="CB407" s="120">
        <v>1.1497601918465228</v>
      </c>
      <c r="CC407" s="120">
        <v>500</v>
      </c>
      <c r="CD407" s="120">
        <v>50</v>
      </c>
      <c r="CE407" s="124">
        <v>20850</v>
      </c>
    </row>
    <row r="408" spans="1:83" hidden="1">
      <c r="A408" s="13">
        <f t="shared" ca="1" si="753"/>
        <v>401</v>
      </c>
      <c r="B408" s="128">
        <v>44750</v>
      </c>
      <c r="C408" s="121" t="s">
        <v>6</v>
      </c>
      <c r="D408" s="121">
        <v>1</v>
      </c>
      <c r="E408" s="120" t="s">
        <v>632</v>
      </c>
      <c r="F408" s="121" t="s">
        <v>506</v>
      </c>
      <c r="G408" s="120" t="s">
        <v>568</v>
      </c>
      <c r="H408" s="122">
        <v>44798</v>
      </c>
      <c r="I408" s="120">
        <v>25</v>
      </c>
      <c r="J408" s="120">
        <v>35201.599999999999</v>
      </c>
      <c r="K408" s="120">
        <v>0</v>
      </c>
      <c r="L408" s="124">
        <f t="shared" ref="L408" ca="1" si="1613">IF(AND(K408&lt;&gt;0,I408&lt;&gt;0),(IF(C408="B",1,-1))*(K408-J408)*I408-AK408*2,0)*$D408*IF(MONTH($B$2)=MONTH($H408),1,0)</f>
        <v>0</v>
      </c>
      <c r="M408" s="124">
        <f t="shared" ref="M408" ca="1" si="1614">IF(AND(K408&lt;&gt;0,I408&lt;&gt;0),(IF(C408="B",1,-1))*(K408-J408)*I408-AK408*2,0)*$D408</f>
        <v>0</v>
      </c>
      <c r="N408" s="120">
        <f t="shared" ref="N408" ca="1" si="1615">K408/$J408</f>
        <v>0</v>
      </c>
      <c r="O408" s="164">
        <f t="shared" ref="O408" ca="1" si="1616">J408*(1+$O$6*IF(C408="B",-1,1))</f>
        <v>26401.199999999997</v>
      </c>
      <c r="P408" s="168">
        <f t="shared" ca="1" si="754"/>
        <v>880040</v>
      </c>
      <c r="Q408" s="168">
        <f t="shared" ref="Q408" ca="1" si="1617">(W408-J408)*I408*IF(C408="B",1,-1)*IF(K408=0,1,0)</f>
        <v>-11039.999999999964</v>
      </c>
      <c r="R408" s="184">
        <f t="shared" ca="1" si="1535"/>
        <v>866279.99999999988</v>
      </c>
      <c r="S408" s="124">
        <f t="shared" ref="S408" ca="1" si="1618">(1-$S$6)*J408</f>
        <v>3520.1599999999989</v>
      </c>
      <c r="T408" s="120">
        <f ca="1">VLOOKUP(TRIM($F408),Reference!B:C,2,0)</f>
        <v>34651.199999999997</v>
      </c>
      <c r="U408" s="181">
        <f t="shared" ref="U408" ca="1" si="1619">AC408</f>
        <v>0</v>
      </c>
      <c r="V408" s="125" t="str">
        <f t="shared" ca="1" si="1524"/>
        <v>BANKNIFTY22AUGFUT</v>
      </c>
      <c r="W408" s="166">
        <f ca="1">VLOOKUP($V408,Reference!BA:BD,4,0)</f>
        <v>34760</v>
      </c>
      <c r="X408" s="168">
        <f t="shared" ca="1" si="1525"/>
        <v>869000</v>
      </c>
      <c r="Y408" s="168">
        <f t="shared" ca="1" si="1526"/>
        <v>1</v>
      </c>
      <c r="Z408" s="168">
        <f t="shared" ca="1" si="1538"/>
        <v>25</v>
      </c>
      <c r="AA408" s="168">
        <f t="shared" ca="1" si="1527"/>
        <v>0</v>
      </c>
      <c r="AB408" s="168">
        <f t="shared" ca="1" si="1528"/>
        <v>0</v>
      </c>
      <c r="AC408" s="124">
        <f t="shared" ca="1" si="1529"/>
        <v>0</v>
      </c>
      <c r="AD408" s="120">
        <f t="shared" ref="AD408" ca="1" si="1620">(H408-TODAY())/365</f>
        <v>0.11232876712328767</v>
      </c>
      <c r="AE408" s="120">
        <f t="shared" ref="AE408" ca="1" si="1621">IF(I408&lt;&gt;0,20,0)</f>
        <v>20</v>
      </c>
      <c r="AF408" s="120"/>
      <c r="AG408" s="120"/>
      <c r="AH408" s="120">
        <f t="shared" ca="1" si="755"/>
        <v>0</v>
      </c>
      <c r="AI408" s="120"/>
      <c r="AJ408" s="120">
        <f t="shared" ca="1" si="756"/>
        <v>26.401199999999999</v>
      </c>
      <c r="AK408" s="120"/>
      <c r="AL408" s="147"/>
      <c r="AM408" s="160"/>
      <c r="AN408" s="160"/>
      <c r="AO408" s="160"/>
      <c r="AP408" s="160"/>
      <c r="AQ408" s="160"/>
      <c r="AR408" s="160"/>
      <c r="AS408" s="160"/>
      <c r="AT408" s="160"/>
      <c r="AU408" s="160"/>
      <c r="AV408" s="160"/>
      <c r="AW408" s="160"/>
      <c r="AX408" s="160"/>
      <c r="AY408" s="160"/>
      <c r="AZ408" s="160"/>
      <c r="BA408" s="160"/>
      <c r="BB408" s="160"/>
      <c r="BC408" s="160"/>
      <c r="BD408" s="160"/>
      <c r="BE408" s="160"/>
      <c r="BF408" s="160"/>
      <c r="BG408" s="160"/>
      <c r="BS408" s="13">
        <v>2</v>
      </c>
      <c r="BT408" s="128">
        <v>44491</v>
      </c>
      <c r="BU408" s="121" t="s">
        <v>8</v>
      </c>
      <c r="BV408" s="120" t="s">
        <v>482</v>
      </c>
      <c r="BW408" s="121" t="s">
        <v>502</v>
      </c>
      <c r="BX408" s="120">
        <v>18400</v>
      </c>
      <c r="BY408" s="120">
        <v>41.7</v>
      </c>
      <c r="BZ408" s="120">
        <v>47.945</v>
      </c>
      <c r="CA408" s="124">
        <v>-3216.6708800000001</v>
      </c>
      <c r="CB408" s="120">
        <v>1.1497601918465228</v>
      </c>
      <c r="CC408" s="120">
        <v>500</v>
      </c>
      <c r="CD408" s="120">
        <v>50</v>
      </c>
      <c r="CE408" s="124">
        <v>20850</v>
      </c>
    </row>
    <row r="409" spans="1:83" hidden="1">
      <c r="A409" s="13">
        <f t="shared" ca="1" si="753"/>
        <v>402</v>
      </c>
      <c r="B409" s="128">
        <v>44750</v>
      </c>
      <c r="C409" s="121" t="s">
        <v>6</v>
      </c>
      <c r="D409" s="121">
        <v>1</v>
      </c>
      <c r="E409" s="120" t="s">
        <v>632</v>
      </c>
      <c r="F409" s="121" t="s">
        <v>506</v>
      </c>
      <c r="G409" s="120" t="s">
        <v>568</v>
      </c>
      <c r="H409" s="122">
        <v>44798</v>
      </c>
      <c r="I409" s="120">
        <v>25</v>
      </c>
      <c r="J409" s="120">
        <v>35201.599999999999</v>
      </c>
      <c r="K409" s="120">
        <v>0</v>
      </c>
      <c r="L409" s="124">
        <f t="shared" ref="L409:L411" ca="1" si="1622">IF(AND(K409&lt;&gt;0,I409&lt;&gt;0),(IF(C409="B",1,-1))*(K409-J409)*I409-AK409*2,0)*$D409*IF(MONTH($B$2)=MONTH($H409),1,0)</f>
        <v>0</v>
      </c>
      <c r="M409" s="124">
        <f t="shared" ref="M409:M411" ca="1" si="1623">IF(AND(K409&lt;&gt;0,I409&lt;&gt;0),(IF(C409="B",1,-1))*(K409-J409)*I409-AK409*2,0)*$D409</f>
        <v>0</v>
      </c>
      <c r="N409" s="120">
        <f t="shared" ref="N409:N411" ca="1" si="1624">K409/$J409</f>
        <v>0</v>
      </c>
      <c r="O409" s="164">
        <f t="shared" ref="O409:O411" ca="1" si="1625">J409*(1+$O$6*IF(C409="B",-1,1))</f>
        <v>26401.199999999997</v>
      </c>
      <c r="P409" s="168">
        <f t="shared" ca="1" si="754"/>
        <v>880040</v>
      </c>
      <c r="Q409" s="168">
        <f t="shared" ref="Q409:Q411" ca="1" si="1626">(W409-J409)*I409*IF(C409="B",1,-1)*IF(K409=0,1,0)</f>
        <v>-11039.999999999964</v>
      </c>
      <c r="R409" s="184">
        <f t="shared" ca="1" si="1535"/>
        <v>866279.99999999988</v>
      </c>
      <c r="S409" s="124">
        <f t="shared" ref="S409:S411" ca="1" si="1627">(1-$S$6)*J409</f>
        <v>3520.1599999999989</v>
      </c>
      <c r="T409" s="120">
        <f ca="1">VLOOKUP(TRIM($F409),Reference!B:C,2,0)</f>
        <v>34651.199999999997</v>
      </c>
      <c r="U409" s="181">
        <f t="shared" ref="U409:U411" ca="1" si="1628">AC409</f>
        <v>0</v>
      </c>
      <c r="V409" s="125" t="str">
        <f t="shared" ca="1" si="1524"/>
        <v>BANKNIFTY22AUGFUT</v>
      </c>
      <c r="W409" s="166">
        <f ca="1">VLOOKUP($V409,Reference!BA:BD,4,0)</f>
        <v>34760</v>
      </c>
      <c r="X409" s="168">
        <f t="shared" ca="1" si="1525"/>
        <v>869000</v>
      </c>
      <c r="Y409" s="168">
        <f t="shared" ca="1" si="1526"/>
        <v>1</v>
      </c>
      <c r="Z409" s="168">
        <f t="shared" ca="1" si="1538"/>
        <v>25</v>
      </c>
      <c r="AA409" s="168">
        <f t="shared" ca="1" si="1527"/>
        <v>0</v>
      </c>
      <c r="AB409" s="168">
        <f t="shared" ca="1" si="1528"/>
        <v>0</v>
      </c>
      <c r="AC409" s="124">
        <f t="shared" ca="1" si="1529"/>
        <v>0</v>
      </c>
      <c r="AD409" s="120">
        <f t="shared" ref="AD409:AD411" ca="1" si="1629">(H409-TODAY())/365</f>
        <v>0.11232876712328767</v>
      </c>
      <c r="AE409" s="120">
        <f t="shared" ref="AE409:AE411" ca="1" si="1630">IF(I409&lt;&gt;0,20,0)</f>
        <v>20</v>
      </c>
      <c r="AF409" s="120"/>
      <c r="AG409" s="120"/>
      <c r="AH409" s="120">
        <f t="shared" ca="1" si="755"/>
        <v>0</v>
      </c>
      <c r="AI409" s="120"/>
      <c r="AJ409" s="120">
        <f t="shared" ca="1" si="756"/>
        <v>26.401199999999999</v>
      </c>
      <c r="AK409" s="120"/>
      <c r="AL409" s="147"/>
      <c r="AM409" s="160"/>
      <c r="AN409" s="160"/>
      <c r="AO409" s="160"/>
      <c r="AP409" s="160"/>
      <c r="AQ409" s="160"/>
      <c r="AR409" s="160"/>
      <c r="AS409" s="160"/>
      <c r="AT409" s="160"/>
      <c r="AU409" s="160"/>
      <c r="AV409" s="160"/>
      <c r="AW409" s="160"/>
      <c r="AX409" s="160"/>
      <c r="AY409" s="160"/>
      <c r="AZ409" s="160"/>
      <c r="BA409" s="160"/>
      <c r="BB409" s="160"/>
      <c r="BC409" s="160"/>
      <c r="BD409" s="160"/>
      <c r="BE409" s="160"/>
      <c r="BF409" s="160"/>
      <c r="BG409" s="160"/>
      <c r="BS409" s="13">
        <v>2</v>
      </c>
      <c r="BT409" s="128">
        <v>44491</v>
      </c>
      <c r="BU409" s="121" t="s">
        <v>8</v>
      </c>
      <c r="BV409" s="120" t="s">
        <v>482</v>
      </c>
      <c r="BW409" s="121" t="s">
        <v>502</v>
      </c>
      <c r="BX409" s="120">
        <v>18400</v>
      </c>
      <c r="BY409" s="120">
        <v>41.7</v>
      </c>
      <c r="BZ409" s="120">
        <v>47.945</v>
      </c>
      <c r="CA409" s="124">
        <v>-3216.6708800000001</v>
      </c>
      <c r="CB409" s="120">
        <v>1.1497601918465228</v>
      </c>
      <c r="CC409" s="120">
        <v>500</v>
      </c>
      <c r="CD409" s="120">
        <v>50</v>
      </c>
      <c r="CE409" s="124">
        <v>20850</v>
      </c>
    </row>
    <row r="410" spans="1:83">
      <c r="A410" s="13">
        <f t="shared" ca="1" si="753"/>
        <v>403</v>
      </c>
      <c r="B410" s="128">
        <v>44750</v>
      </c>
      <c r="C410" s="121" t="s">
        <v>8</v>
      </c>
      <c r="D410" s="121">
        <v>1</v>
      </c>
      <c r="E410" s="120" t="s">
        <v>481</v>
      </c>
      <c r="F410" s="121" t="s">
        <v>104</v>
      </c>
      <c r="G410" s="120">
        <v>2500</v>
      </c>
      <c r="H410" s="122">
        <v>44770</v>
      </c>
      <c r="I410" s="120">
        <v>300</v>
      </c>
      <c r="J410" s="120">
        <v>57.6</v>
      </c>
      <c r="K410" s="120">
        <v>47</v>
      </c>
      <c r="L410" s="124">
        <f t="shared" ca="1" si="1622"/>
        <v>3180.0000000000005</v>
      </c>
      <c r="M410" s="124">
        <f t="shared" ca="1" si="1623"/>
        <v>3180.0000000000005</v>
      </c>
      <c r="N410" s="120">
        <f t="shared" ca="1" si="1624"/>
        <v>0.81597222222222221</v>
      </c>
      <c r="O410" s="164">
        <f t="shared" ca="1" si="1625"/>
        <v>72</v>
      </c>
      <c r="P410" s="168">
        <f t="shared" ca="1" si="754"/>
        <v>17280</v>
      </c>
      <c r="Q410" s="168" t="e">
        <f t="shared" ca="1" si="1626"/>
        <v>#N/A</v>
      </c>
      <c r="R410" s="184">
        <f t="shared" ca="1" si="1535"/>
        <v>0</v>
      </c>
      <c r="S410" s="124">
        <f t="shared" ca="1" si="1627"/>
        <v>5.7599999999999989</v>
      </c>
      <c r="T410" s="120">
        <f ca="1">VLOOKUP(TRIM($F410),Reference!B:C,2,0)</f>
        <v>2495.85</v>
      </c>
      <c r="U410" s="181">
        <f t="shared" ca="1" si="1628"/>
        <v>0</v>
      </c>
      <c r="V410" s="125" t="str">
        <f t="shared" ca="1" si="1524"/>
        <v>HINDUNILVR22JUL2500CE</v>
      </c>
      <c r="W410" s="166" t="e">
        <f ca="1">VLOOKUP($V410,Reference!BA:BD,4,0)</f>
        <v>#N/A</v>
      </c>
      <c r="X410" s="168">
        <f t="shared" ca="1" si="1525"/>
        <v>0</v>
      </c>
      <c r="Y410" s="168">
        <f t="shared" ca="1" si="1526"/>
        <v>0</v>
      </c>
      <c r="Z410" s="168">
        <f t="shared" ca="1" si="1538"/>
        <v>0</v>
      </c>
      <c r="AA410" s="168">
        <f t="shared" ca="1" si="1527"/>
        <v>0</v>
      </c>
      <c r="AB410" s="168">
        <f t="shared" ca="1" si="1528"/>
        <v>0</v>
      </c>
      <c r="AC410" s="124">
        <f t="shared" ca="1" si="1529"/>
        <v>0</v>
      </c>
      <c r="AD410" s="120">
        <f t="shared" ca="1" si="1629"/>
        <v>3.5616438356164383E-2</v>
      </c>
      <c r="AE410" s="120">
        <f t="shared" ca="1" si="1630"/>
        <v>20</v>
      </c>
      <c r="AF410" s="120"/>
      <c r="AG410" s="120"/>
      <c r="AH410" s="120">
        <f t="shared" ca="1" si="755"/>
        <v>8.64</v>
      </c>
      <c r="AI410" s="120"/>
      <c r="AJ410" s="120">
        <f t="shared" ca="1" si="756"/>
        <v>0</v>
      </c>
      <c r="AK410" s="120"/>
      <c r="AL410" s="147"/>
      <c r="AM410" s="160"/>
      <c r="AN410" s="160"/>
      <c r="AO410" s="160"/>
      <c r="AP410" s="160"/>
      <c r="AQ410" s="160"/>
      <c r="AR410" s="160"/>
      <c r="AS410" s="160"/>
      <c r="AT410" s="160"/>
      <c r="AU410" s="160"/>
      <c r="AV410" s="160"/>
      <c r="AW410" s="160"/>
      <c r="AX410" s="160"/>
      <c r="AY410" s="160"/>
      <c r="AZ410" s="160"/>
      <c r="BA410" s="160"/>
      <c r="BB410" s="160"/>
      <c r="BC410" s="160"/>
      <c r="BD410" s="160"/>
      <c r="BE410" s="160"/>
      <c r="BF410" s="160"/>
      <c r="BG410" s="160"/>
      <c r="BS410" s="13">
        <v>2</v>
      </c>
      <c r="BT410" s="128">
        <v>44491</v>
      </c>
      <c r="BU410" s="121" t="s">
        <v>8</v>
      </c>
      <c r="BV410" s="120" t="s">
        <v>482</v>
      </c>
      <c r="BW410" s="121" t="s">
        <v>502</v>
      </c>
      <c r="BX410" s="120">
        <v>18400</v>
      </c>
      <c r="BY410" s="120">
        <v>41.7</v>
      </c>
      <c r="BZ410" s="120">
        <v>47.945</v>
      </c>
      <c r="CA410" s="124">
        <v>-3216.6708800000001</v>
      </c>
      <c r="CB410" s="120">
        <v>1.1497601918465228</v>
      </c>
      <c r="CC410" s="120">
        <v>500</v>
      </c>
      <c r="CD410" s="120">
        <v>50</v>
      </c>
      <c r="CE410" s="124">
        <v>20850</v>
      </c>
    </row>
    <row r="411" spans="1:83" hidden="1">
      <c r="A411" s="13">
        <f t="shared" ca="1" si="753"/>
        <v>404</v>
      </c>
      <c r="B411" s="128">
        <v>44750</v>
      </c>
      <c r="C411" s="121" t="s">
        <v>6</v>
      </c>
      <c r="D411" s="121">
        <v>1</v>
      </c>
      <c r="E411" s="120" t="s">
        <v>482</v>
      </c>
      <c r="F411" s="121" t="s">
        <v>502</v>
      </c>
      <c r="G411" s="120">
        <v>16000</v>
      </c>
      <c r="H411" s="122">
        <v>44770</v>
      </c>
      <c r="I411" s="120">
        <v>50</v>
      </c>
      <c r="J411" s="120">
        <v>198</v>
      </c>
      <c r="K411" s="120">
        <v>0</v>
      </c>
      <c r="L411" s="124">
        <f t="shared" ca="1" si="1622"/>
        <v>0</v>
      </c>
      <c r="M411" s="124">
        <f t="shared" ca="1" si="1623"/>
        <v>0</v>
      </c>
      <c r="N411" s="120">
        <f t="shared" ca="1" si="1624"/>
        <v>0</v>
      </c>
      <c r="O411" s="164">
        <f t="shared" ca="1" si="1625"/>
        <v>148.5</v>
      </c>
      <c r="P411" s="168">
        <f t="shared" ca="1" si="754"/>
        <v>9900</v>
      </c>
      <c r="Q411" s="168">
        <f t="shared" ca="1" si="1626"/>
        <v>2300</v>
      </c>
      <c r="R411" s="184">
        <f t="shared" ca="1" si="1535"/>
        <v>-415136.70580968872</v>
      </c>
      <c r="S411" s="124">
        <f t="shared" ca="1" si="1627"/>
        <v>19.799999999999997</v>
      </c>
      <c r="T411" s="120">
        <f ca="1">VLOOKUP(TRIM($F411),Reference!B:C,2,0)</f>
        <v>15938.65</v>
      </c>
      <c r="U411" s="181">
        <f t="shared" ca="1" si="1628"/>
        <v>0.18635534501235387</v>
      </c>
      <c r="V411" s="125" t="str">
        <f t="shared" ca="1" si="1524"/>
        <v>NIFTY22JUL16000PE</v>
      </c>
      <c r="W411" s="166">
        <f ca="1">VLOOKUP($V411,Reference!BA:BD,4,0)</f>
        <v>244</v>
      </c>
      <c r="X411" s="168">
        <f t="shared" ca="1" si="1525"/>
        <v>12200</v>
      </c>
      <c r="Y411" s="168">
        <f t="shared" ca="1" si="1526"/>
        <v>-0.5209182782854116</v>
      </c>
      <c r="Z411" s="168">
        <f t="shared" ca="1" si="1538"/>
        <v>-26.045913914270578</v>
      </c>
      <c r="AA411" s="168">
        <f t="shared" ca="1" si="1527"/>
        <v>-487.98140556487226</v>
      </c>
      <c r="AB411" s="168">
        <f t="shared" ca="1" si="1528"/>
        <v>0</v>
      </c>
      <c r="AC411" s="124">
        <f t="shared" ca="1" si="1529"/>
        <v>0.18635534501235387</v>
      </c>
      <c r="AD411" s="120">
        <f t="shared" ca="1" si="1629"/>
        <v>3.5616438356164383E-2</v>
      </c>
      <c r="AE411" s="120">
        <f t="shared" ca="1" si="1630"/>
        <v>20</v>
      </c>
      <c r="AF411" s="120"/>
      <c r="AG411" s="120"/>
      <c r="AH411" s="120">
        <f t="shared" ca="1" si="755"/>
        <v>0</v>
      </c>
      <c r="AI411" s="120"/>
      <c r="AJ411" s="120">
        <f t="shared" ca="1" si="756"/>
        <v>0.29699999999999999</v>
      </c>
      <c r="AK411" s="120"/>
      <c r="AL411" s="147"/>
      <c r="AM411" s="160"/>
      <c r="AN411" s="160"/>
      <c r="AO411" s="160"/>
      <c r="AP411" s="160"/>
      <c r="AQ411" s="160"/>
      <c r="AR411" s="160"/>
      <c r="AS411" s="160"/>
      <c r="AT411" s="160"/>
      <c r="AU411" s="160"/>
      <c r="AV411" s="160"/>
      <c r="AW411" s="160"/>
      <c r="AX411" s="160"/>
      <c r="AY411" s="160"/>
      <c r="AZ411" s="160"/>
      <c r="BA411" s="160"/>
      <c r="BB411" s="160"/>
      <c r="BC411" s="160"/>
      <c r="BD411" s="160"/>
      <c r="BE411" s="160"/>
      <c r="BF411" s="160"/>
      <c r="BG411" s="160"/>
      <c r="BS411" s="13">
        <v>2</v>
      </c>
      <c r="BT411" s="128">
        <v>44491</v>
      </c>
      <c r="BU411" s="121" t="s">
        <v>8</v>
      </c>
      <c r="BV411" s="120" t="s">
        <v>482</v>
      </c>
      <c r="BW411" s="121" t="s">
        <v>502</v>
      </c>
      <c r="BX411" s="120">
        <v>18400</v>
      </c>
      <c r="BY411" s="120">
        <v>41.7</v>
      </c>
      <c r="BZ411" s="120">
        <v>47.945</v>
      </c>
      <c r="CA411" s="124">
        <v>-3216.6708800000001</v>
      </c>
      <c r="CB411" s="120">
        <v>1.1497601918465228</v>
      </c>
      <c r="CC411" s="120">
        <v>500</v>
      </c>
      <c r="CD411" s="120">
        <v>50</v>
      </c>
      <c r="CE411" s="124">
        <v>20850</v>
      </c>
    </row>
    <row r="412" spans="1:83" hidden="1">
      <c r="A412" s="13">
        <f t="shared" ca="1" si="753"/>
        <v>405</v>
      </c>
      <c r="B412" s="128">
        <v>44750</v>
      </c>
      <c r="C412" s="121" t="s">
        <v>6</v>
      </c>
      <c r="D412" s="121">
        <v>1</v>
      </c>
      <c r="E412" s="120" t="s">
        <v>632</v>
      </c>
      <c r="F412" s="121" t="s">
        <v>284</v>
      </c>
      <c r="G412" s="120" t="s">
        <v>568</v>
      </c>
      <c r="H412" s="122">
        <v>44798</v>
      </c>
      <c r="I412" s="120">
        <v>1425</v>
      </c>
      <c r="J412" s="120">
        <v>438.65</v>
      </c>
      <c r="K412" s="120">
        <v>442.35</v>
      </c>
      <c r="L412" s="124">
        <f t="shared" ref="L412" ca="1" si="1631">IF(AND(K412&lt;&gt;0,I412&lt;&gt;0),(IF(C412="B",1,-1))*(K412-J412)*I412-AK412*2,0)*$D412*IF(MONTH($B$2)=MONTH($H412),1,0)</f>
        <v>0</v>
      </c>
      <c r="M412" s="124">
        <f t="shared" ref="M412" ca="1" si="1632">IF(AND(K412&lt;&gt;0,I412&lt;&gt;0),(IF(C412="B",1,-1))*(K412-J412)*I412-AK412*2,0)*$D412</f>
        <v>5272.5000000000646</v>
      </c>
      <c r="N412" s="120">
        <f t="shared" ref="N412" ca="1" si="1633">K412/$J412</f>
        <v>1.0084349709335463</v>
      </c>
      <c r="O412" s="164">
        <f t="shared" ref="O412" ca="1" si="1634">J412*(1+$O$6*IF(C412="B",-1,1))</f>
        <v>328.98749999999995</v>
      </c>
      <c r="P412" s="168">
        <f t="shared" ca="1" si="754"/>
        <v>625076.25</v>
      </c>
      <c r="Q412" s="168">
        <f t="shared" ref="Q412" ca="1" si="1635">(W412-J412)*I412*IF(C412="B",1,-1)*IF(K412=0,1,0)</f>
        <v>0</v>
      </c>
      <c r="R412" s="184">
        <f t="shared" ca="1" si="1535"/>
        <v>0</v>
      </c>
      <c r="S412" s="124">
        <f t="shared" ref="S412" ca="1" si="1636">(1-$S$6)*J412</f>
        <v>43.864999999999988</v>
      </c>
      <c r="T412" s="120">
        <f ca="1">VLOOKUP(TRIM($F412),Reference!B:C,2,0)</f>
        <v>428</v>
      </c>
      <c r="U412" s="181">
        <f t="shared" ref="U412" ca="1" si="1637">AC412</f>
        <v>0</v>
      </c>
      <c r="V412" s="125" t="str">
        <f t="shared" ca="1" si="1524"/>
        <v>TATAMOTORS22AUGFUT</v>
      </c>
      <c r="W412" s="166">
        <f ca="1">VLOOKUP($V412,Reference!BA:BD,4,0)</f>
        <v>430.1</v>
      </c>
      <c r="X412" s="168">
        <f t="shared" ca="1" si="1525"/>
        <v>0</v>
      </c>
      <c r="Y412" s="168">
        <f t="shared" ca="1" si="1526"/>
        <v>0</v>
      </c>
      <c r="Z412" s="168">
        <f t="shared" ca="1" si="1538"/>
        <v>0</v>
      </c>
      <c r="AA412" s="168">
        <f t="shared" ca="1" si="1527"/>
        <v>0</v>
      </c>
      <c r="AB412" s="168">
        <f t="shared" ca="1" si="1528"/>
        <v>0</v>
      </c>
      <c r="AC412" s="124">
        <f t="shared" ca="1" si="1529"/>
        <v>0</v>
      </c>
      <c r="AD412" s="120">
        <f t="shared" ref="AD412" ca="1" si="1638">(H412-TODAY())/365</f>
        <v>0.11232876712328767</v>
      </c>
      <c r="AE412" s="120">
        <f t="shared" ref="AE412" ca="1" si="1639">IF(I412&lt;&gt;0,20,0)</f>
        <v>20</v>
      </c>
      <c r="AF412" s="120"/>
      <c r="AG412" s="120"/>
      <c r="AH412" s="120">
        <f t="shared" ca="1" si="755"/>
        <v>0</v>
      </c>
      <c r="AI412" s="120"/>
      <c r="AJ412" s="120">
        <f t="shared" ca="1" si="756"/>
        <v>18.752287500000001</v>
      </c>
      <c r="AK412" s="120"/>
      <c r="AL412" s="147"/>
      <c r="AM412" s="160"/>
      <c r="AN412" s="160"/>
      <c r="AO412" s="160"/>
      <c r="AP412" s="160"/>
      <c r="AQ412" s="160"/>
      <c r="AR412" s="160"/>
      <c r="AS412" s="160"/>
      <c r="AT412" s="160"/>
      <c r="AU412" s="160"/>
      <c r="AV412" s="160"/>
      <c r="AW412" s="160"/>
      <c r="AX412" s="160"/>
      <c r="AY412" s="160"/>
      <c r="AZ412" s="160"/>
      <c r="BA412" s="160"/>
      <c r="BB412" s="160"/>
      <c r="BC412" s="160"/>
      <c r="BD412" s="160"/>
      <c r="BE412" s="160"/>
      <c r="BF412" s="160"/>
      <c r="BG412" s="160"/>
      <c r="BS412" s="13">
        <v>2</v>
      </c>
      <c r="BT412" s="128">
        <v>44491</v>
      </c>
      <c r="BU412" s="121" t="s">
        <v>8</v>
      </c>
      <c r="BV412" s="120" t="s">
        <v>482</v>
      </c>
      <c r="BW412" s="121" t="s">
        <v>502</v>
      </c>
      <c r="BX412" s="120">
        <v>18400</v>
      </c>
      <c r="BY412" s="120">
        <v>41.7</v>
      </c>
      <c r="BZ412" s="120">
        <v>47.945</v>
      </c>
      <c r="CA412" s="124">
        <v>-3216.6708800000001</v>
      </c>
      <c r="CB412" s="120">
        <v>1.1497601918465228</v>
      </c>
      <c r="CC412" s="120">
        <v>500</v>
      </c>
      <c r="CD412" s="120">
        <v>50</v>
      </c>
      <c r="CE412" s="124">
        <v>20850</v>
      </c>
    </row>
    <row r="413" spans="1:83" hidden="1">
      <c r="A413" s="13">
        <f t="shared" ca="1" si="753"/>
        <v>406</v>
      </c>
      <c r="B413" s="128">
        <v>44750</v>
      </c>
      <c r="C413" s="121" t="s">
        <v>6</v>
      </c>
      <c r="D413" s="121">
        <v>1</v>
      </c>
      <c r="E413" s="120" t="s">
        <v>632</v>
      </c>
      <c r="F413" s="121" t="s">
        <v>284</v>
      </c>
      <c r="G413" s="120" t="s">
        <v>568</v>
      </c>
      <c r="H413" s="122">
        <v>44798</v>
      </c>
      <c r="I413" s="120">
        <v>1425</v>
      </c>
      <c r="J413" s="120">
        <v>439</v>
      </c>
      <c r="K413" s="120">
        <v>0</v>
      </c>
      <c r="L413" s="124">
        <f t="shared" ref="L413:L415" ca="1" si="1640">IF(AND(K413&lt;&gt;0,I413&lt;&gt;0),(IF(C413="B",1,-1))*(K413-J413)*I413-AK413*2,0)*$D413*IF(MONTH($B$2)=MONTH($H413),1,0)</f>
        <v>0</v>
      </c>
      <c r="M413" s="124">
        <f t="shared" ref="M413:M415" ca="1" si="1641">IF(AND(K413&lt;&gt;0,I413&lt;&gt;0),(IF(C413="B",1,-1))*(K413-J413)*I413-AK413*2,0)*$D413</f>
        <v>0</v>
      </c>
      <c r="N413" s="120">
        <f t="shared" ref="N413:N415" ca="1" si="1642">K413/$J413</f>
        <v>0</v>
      </c>
      <c r="O413" s="164">
        <f t="shared" ref="O413:O415" ca="1" si="1643">J413*(1+$O$6*IF(C413="B",-1,1))</f>
        <v>329.25</v>
      </c>
      <c r="P413" s="168">
        <f t="shared" ca="1" si="754"/>
        <v>625575</v>
      </c>
      <c r="Q413" s="168">
        <f t="shared" ref="Q413:Q415" ca="1" si="1644">(W413-J413)*I413*IF(C413="B",1,-1)*IF(K413=0,1,0)</f>
        <v>-12682.499999999967</v>
      </c>
      <c r="R413" s="184">
        <f t="shared" ca="1" si="1535"/>
        <v>609900</v>
      </c>
      <c r="S413" s="124">
        <f t="shared" ref="S413:S415" ca="1" si="1645">(1-$S$6)*J413</f>
        <v>43.899999999999991</v>
      </c>
      <c r="T413" s="120">
        <f ca="1">VLOOKUP(TRIM($F413),Reference!B:C,2,0)</f>
        <v>428</v>
      </c>
      <c r="U413" s="181">
        <f t="shared" ref="U413:U415" ca="1" si="1646">AC413</f>
        <v>0</v>
      </c>
      <c r="V413" s="125" t="str">
        <f t="shared" ca="1" si="1524"/>
        <v>TATAMOTORS22AUGFUT</v>
      </c>
      <c r="W413" s="166">
        <f ca="1">VLOOKUP($V413,Reference!BA:BD,4,0)</f>
        <v>430.1</v>
      </c>
      <c r="X413" s="168">
        <f t="shared" ca="1" si="1525"/>
        <v>612892.5</v>
      </c>
      <c r="Y413" s="168">
        <f t="shared" ca="1" si="1526"/>
        <v>1</v>
      </c>
      <c r="Z413" s="168">
        <f t="shared" ca="1" si="1538"/>
        <v>1425</v>
      </c>
      <c r="AA413" s="168">
        <f t="shared" ca="1" si="1527"/>
        <v>0</v>
      </c>
      <c r="AB413" s="168">
        <f t="shared" ca="1" si="1528"/>
        <v>0</v>
      </c>
      <c r="AC413" s="124">
        <f t="shared" ca="1" si="1529"/>
        <v>0</v>
      </c>
      <c r="AD413" s="120">
        <f t="shared" ref="AD413:AD415" ca="1" si="1647">(H413-TODAY())/365</f>
        <v>0.11232876712328767</v>
      </c>
      <c r="AE413" s="120">
        <f t="shared" ref="AE413:AE415" ca="1" si="1648">IF(I413&lt;&gt;0,20,0)</f>
        <v>20</v>
      </c>
      <c r="AF413" s="120"/>
      <c r="AG413" s="120"/>
      <c r="AH413" s="120">
        <f t="shared" ca="1" si="755"/>
        <v>0</v>
      </c>
      <c r="AI413" s="120"/>
      <c r="AJ413" s="120">
        <f t="shared" ca="1" si="756"/>
        <v>18.767250000000001</v>
      </c>
      <c r="AK413" s="120"/>
      <c r="AL413" s="147"/>
      <c r="AM413" s="160"/>
      <c r="AN413" s="160"/>
      <c r="AO413" s="160"/>
      <c r="AP413" s="160"/>
      <c r="AQ413" s="160"/>
      <c r="AR413" s="160"/>
      <c r="AS413" s="160"/>
      <c r="AT413" s="160"/>
      <c r="AU413" s="160"/>
      <c r="AV413" s="160"/>
      <c r="AW413" s="160"/>
      <c r="AX413" s="160"/>
      <c r="AY413" s="160"/>
      <c r="AZ413" s="160"/>
      <c r="BA413" s="160"/>
      <c r="BB413" s="160"/>
      <c r="BC413" s="160"/>
      <c r="BD413" s="160"/>
      <c r="BE413" s="160"/>
      <c r="BF413" s="160"/>
      <c r="BG413" s="160"/>
      <c r="BS413" s="13">
        <v>2</v>
      </c>
      <c r="BT413" s="128">
        <v>44491</v>
      </c>
      <c r="BU413" s="121" t="s">
        <v>8</v>
      </c>
      <c r="BV413" s="120" t="s">
        <v>482</v>
      </c>
      <c r="BW413" s="121" t="s">
        <v>502</v>
      </c>
      <c r="BX413" s="120">
        <v>18400</v>
      </c>
      <c r="BY413" s="120">
        <v>41.7</v>
      </c>
      <c r="BZ413" s="120">
        <v>47.945</v>
      </c>
      <c r="CA413" s="124">
        <v>-3216.6708800000001</v>
      </c>
      <c r="CB413" s="120">
        <v>1.1497601918465228</v>
      </c>
      <c r="CC413" s="120">
        <v>500</v>
      </c>
      <c r="CD413" s="120">
        <v>50</v>
      </c>
      <c r="CE413" s="124">
        <v>20850</v>
      </c>
    </row>
    <row r="414" spans="1:83" hidden="1">
      <c r="A414" s="13">
        <f t="shared" ca="1" si="753"/>
        <v>407</v>
      </c>
      <c r="B414" s="128">
        <v>44750</v>
      </c>
      <c r="C414" s="121" t="s">
        <v>6</v>
      </c>
      <c r="D414" s="121">
        <v>1</v>
      </c>
      <c r="E414" s="120" t="s">
        <v>632</v>
      </c>
      <c r="F414" s="121" t="s">
        <v>284</v>
      </c>
      <c r="G414" s="120" t="s">
        <v>568</v>
      </c>
      <c r="H414" s="122">
        <v>44798</v>
      </c>
      <c r="I414" s="120">
        <v>1425</v>
      </c>
      <c r="J414" s="120">
        <v>444.15</v>
      </c>
      <c r="K414" s="120">
        <v>0</v>
      </c>
      <c r="L414" s="124">
        <f t="shared" ca="1" si="1640"/>
        <v>0</v>
      </c>
      <c r="M414" s="124">
        <f t="shared" ca="1" si="1641"/>
        <v>0</v>
      </c>
      <c r="N414" s="120">
        <f t="shared" ca="1" si="1642"/>
        <v>0</v>
      </c>
      <c r="O414" s="164">
        <f t="shared" ca="1" si="1643"/>
        <v>333.11249999999995</v>
      </c>
      <c r="P414" s="168">
        <f t="shared" ca="1" si="754"/>
        <v>632913.75</v>
      </c>
      <c r="Q414" s="168">
        <f t="shared" ca="1" si="1644"/>
        <v>-20021.249999999935</v>
      </c>
      <c r="R414" s="184">
        <f t="shared" ca="1" si="1535"/>
        <v>609900</v>
      </c>
      <c r="S414" s="124">
        <f t="shared" ca="1" si="1645"/>
        <v>44.414999999999985</v>
      </c>
      <c r="T414" s="120">
        <f ca="1">VLOOKUP(TRIM($F414),Reference!B:C,2,0)</f>
        <v>428</v>
      </c>
      <c r="U414" s="181">
        <f t="shared" ca="1" si="1646"/>
        <v>0</v>
      </c>
      <c r="V414" s="125" t="str">
        <f t="shared" ca="1" si="1524"/>
        <v>TATAMOTORS22AUGFUT</v>
      </c>
      <c r="W414" s="166">
        <f ca="1">VLOOKUP($V414,Reference!BA:BD,4,0)</f>
        <v>430.1</v>
      </c>
      <c r="X414" s="168">
        <f t="shared" ca="1" si="1525"/>
        <v>612892.5</v>
      </c>
      <c r="Y414" s="168">
        <f t="shared" ca="1" si="1526"/>
        <v>1</v>
      </c>
      <c r="Z414" s="168">
        <f t="shared" ca="1" si="1538"/>
        <v>1425</v>
      </c>
      <c r="AA414" s="168">
        <f t="shared" ca="1" si="1527"/>
        <v>0</v>
      </c>
      <c r="AB414" s="168">
        <f t="shared" ca="1" si="1528"/>
        <v>0</v>
      </c>
      <c r="AC414" s="124">
        <f t="shared" ca="1" si="1529"/>
        <v>0</v>
      </c>
      <c r="AD414" s="120">
        <f t="shared" ca="1" si="1647"/>
        <v>0.11232876712328767</v>
      </c>
      <c r="AE414" s="120">
        <f t="shared" ca="1" si="1648"/>
        <v>20</v>
      </c>
      <c r="AF414" s="120"/>
      <c r="AG414" s="120"/>
      <c r="AH414" s="120">
        <f t="shared" ca="1" si="755"/>
        <v>0</v>
      </c>
      <c r="AI414" s="120"/>
      <c r="AJ414" s="120">
        <f t="shared" ca="1" si="756"/>
        <v>18.987412500000001</v>
      </c>
      <c r="AK414" s="120"/>
      <c r="AL414" s="147"/>
      <c r="AM414" s="160"/>
      <c r="AN414" s="160"/>
      <c r="AO414" s="160"/>
      <c r="AP414" s="160"/>
      <c r="AQ414" s="160"/>
      <c r="AR414" s="160"/>
      <c r="AS414" s="160"/>
      <c r="AT414" s="160"/>
      <c r="AU414" s="160"/>
      <c r="AV414" s="160"/>
      <c r="AW414" s="160"/>
      <c r="AX414" s="160"/>
      <c r="AY414" s="160"/>
      <c r="AZ414" s="160"/>
      <c r="BA414" s="160"/>
      <c r="BB414" s="160"/>
      <c r="BC414" s="160"/>
      <c r="BD414" s="160"/>
      <c r="BE414" s="160"/>
      <c r="BF414" s="160"/>
      <c r="BG414" s="160"/>
      <c r="BS414" s="13">
        <v>2</v>
      </c>
      <c r="BT414" s="128">
        <v>44491</v>
      </c>
      <c r="BU414" s="121" t="s">
        <v>8</v>
      </c>
      <c r="BV414" s="120" t="s">
        <v>482</v>
      </c>
      <c r="BW414" s="121" t="s">
        <v>502</v>
      </c>
      <c r="BX414" s="120">
        <v>18400</v>
      </c>
      <c r="BY414" s="120">
        <v>41.7</v>
      </c>
      <c r="BZ414" s="120">
        <v>47.945</v>
      </c>
      <c r="CA414" s="124">
        <v>-3216.6708800000001</v>
      </c>
      <c r="CB414" s="120">
        <v>1.1497601918465228</v>
      </c>
      <c r="CC414" s="120">
        <v>500</v>
      </c>
      <c r="CD414" s="120">
        <v>50</v>
      </c>
      <c r="CE414" s="124">
        <v>20850</v>
      </c>
    </row>
    <row r="415" spans="1:83" hidden="1">
      <c r="A415" s="13">
        <f t="shared" ca="1" si="753"/>
        <v>408</v>
      </c>
      <c r="B415" s="128">
        <v>44750</v>
      </c>
      <c r="C415" s="121" t="s">
        <v>6</v>
      </c>
      <c r="D415" s="121">
        <v>1</v>
      </c>
      <c r="E415" s="120" t="s">
        <v>482</v>
      </c>
      <c r="F415" s="121" t="s">
        <v>284</v>
      </c>
      <c r="G415" s="120">
        <v>430</v>
      </c>
      <c r="H415" s="122">
        <v>44770</v>
      </c>
      <c r="I415" s="120">
        <v>1425</v>
      </c>
      <c r="J415" s="120">
        <v>9.4</v>
      </c>
      <c r="K415" s="120">
        <v>6.85</v>
      </c>
      <c r="L415" s="124">
        <f t="shared" ca="1" si="1640"/>
        <v>-3633.7500000000009</v>
      </c>
      <c r="M415" s="124">
        <f t="shared" ca="1" si="1641"/>
        <v>-3633.7500000000009</v>
      </c>
      <c r="N415" s="120">
        <f t="shared" ca="1" si="1642"/>
        <v>0.72872340425531912</v>
      </c>
      <c r="O415" s="164">
        <f t="shared" ca="1" si="1643"/>
        <v>7.0500000000000007</v>
      </c>
      <c r="P415" s="168">
        <f t="shared" ca="1" si="754"/>
        <v>13395</v>
      </c>
      <c r="Q415" s="168">
        <f t="shared" ca="1" si="1644"/>
        <v>0</v>
      </c>
      <c r="R415" s="184">
        <f t="shared" ca="1" si="1535"/>
        <v>0</v>
      </c>
      <c r="S415" s="124">
        <f t="shared" ca="1" si="1645"/>
        <v>0.93999999999999984</v>
      </c>
      <c r="T415" s="120">
        <f ca="1">VLOOKUP(TRIM($F415),Reference!B:C,2,0)</f>
        <v>428</v>
      </c>
      <c r="U415" s="181">
        <f t="shared" ca="1" si="1646"/>
        <v>0</v>
      </c>
      <c r="V415" s="125" t="str">
        <f t="shared" ca="1" si="1524"/>
        <v>TATAMOTORS22JUL430PE</v>
      </c>
      <c r="W415" s="166">
        <f ca="1">VLOOKUP($V415,Reference!BA:BD,4,0)</f>
        <v>12.4</v>
      </c>
      <c r="X415" s="168">
        <f t="shared" ca="1" si="1525"/>
        <v>0</v>
      </c>
      <c r="Y415" s="168">
        <f t="shared" ca="1" si="1526"/>
        <v>0</v>
      </c>
      <c r="Z415" s="168">
        <f t="shared" ca="1" si="1538"/>
        <v>0</v>
      </c>
      <c r="AA415" s="168">
        <f t="shared" ca="1" si="1527"/>
        <v>0</v>
      </c>
      <c r="AB415" s="168">
        <f t="shared" ca="1" si="1528"/>
        <v>0</v>
      </c>
      <c r="AC415" s="124">
        <f t="shared" ca="1" si="1529"/>
        <v>0</v>
      </c>
      <c r="AD415" s="120">
        <f t="shared" ca="1" si="1647"/>
        <v>3.5616438356164383E-2</v>
      </c>
      <c r="AE415" s="120">
        <f t="shared" ca="1" si="1648"/>
        <v>20</v>
      </c>
      <c r="AF415" s="120"/>
      <c r="AG415" s="120"/>
      <c r="AH415" s="120">
        <f t="shared" ca="1" si="755"/>
        <v>0</v>
      </c>
      <c r="AI415" s="120"/>
      <c r="AJ415" s="120">
        <f t="shared" ca="1" si="756"/>
        <v>0.40184999999999998</v>
      </c>
      <c r="AK415" s="120"/>
      <c r="AL415" s="147"/>
      <c r="AM415" s="160"/>
      <c r="AN415" s="160"/>
      <c r="AO415" s="160"/>
      <c r="AP415" s="160"/>
      <c r="AQ415" s="160"/>
      <c r="AR415" s="160"/>
      <c r="AS415" s="160"/>
      <c r="AT415" s="160"/>
      <c r="AU415" s="160"/>
      <c r="AV415" s="160"/>
      <c r="AW415" s="160"/>
      <c r="AX415" s="160"/>
      <c r="AY415" s="160"/>
      <c r="AZ415" s="160"/>
      <c r="BA415" s="160"/>
      <c r="BB415" s="160"/>
      <c r="BC415" s="160"/>
      <c r="BD415" s="160"/>
      <c r="BE415" s="160"/>
      <c r="BF415" s="160"/>
      <c r="BG415" s="160"/>
      <c r="BS415" s="13">
        <v>2</v>
      </c>
      <c r="BT415" s="128">
        <v>44491</v>
      </c>
      <c r="BU415" s="121" t="s">
        <v>8</v>
      </c>
      <c r="BV415" s="120" t="s">
        <v>482</v>
      </c>
      <c r="BW415" s="121" t="s">
        <v>502</v>
      </c>
      <c r="BX415" s="120">
        <v>18400</v>
      </c>
      <c r="BY415" s="120">
        <v>41.7</v>
      </c>
      <c r="BZ415" s="120">
        <v>47.945</v>
      </c>
      <c r="CA415" s="124">
        <v>-3216.6708800000001</v>
      </c>
      <c r="CB415" s="120">
        <v>1.1497601918465228</v>
      </c>
      <c r="CC415" s="120">
        <v>500</v>
      </c>
      <c r="CD415" s="120">
        <v>50</v>
      </c>
      <c r="CE415" s="124">
        <v>20850</v>
      </c>
    </row>
    <row r="416" spans="1:83" hidden="1">
      <c r="A416" s="13">
        <f t="shared" ca="1" si="753"/>
        <v>409</v>
      </c>
      <c r="B416" s="128">
        <v>44750</v>
      </c>
      <c r="C416" s="121" t="s">
        <v>6</v>
      </c>
      <c r="D416" s="121">
        <v>1</v>
      </c>
      <c r="E416" s="120" t="s">
        <v>482</v>
      </c>
      <c r="F416" s="121" t="s">
        <v>284</v>
      </c>
      <c r="G416" s="120">
        <v>430</v>
      </c>
      <c r="H416" s="122">
        <v>44770</v>
      </c>
      <c r="I416" s="120">
        <v>1425</v>
      </c>
      <c r="J416" s="120">
        <v>11</v>
      </c>
      <c r="K416" s="120">
        <v>0</v>
      </c>
      <c r="L416" s="124">
        <f t="shared" ref="L416:L417" ca="1" si="1649">IF(AND(K416&lt;&gt;0,I416&lt;&gt;0),(IF(C416="B",1,-1))*(K416-J416)*I416-AK416*2,0)*$D416*IF(MONTH($B$2)=MONTH($H416),1,0)</f>
        <v>0</v>
      </c>
      <c r="M416" s="124">
        <f t="shared" ref="M416:M417" ca="1" si="1650">IF(AND(K416&lt;&gt;0,I416&lt;&gt;0),(IF(C416="B",1,-1))*(K416-J416)*I416-AK416*2,0)*$D416</f>
        <v>0</v>
      </c>
      <c r="N416" s="120">
        <f t="shared" ref="N416:N417" ca="1" si="1651">K416/$J416</f>
        <v>0</v>
      </c>
      <c r="O416" s="164">
        <f t="shared" ref="O416:O417" ca="1" si="1652">J416*(1+$O$6*IF(C416="B",-1,1))</f>
        <v>8.25</v>
      </c>
      <c r="P416" s="168">
        <f t="shared" ca="1" si="754"/>
        <v>15675</v>
      </c>
      <c r="Q416" s="168">
        <f t="shared" ref="Q416:Q417" ca="1" si="1653">(W416-J416)*I416*IF(C416="B",1,-1)*IF(K416=0,1,0)</f>
        <v>1995.0000000000005</v>
      </c>
      <c r="R416" s="184">
        <f t="shared" ca="1" si="1535"/>
        <v>-308323.61763580871</v>
      </c>
      <c r="S416" s="124">
        <f t="shared" ref="S416:S417" ca="1" si="1654">(1-$S$6)*J416</f>
        <v>1.0999999999999996</v>
      </c>
      <c r="T416" s="120">
        <f ca="1">VLOOKUP(TRIM($F416),Reference!B:C,2,0)</f>
        <v>428</v>
      </c>
      <c r="U416" s="181">
        <f t="shared" ref="U416:U417" ca="1" si="1655">AC416</f>
        <v>0.36217561050881636</v>
      </c>
      <c r="V416" s="125" t="str">
        <f t="shared" ca="1" si="1524"/>
        <v>TATAMOTORS22JUL430PE</v>
      </c>
      <c r="W416" s="166">
        <f ca="1">VLOOKUP($V416,Reference!BA:BD,4,0)</f>
        <v>12.4</v>
      </c>
      <c r="X416" s="168">
        <f t="shared" ca="1" si="1525"/>
        <v>17670.000000000087</v>
      </c>
      <c r="Y416" s="168">
        <f t="shared" ca="1" si="1526"/>
        <v>-0.50553142750583491</v>
      </c>
      <c r="Z416" s="168">
        <f t="shared" ca="1" si="1538"/>
        <v>-720.38228419581469</v>
      </c>
      <c r="AA416" s="168">
        <f t="shared" ca="1" si="1527"/>
        <v>-684.22433801198713</v>
      </c>
      <c r="AB416" s="168">
        <f t="shared" ca="1" si="1528"/>
        <v>0</v>
      </c>
      <c r="AC416" s="124">
        <f t="shared" ca="1" si="1529"/>
        <v>0.36217561050881636</v>
      </c>
      <c r="AD416" s="120">
        <f t="shared" ref="AD416:AD417" ca="1" si="1656">(H416-TODAY())/365</f>
        <v>3.5616438356164383E-2</v>
      </c>
      <c r="AE416" s="120">
        <f t="shared" ref="AE416:AE417" ca="1" si="1657">IF(I416&lt;&gt;0,20,0)</f>
        <v>20</v>
      </c>
      <c r="AF416" s="120"/>
      <c r="AG416" s="120"/>
      <c r="AH416" s="120">
        <f t="shared" ca="1" si="755"/>
        <v>0</v>
      </c>
      <c r="AI416" s="120"/>
      <c r="AJ416" s="120">
        <f t="shared" ca="1" si="756"/>
        <v>0.47025</v>
      </c>
      <c r="AK416" s="120"/>
      <c r="AL416" s="147"/>
      <c r="AM416" s="160"/>
      <c r="AN416" s="160"/>
      <c r="AO416" s="160"/>
      <c r="AP416" s="160"/>
      <c r="AQ416" s="160"/>
      <c r="AR416" s="160"/>
      <c r="AS416" s="160"/>
      <c r="AT416" s="160"/>
      <c r="AU416" s="160"/>
      <c r="AV416" s="160"/>
      <c r="AW416" s="160"/>
      <c r="AX416" s="160"/>
      <c r="AY416" s="160"/>
      <c r="AZ416" s="160"/>
      <c r="BA416" s="160"/>
      <c r="BB416" s="160"/>
      <c r="BC416" s="160"/>
      <c r="BD416" s="160"/>
      <c r="BE416" s="160"/>
      <c r="BF416" s="160"/>
      <c r="BG416" s="160"/>
      <c r="BS416" s="13">
        <v>2</v>
      </c>
      <c r="BT416" s="128">
        <v>44491</v>
      </c>
      <c r="BU416" s="121" t="s">
        <v>8</v>
      </c>
      <c r="BV416" s="120" t="s">
        <v>482</v>
      </c>
      <c r="BW416" s="121" t="s">
        <v>502</v>
      </c>
      <c r="BX416" s="120">
        <v>18400</v>
      </c>
      <c r="BY416" s="120">
        <v>41.7</v>
      </c>
      <c r="BZ416" s="120">
        <v>47.945</v>
      </c>
      <c r="CA416" s="124">
        <v>-3216.6708800000001</v>
      </c>
      <c r="CB416" s="120">
        <v>1.1497601918465228</v>
      </c>
      <c r="CC416" s="120">
        <v>500</v>
      </c>
      <c r="CD416" s="120">
        <v>50</v>
      </c>
      <c r="CE416" s="124">
        <v>20850</v>
      </c>
    </row>
    <row r="417" spans="1:83" hidden="1">
      <c r="A417" s="13">
        <f t="shared" ca="1" si="753"/>
        <v>410</v>
      </c>
      <c r="B417" s="128">
        <v>44750</v>
      </c>
      <c r="C417" s="121" t="s">
        <v>6</v>
      </c>
      <c r="D417" s="121">
        <v>1</v>
      </c>
      <c r="E417" s="120" t="s">
        <v>482</v>
      </c>
      <c r="F417" s="121" t="s">
        <v>284</v>
      </c>
      <c r="G417" s="120">
        <v>430</v>
      </c>
      <c r="H417" s="122">
        <v>44770</v>
      </c>
      <c r="I417" s="120">
        <v>1425</v>
      </c>
      <c r="J417" s="120">
        <v>11.3</v>
      </c>
      <c r="K417" s="120">
        <v>0</v>
      </c>
      <c r="L417" s="124">
        <f t="shared" ca="1" si="1649"/>
        <v>0</v>
      </c>
      <c r="M417" s="124">
        <f t="shared" ca="1" si="1650"/>
        <v>0</v>
      </c>
      <c r="N417" s="120">
        <f t="shared" ca="1" si="1651"/>
        <v>0</v>
      </c>
      <c r="O417" s="164">
        <f t="shared" ca="1" si="1652"/>
        <v>8.4750000000000014</v>
      </c>
      <c r="P417" s="168">
        <f t="shared" ca="1" si="754"/>
        <v>16102.500000000002</v>
      </c>
      <c r="Q417" s="168">
        <f t="shared" ca="1" si="1653"/>
        <v>1567.4999999999995</v>
      </c>
      <c r="R417" s="184">
        <f t="shared" ca="1" si="1535"/>
        <v>-308323.61763580871</v>
      </c>
      <c r="S417" s="124">
        <f t="shared" ca="1" si="1654"/>
        <v>1.1299999999999999</v>
      </c>
      <c r="T417" s="120">
        <f ca="1">VLOOKUP(TRIM($F417),Reference!B:C,2,0)</f>
        <v>428</v>
      </c>
      <c r="U417" s="181">
        <f t="shared" ca="1" si="1655"/>
        <v>0.36217561050881636</v>
      </c>
      <c r="V417" s="125" t="str">
        <f t="shared" ca="1" si="1524"/>
        <v>TATAMOTORS22JUL430PE</v>
      </c>
      <c r="W417" s="166">
        <f ca="1">VLOOKUP($V417,Reference!BA:BD,4,0)</f>
        <v>12.4</v>
      </c>
      <c r="X417" s="168">
        <f t="shared" ca="1" si="1525"/>
        <v>17670.000000000087</v>
      </c>
      <c r="Y417" s="168">
        <f t="shared" ca="1" si="1526"/>
        <v>-0.50553142750583491</v>
      </c>
      <c r="Z417" s="168">
        <f t="shared" ca="1" si="1538"/>
        <v>-720.38228419581469</v>
      </c>
      <c r="AA417" s="168">
        <f t="shared" ca="1" si="1527"/>
        <v>-684.22433801198713</v>
      </c>
      <c r="AB417" s="168">
        <f t="shared" ca="1" si="1528"/>
        <v>0</v>
      </c>
      <c r="AC417" s="124">
        <f t="shared" ca="1" si="1529"/>
        <v>0.36217561050881636</v>
      </c>
      <c r="AD417" s="120">
        <f t="shared" ca="1" si="1656"/>
        <v>3.5616438356164383E-2</v>
      </c>
      <c r="AE417" s="120">
        <f t="shared" ca="1" si="1657"/>
        <v>20</v>
      </c>
      <c r="AF417" s="120"/>
      <c r="AG417" s="120"/>
      <c r="AH417" s="120">
        <f t="shared" ca="1" si="755"/>
        <v>0</v>
      </c>
      <c r="AI417" s="120"/>
      <c r="AJ417" s="120">
        <f t="shared" ca="1" si="756"/>
        <v>0.48307500000000009</v>
      </c>
      <c r="AK417" s="120"/>
      <c r="AL417" s="147"/>
      <c r="AM417" s="160"/>
      <c r="AN417" s="160"/>
      <c r="AO417" s="160"/>
      <c r="AP417" s="160"/>
      <c r="AQ417" s="160"/>
      <c r="AR417" s="160"/>
      <c r="AS417" s="160"/>
      <c r="AT417" s="160"/>
      <c r="AU417" s="160"/>
      <c r="AV417" s="160"/>
      <c r="AW417" s="160"/>
      <c r="AX417" s="160"/>
      <c r="AY417" s="160"/>
      <c r="AZ417" s="160"/>
      <c r="BA417" s="160"/>
      <c r="BB417" s="160"/>
      <c r="BC417" s="160"/>
      <c r="BD417" s="160"/>
      <c r="BE417" s="160"/>
      <c r="BF417" s="160"/>
      <c r="BG417" s="160"/>
      <c r="BS417" s="13">
        <v>2</v>
      </c>
      <c r="BT417" s="128">
        <v>44491</v>
      </c>
      <c r="BU417" s="121" t="s">
        <v>8</v>
      </c>
      <c r="BV417" s="120" t="s">
        <v>482</v>
      </c>
      <c r="BW417" s="121" t="s">
        <v>502</v>
      </c>
      <c r="BX417" s="120">
        <v>18400</v>
      </c>
      <c r="BY417" s="120">
        <v>41.7</v>
      </c>
      <c r="BZ417" s="120">
        <v>47.945</v>
      </c>
      <c r="CA417" s="124">
        <v>-3216.6708800000001</v>
      </c>
      <c r="CB417" s="120">
        <v>1.1497601918465228</v>
      </c>
      <c r="CC417" s="120">
        <v>500</v>
      </c>
      <c r="CD417" s="120">
        <v>50</v>
      </c>
      <c r="CE417" s="124">
        <v>20850</v>
      </c>
    </row>
    <row r="418" spans="1:83" hidden="1">
      <c r="A418" s="13">
        <f t="shared" ca="1" si="753"/>
        <v>411</v>
      </c>
      <c r="B418" s="128">
        <v>44749</v>
      </c>
      <c r="C418" s="121" t="s">
        <v>8</v>
      </c>
      <c r="D418" s="121">
        <v>1</v>
      </c>
      <c r="E418" s="120" t="s">
        <v>481</v>
      </c>
      <c r="F418" s="121" t="s">
        <v>284</v>
      </c>
      <c r="G418" s="120">
        <v>460</v>
      </c>
      <c r="H418" s="122">
        <v>44770</v>
      </c>
      <c r="I418" s="120">
        <v>1425</v>
      </c>
      <c r="J418" s="120">
        <v>6.35</v>
      </c>
      <c r="K418" s="120">
        <v>0</v>
      </c>
      <c r="L418" s="124">
        <f t="shared" ref="L418" ca="1" si="1658">IF(AND(K418&lt;&gt;0,I418&lt;&gt;0),(IF(C418="B",1,-1))*(K418-J418)*I418-AK418*2,0)*$D418*IF(MONTH($B$2)=MONTH($H418),1,0)</f>
        <v>0</v>
      </c>
      <c r="M418" s="124">
        <f t="shared" ref="M418" ca="1" si="1659">IF(AND(K418&lt;&gt;0,I418&lt;&gt;0),(IF(C418="B",1,-1))*(K418-J418)*I418-AK418*2,0)*$D418</f>
        <v>0</v>
      </c>
      <c r="N418" s="120">
        <f t="shared" ref="N418" ca="1" si="1660">K418/$J418</f>
        <v>0</v>
      </c>
      <c r="O418" s="164">
        <f t="shared" ref="O418" ca="1" si="1661">J418*(1+$O$6*IF(C418="B",-1,1))</f>
        <v>7.9375</v>
      </c>
      <c r="P418" s="168">
        <f t="shared" ca="1" si="754"/>
        <v>9048.75</v>
      </c>
      <c r="Q418" s="168">
        <f t="shared" ref="Q418" ca="1" si="1662">(W418-J418)*I418*IF(C418="B",1,-1)*IF(K418=0,1,0)</f>
        <v>4702.5</v>
      </c>
      <c r="R418" s="184">
        <f t="shared" ca="1" si="1535"/>
        <v>-110766.33729384679</v>
      </c>
      <c r="S418" s="124">
        <f t="shared" ref="S418" ca="1" si="1663">(1-$S$6)*J418</f>
        <v>0.63499999999999979</v>
      </c>
      <c r="T418" s="120">
        <f ca="1">VLOOKUP(TRIM($F418),Reference!B:C,2,0)</f>
        <v>428</v>
      </c>
      <c r="U418" s="181">
        <f t="shared" ref="U418" ca="1" si="1664">AC418</f>
        <v>0.39590016918966209</v>
      </c>
      <c r="V418" s="125" t="str">
        <f t="shared" ca="1" si="1524"/>
        <v>TATAMOTORS22JUL460CE</v>
      </c>
      <c r="W418" s="166">
        <f ca="1">VLOOKUP($V418,Reference!BA:BD,4,0)</f>
        <v>3.05</v>
      </c>
      <c r="X418" s="168">
        <f t="shared" ca="1" si="1525"/>
        <v>-4346.2500000000164</v>
      </c>
      <c r="Y418" s="168">
        <f t="shared" ca="1" si="1526"/>
        <v>0.18161393227389208</v>
      </c>
      <c r="Z418" s="168">
        <f t="shared" ca="1" si="1538"/>
        <v>-258.79985349029624</v>
      </c>
      <c r="AA418" s="168">
        <f t="shared" ca="1" si="1527"/>
        <v>447.90506006838825</v>
      </c>
      <c r="AB418" s="168">
        <f t="shared" ca="1" si="1528"/>
        <v>0</v>
      </c>
      <c r="AC418" s="124">
        <f t="shared" ca="1" si="1529"/>
        <v>0.39590016918966209</v>
      </c>
      <c r="AD418" s="120">
        <f t="shared" ref="AD418" ca="1" si="1665">(H418-TODAY())/365</f>
        <v>3.5616438356164383E-2</v>
      </c>
      <c r="AE418" s="120">
        <f t="shared" ref="AE418" ca="1" si="1666">IF(I418&lt;&gt;0,20,0)</f>
        <v>20</v>
      </c>
      <c r="AF418" s="120"/>
      <c r="AG418" s="120"/>
      <c r="AH418" s="120">
        <f t="shared" ca="1" si="755"/>
        <v>4.524375</v>
      </c>
      <c r="AI418" s="120"/>
      <c r="AJ418" s="120">
        <f t="shared" ca="1" si="756"/>
        <v>0</v>
      </c>
      <c r="AK418" s="120"/>
      <c r="AL418" s="147"/>
      <c r="AM418" s="160"/>
      <c r="AN418" s="160"/>
      <c r="AO418" s="160"/>
      <c r="AP418" s="160"/>
      <c r="AQ418" s="160"/>
      <c r="AR418" s="160"/>
      <c r="AS418" s="160"/>
      <c r="AT418" s="160"/>
      <c r="AU418" s="160"/>
      <c r="AV418" s="160"/>
      <c r="AW418" s="160"/>
      <c r="AX418" s="160"/>
      <c r="AY418" s="160"/>
      <c r="AZ418" s="160"/>
      <c r="BA418" s="160"/>
      <c r="BB418" s="160"/>
      <c r="BC418" s="160"/>
      <c r="BD418" s="160"/>
      <c r="BE418" s="160"/>
      <c r="BF418" s="160"/>
      <c r="BG418" s="160"/>
      <c r="BS418" s="13">
        <v>2</v>
      </c>
      <c r="BT418" s="128">
        <v>44491</v>
      </c>
      <c r="BU418" s="121" t="s">
        <v>8</v>
      </c>
      <c r="BV418" s="120" t="s">
        <v>482</v>
      </c>
      <c r="BW418" s="121" t="s">
        <v>502</v>
      </c>
      <c r="BX418" s="120">
        <v>18400</v>
      </c>
      <c r="BY418" s="120">
        <v>41.7</v>
      </c>
      <c r="BZ418" s="120">
        <v>47.945</v>
      </c>
      <c r="CA418" s="124">
        <v>-3216.6708800000001</v>
      </c>
      <c r="CB418" s="120">
        <v>1.1497601918465228</v>
      </c>
      <c r="CC418" s="120">
        <v>500</v>
      </c>
      <c r="CD418" s="120">
        <v>50</v>
      </c>
      <c r="CE418" s="124">
        <v>20850</v>
      </c>
    </row>
    <row r="419" spans="1:83" hidden="1">
      <c r="A419" s="13">
        <f t="shared" ca="1" si="753"/>
        <v>412</v>
      </c>
      <c r="B419" s="128">
        <v>44749</v>
      </c>
      <c r="C419" s="121" t="s">
        <v>6</v>
      </c>
      <c r="D419" s="121">
        <v>1</v>
      </c>
      <c r="E419" s="120" t="s">
        <v>482</v>
      </c>
      <c r="F419" s="121" t="s">
        <v>506</v>
      </c>
      <c r="G419" s="120">
        <v>34000</v>
      </c>
      <c r="H419" s="122">
        <v>44770</v>
      </c>
      <c r="I419" s="120">
        <v>25</v>
      </c>
      <c r="J419" s="120">
        <v>382.75</v>
      </c>
      <c r="K419" s="120">
        <v>0</v>
      </c>
      <c r="L419" s="124">
        <f t="shared" ref="L419" ca="1" si="1667">IF(AND(K419&lt;&gt;0,I419&lt;&gt;0),(IF(C419="B",1,-1))*(K419-J419)*I419-AK419*2,0)*$D419*IF(MONTH($B$2)=MONTH($H419),1,0)</f>
        <v>0</v>
      </c>
      <c r="M419" s="124">
        <f t="shared" ref="M419" ca="1" si="1668">IF(AND(K419&lt;&gt;0,I419&lt;&gt;0),(IF(C419="B",1,-1))*(K419-J419)*I419-AK419*2,0)*$D419</f>
        <v>0</v>
      </c>
      <c r="N419" s="120">
        <f t="shared" ref="N419" ca="1" si="1669">K419/$J419</f>
        <v>0</v>
      </c>
      <c r="O419" s="164">
        <f t="shared" ref="O419" ca="1" si="1670">J419*(1+$O$6*IF(C419="B",-1,1))</f>
        <v>287.0625</v>
      </c>
      <c r="P419" s="168">
        <f t="shared" ca="1" si="754"/>
        <v>9568.75</v>
      </c>
      <c r="Q419" s="168">
        <f t="shared" ref="Q419" ca="1" si="1671">(W419-J419)*I419*IF(C419="B",1,-1)*IF(K419=0,1,0)</f>
        <v>-2668.75</v>
      </c>
      <c r="R419" s="184">
        <f t="shared" ca="1" si="1535"/>
        <v>-261107.73404878224</v>
      </c>
      <c r="S419" s="124">
        <f t="shared" ref="S419" ca="1" si="1672">(1-$S$6)*J419</f>
        <v>38.274999999999991</v>
      </c>
      <c r="T419" s="120">
        <f ca="1">VLOOKUP(TRIM($F419),Reference!B:C,2,0)</f>
        <v>34651.199999999997</v>
      </c>
      <c r="U419" s="181">
        <f t="shared" ref="U419" ca="1" si="1673">AC419</f>
        <v>0.21566548687663487</v>
      </c>
      <c r="V419" s="125" t="str">
        <f t="shared" ca="1" si="1524"/>
        <v>BANKNIFTY22JUL34000PE</v>
      </c>
      <c r="W419" s="166">
        <f ca="1">VLOOKUP($V419,Reference!BA:BD,4,0)</f>
        <v>276</v>
      </c>
      <c r="X419" s="168">
        <f t="shared" ca="1" si="1525"/>
        <v>6900</v>
      </c>
      <c r="Y419" s="168">
        <f t="shared" ca="1" si="1526"/>
        <v>-0.30141263107630589</v>
      </c>
      <c r="Z419" s="168">
        <f t="shared" ca="1" si="1538"/>
        <v>-7.5353157769076473</v>
      </c>
      <c r="AA419" s="168">
        <f t="shared" ca="1" si="1527"/>
        <v>-509.2046791826682</v>
      </c>
      <c r="AB419" s="168">
        <f t="shared" ca="1" si="1528"/>
        <v>0</v>
      </c>
      <c r="AC419" s="124">
        <f t="shared" ca="1" si="1529"/>
        <v>0.21566548687663487</v>
      </c>
      <c r="AD419" s="120">
        <f t="shared" ref="AD419" ca="1" si="1674">(H419-TODAY())/365</f>
        <v>3.5616438356164383E-2</v>
      </c>
      <c r="AE419" s="120">
        <f t="shared" ref="AE419" ca="1" si="1675">IF(I419&lt;&gt;0,20,0)</f>
        <v>20</v>
      </c>
      <c r="AF419" s="120"/>
      <c r="AG419" s="120"/>
      <c r="AH419" s="120">
        <f t="shared" ca="1" si="755"/>
        <v>0</v>
      </c>
      <c r="AI419" s="120"/>
      <c r="AJ419" s="120">
        <f t="shared" ca="1" si="756"/>
        <v>0.2870625</v>
      </c>
      <c r="AK419" s="120"/>
      <c r="AL419" s="147"/>
      <c r="AM419" s="160"/>
      <c r="AN419" s="160"/>
      <c r="AO419" s="160"/>
      <c r="AP419" s="160"/>
      <c r="AQ419" s="160"/>
      <c r="AR419" s="160"/>
      <c r="AS419" s="160"/>
      <c r="AT419" s="160"/>
      <c r="AU419" s="160"/>
      <c r="AV419" s="160"/>
      <c r="AW419" s="160"/>
      <c r="AX419" s="160"/>
      <c r="AY419" s="160"/>
      <c r="AZ419" s="160"/>
      <c r="BA419" s="160"/>
      <c r="BB419" s="160"/>
      <c r="BC419" s="160"/>
      <c r="BD419" s="160"/>
      <c r="BE419" s="160"/>
      <c r="BF419" s="160"/>
      <c r="BG419" s="160"/>
      <c r="BS419" s="13">
        <v>2</v>
      </c>
      <c r="BT419" s="128">
        <v>44491</v>
      </c>
      <c r="BU419" s="121" t="s">
        <v>8</v>
      </c>
      <c r="BV419" s="120" t="s">
        <v>482</v>
      </c>
      <c r="BW419" s="121" t="s">
        <v>502</v>
      </c>
      <c r="BX419" s="120">
        <v>18400</v>
      </c>
      <c r="BY419" s="120">
        <v>41.7</v>
      </c>
      <c r="BZ419" s="120">
        <v>47.945</v>
      </c>
      <c r="CA419" s="124">
        <v>-3216.6708800000001</v>
      </c>
      <c r="CB419" s="120">
        <v>1.1497601918465228</v>
      </c>
      <c r="CC419" s="120">
        <v>500</v>
      </c>
      <c r="CD419" s="120">
        <v>50</v>
      </c>
      <c r="CE419" s="124">
        <v>20850</v>
      </c>
    </row>
    <row r="420" spans="1:83" hidden="1">
      <c r="A420" s="13">
        <f t="shared" ca="1" si="753"/>
        <v>413</v>
      </c>
      <c r="B420" s="128">
        <v>44749</v>
      </c>
      <c r="C420" s="121" t="s">
        <v>8</v>
      </c>
      <c r="D420" s="121">
        <v>1</v>
      </c>
      <c r="E420" s="120" t="s">
        <v>481</v>
      </c>
      <c r="F420" s="121" t="s">
        <v>506</v>
      </c>
      <c r="G420" s="120">
        <v>35000</v>
      </c>
      <c r="H420" s="122">
        <v>44770</v>
      </c>
      <c r="I420" s="120">
        <v>25</v>
      </c>
      <c r="J420" s="120">
        <v>697</v>
      </c>
      <c r="K420" s="120">
        <v>933.35</v>
      </c>
      <c r="L420" s="124">
        <f t="shared" ref="L420" ca="1" si="1676">IF(AND(K420&lt;&gt;0,I420&lt;&gt;0),(IF(C420="B",1,-1))*(K420-J420)*I420-AK420*2,0)*$D420*IF(MONTH($B$2)=MONTH($H420),1,0)</f>
        <v>-5908.7500000000009</v>
      </c>
      <c r="M420" s="124">
        <f t="shared" ref="M420" ca="1" si="1677">IF(AND(K420&lt;&gt;0,I420&lt;&gt;0),(IF(C420="B",1,-1))*(K420-J420)*I420-AK420*2,0)*$D420</f>
        <v>-5908.7500000000009</v>
      </c>
      <c r="N420" s="120">
        <f t="shared" ref="N420" ca="1" si="1678">K420/$J420</f>
        <v>1.3390961262553802</v>
      </c>
      <c r="O420" s="164">
        <f t="shared" ref="O420" ca="1" si="1679">J420*(1+$O$6*IF(C420="B",-1,1))</f>
        <v>871.25</v>
      </c>
      <c r="P420" s="168">
        <f t="shared" ca="1" si="754"/>
        <v>17425</v>
      </c>
      <c r="Q420" s="168">
        <f t="shared" ref="Q420" ca="1" si="1680">(W420-J420)*I420*IF(C420="B",1,-1)*IF(K420=0,1,0)</f>
        <v>0</v>
      </c>
      <c r="R420" s="184">
        <f t="shared" ca="1" si="1535"/>
        <v>0</v>
      </c>
      <c r="S420" s="124">
        <f t="shared" ref="S420" ca="1" si="1681">(1-$S$6)*J420</f>
        <v>69.699999999999989</v>
      </c>
      <c r="T420" s="120">
        <f ca="1">VLOOKUP(TRIM($F420),Reference!B:C,2,0)</f>
        <v>34651.199999999997</v>
      </c>
      <c r="U420" s="181">
        <f t="shared" ref="U420" ca="1" si="1682">AC420</f>
        <v>0</v>
      </c>
      <c r="V420" s="125" t="str">
        <f t="shared" ca="1" si="1524"/>
        <v>BANKNIFTY22JUL35000CE</v>
      </c>
      <c r="W420" s="166">
        <f ca="1">VLOOKUP($V420,Reference!BA:BD,4,0)</f>
        <v>398.25</v>
      </c>
      <c r="X420" s="168">
        <f t="shared" ca="1" si="1525"/>
        <v>0</v>
      </c>
      <c r="Y420" s="168">
        <f t="shared" ca="1" si="1526"/>
        <v>0</v>
      </c>
      <c r="Z420" s="168">
        <f t="shared" ca="1" si="1538"/>
        <v>0</v>
      </c>
      <c r="AA420" s="168">
        <f t="shared" ca="1" si="1527"/>
        <v>0</v>
      </c>
      <c r="AB420" s="168">
        <f t="shared" ca="1" si="1528"/>
        <v>0</v>
      </c>
      <c r="AC420" s="124">
        <f t="shared" ca="1" si="1529"/>
        <v>0</v>
      </c>
      <c r="AD420" s="120">
        <f t="shared" ref="AD420" ca="1" si="1683">(H420-TODAY())/365</f>
        <v>3.5616438356164383E-2</v>
      </c>
      <c r="AE420" s="120">
        <f t="shared" ref="AE420" ca="1" si="1684">IF(I420&lt;&gt;0,20,0)</f>
        <v>20</v>
      </c>
      <c r="AF420" s="120"/>
      <c r="AG420" s="120"/>
      <c r="AH420" s="120">
        <f t="shared" ca="1" si="755"/>
        <v>8.7125000000000004</v>
      </c>
      <c r="AI420" s="120"/>
      <c r="AJ420" s="120">
        <f t="shared" ca="1" si="756"/>
        <v>0</v>
      </c>
      <c r="AK420" s="120"/>
      <c r="AL420" s="147"/>
      <c r="AM420" s="160"/>
      <c r="AN420" s="160"/>
      <c r="AO420" s="160"/>
      <c r="AP420" s="160"/>
      <c r="AQ420" s="160"/>
      <c r="AR420" s="160"/>
      <c r="AS420" s="160"/>
      <c r="AT420" s="160"/>
      <c r="AU420" s="160"/>
      <c r="AV420" s="160"/>
      <c r="AW420" s="160"/>
      <c r="AX420" s="160"/>
      <c r="AY420" s="160"/>
      <c r="AZ420" s="160"/>
      <c r="BA420" s="160"/>
      <c r="BB420" s="160"/>
      <c r="BC420" s="160"/>
      <c r="BD420" s="160"/>
      <c r="BE420" s="160"/>
      <c r="BF420" s="160"/>
      <c r="BG420" s="160"/>
      <c r="BS420" s="13">
        <v>2</v>
      </c>
      <c r="BT420" s="128">
        <v>44491</v>
      </c>
      <c r="BU420" s="121" t="s">
        <v>8</v>
      </c>
      <c r="BV420" s="120" t="s">
        <v>482</v>
      </c>
      <c r="BW420" s="121" t="s">
        <v>502</v>
      </c>
      <c r="BX420" s="120">
        <v>18400</v>
      </c>
      <c r="BY420" s="120">
        <v>41.7</v>
      </c>
      <c r="BZ420" s="120">
        <v>47.945</v>
      </c>
      <c r="CA420" s="124">
        <v>-3216.6708800000001</v>
      </c>
      <c r="CB420" s="120">
        <v>1.1497601918465228</v>
      </c>
      <c r="CC420" s="120">
        <v>500</v>
      </c>
      <c r="CD420" s="120">
        <v>50</v>
      </c>
      <c r="CE420" s="124">
        <v>20850</v>
      </c>
    </row>
    <row r="421" spans="1:83" hidden="1">
      <c r="A421" s="13">
        <f t="shared" ca="1" si="753"/>
        <v>414</v>
      </c>
      <c r="B421" s="128">
        <v>44749</v>
      </c>
      <c r="C421" s="121" t="s">
        <v>8</v>
      </c>
      <c r="D421" s="121">
        <v>1</v>
      </c>
      <c r="E421" s="120" t="s">
        <v>481</v>
      </c>
      <c r="F421" s="121" t="s">
        <v>502</v>
      </c>
      <c r="G421" s="120">
        <v>16600</v>
      </c>
      <c r="H421" s="122">
        <v>44770</v>
      </c>
      <c r="I421" s="120">
        <v>50</v>
      </c>
      <c r="J421" s="120">
        <v>93.85</v>
      </c>
      <c r="K421" s="120">
        <v>0</v>
      </c>
      <c r="L421" s="124">
        <f t="shared" ref="L421" ca="1" si="1685">IF(AND(K421&lt;&gt;0,I421&lt;&gt;0),(IF(C421="B",1,-1))*(K421-J421)*I421-AK421*2,0)*$D421*IF(MONTH($B$2)=MONTH($H421),1,0)</f>
        <v>0</v>
      </c>
      <c r="M421" s="124">
        <f t="shared" ref="M421" ca="1" si="1686">IF(AND(K421&lt;&gt;0,I421&lt;&gt;0),(IF(C421="B",1,-1))*(K421-J421)*I421-AK421*2,0)*$D421</f>
        <v>0</v>
      </c>
      <c r="N421" s="120">
        <f t="shared" ref="N421" ca="1" si="1687">K421/$J421</f>
        <v>0</v>
      </c>
      <c r="O421" s="164">
        <f t="shared" ref="O421" ca="1" si="1688">J421*(1+$O$6*IF(C421="B",-1,1))</f>
        <v>117.3125</v>
      </c>
      <c r="P421" s="168">
        <f t="shared" ca="1" si="754"/>
        <v>4692.5</v>
      </c>
      <c r="Q421" s="168">
        <f t="shared" ref="Q421" ca="1" si="1689">(W421-J421)*I421*IF(C421="B",1,-1)*IF(K421=0,1,0)</f>
        <v>3697.4999999999995</v>
      </c>
      <c r="R421" s="184">
        <f t="shared" ca="1" si="1535"/>
        <v>-73735.049368905791</v>
      </c>
      <c r="S421" s="124">
        <f t="shared" ref="S421" ca="1" si="1690">(1-$S$6)*J421</f>
        <v>9.384999999999998</v>
      </c>
      <c r="T421" s="120">
        <f ca="1">VLOOKUP(TRIM($F421),Reference!B:C,2,0)</f>
        <v>15938.65</v>
      </c>
      <c r="U421" s="181">
        <f t="shared" ref="U421" ca="1" si="1691">AC421</f>
        <v>0.1553111960229526</v>
      </c>
      <c r="V421" s="125" t="str">
        <f ca="1">TRIM(F421)&amp;TEXT(H421,"YY")&amp;UPPER(TEXT(H421,"MMM"))&amp;TRIM(G421)&amp;TRIM(E421)</f>
        <v>NIFTY22JUL16600CE</v>
      </c>
      <c r="W421" s="166">
        <f ca="1">VLOOKUP($V421,Reference!BA:BD,4,0)</f>
        <v>19.899999999999999</v>
      </c>
      <c r="X421" s="168">
        <f t="shared" ca="1" si="1525"/>
        <v>-994.99999999995907</v>
      </c>
      <c r="Y421" s="168">
        <f t="shared" ca="1" si="1526"/>
        <v>9.2523581820173978E-2</v>
      </c>
      <c r="Z421" s="168">
        <f t="shared" ca="1" si="1538"/>
        <v>-4.6261790910086988</v>
      </c>
      <c r="AA421" s="168">
        <f t="shared" ca="1" si="1527"/>
        <v>138.95587288555936</v>
      </c>
      <c r="AB421" s="168">
        <f t="shared" ca="1" si="1528"/>
        <v>0</v>
      </c>
      <c r="AC421" s="124">
        <f t="shared" ca="1" si="1529"/>
        <v>0.1553111960229526</v>
      </c>
      <c r="AD421" s="120">
        <f t="shared" ref="AD421" ca="1" si="1692">(H421-TODAY())/365</f>
        <v>3.5616438356164383E-2</v>
      </c>
      <c r="AE421" s="120">
        <f t="shared" ref="AE421" ca="1" si="1693">IF(I421&lt;&gt;0,20,0)</f>
        <v>20</v>
      </c>
      <c r="AF421" s="120"/>
      <c r="AG421" s="120"/>
      <c r="AH421" s="120">
        <f t="shared" ca="1" si="755"/>
        <v>2.3462499999999999</v>
      </c>
      <c r="AI421" s="120"/>
      <c r="AJ421" s="120">
        <f t="shared" ca="1" si="756"/>
        <v>0</v>
      </c>
      <c r="AK421" s="120"/>
      <c r="AL421" s="147"/>
      <c r="AM421" s="160"/>
      <c r="AN421" s="160"/>
      <c r="AO421" s="160"/>
      <c r="AP421" s="160"/>
      <c r="AQ421" s="160"/>
      <c r="AR421" s="160"/>
      <c r="AS421" s="160"/>
      <c r="AT421" s="160"/>
      <c r="AU421" s="160"/>
      <c r="AV421" s="160"/>
      <c r="AW421" s="160"/>
      <c r="AX421" s="160"/>
      <c r="AY421" s="160"/>
      <c r="AZ421" s="160"/>
      <c r="BA421" s="160"/>
      <c r="BB421" s="160"/>
      <c r="BC421" s="160"/>
      <c r="BD421" s="160"/>
      <c r="BE421" s="160"/>
      <c r="BF421" s="160"/>
      <c r="BG421" s="160"/>
      <c r="BS421" s="13">
        <v>2</v>
      </c>
      <c r="BT421" s="128">
        <v>44491</v>
      </c>
      <c r="BU421" s="121" t="s">
        <v>8</v>
      </c>
      <c r="BV421" s="120" t="s">
        <v>482</v>
      </c>
      <c r="BW421" s="121" t="s">
        <v>502</v>
      </c>
      <c r="BX421" s="120">
        <v>18400</v>
      </c>
      <c r="BY421" s="120">
        <v>41.7</v>
      </c>
      <c r="BZ421" s="120">
        <v>47.945</v>
      </c>
      <c r="CA421" s="124">
        <v>-3216.6708800000001</v>
      </c>
      <c r="CB421" s="120">
        <v>1.1497601918465228</v>
      </c>
      <c r="CC421" s="120">
        <v>500</v>
      </c>
      <c r="CD421" s="120">
        <v>50</v>
      </c>
      <c r="CE421" s="124">
        <v>20850</v>
      </c>
    </row>
    <row r="422" spans="1:83" hidden="1">
      <c r="A422" s="13">
        <f t="shared" ca="1" si="753"/>
        <v>415</v>
      </c>
      <c r="B422" s="128">
        <v>44753</v>
      </c>
      <c r="C422" s="121" t="s">
        <v>8</v>
      </c>
      <c r="D422" s="121">
        <v>1</v>
      </c>
      <c r="E422" s="120" t="s">
        <v>482</v>
      </c>
      <c r="F422" s="121" t="s">
        <v>399</v>
      </c>
      <c r="G422" s="120">
        <v>1620</v>
      </c>
      <c r="H422" s="122">
        <v>44770</v>
      </c>
      <c r="I422" s="120">
        <v>300</v>
      </c>
      <c r="J422" s="120">
        <v>23.6</v>
      </c>
      <c r="K422" s="120">
        <v>0</v>
      </c>
      <c r="L422" s="124">
        <f t="shared" ref="L422:L424" ca="1" si="1694">IF(AND(K422&lt;&gt;0,I422&lt;&gt;0),(IF(C422="B",1,-1))*(K422-J422)*I422-AK422*2,0)*$D422*IF(MONTH($B$2)=MONTH($H422),1,0)</f>
        <v>0</v>
      </c>
      <c r="M422" s="124">
        <f t="shared" ref="M422:M424" ca="1" si="1695">IF(AND(K422&lt;&gt;0,I422&lt;&gt;0),(IF(C422="B",1,-1))*(K422-J422)*I422-AK422*2,0)*$D422</f>
        <v>0</v>
      </c>
      <c r="N422" s="120">
        <f t="shared" ref="N422:N424" ca="1" si="1696">K422/$J422</f>
        <v>0</v>
      </c>
      <c r="O422" s="164">
        <f t="shared" ref="O422:O424" ca="1" si="1697">J422*(1+$O$6*IF(C422="B",-1,1))</f>
        <v>29.5</v>
      </c>
      <c r="P422" s="168">
        <f t="shared" ca="1" si="754"/>
        <v>7080</v>
      </c>
      <c r="Q422" s="168">
        <f t="shared" ref="Q422:Q424" ca="1" si="1698">(W422-J422)*I422*IF(C422="B",1,-1)*IF(K422=0,1,0)</f>
        <v>-1394.9999999999995</v>
      </c>
      <c r="R422" s="184">
        <f t="shared" ref="R422:R424" ca="1" si="1699">Z422*T422</f>
        <v>187331.94635174863</v>
      </c>
      <c r="S422" s="124">
        <f t="shared" ref="S422:S424" ca="1" si="1700">(1-$S$6)*J422</f>
        <v>2.3599999999999994</v>
      </c>
      <c r="T422" s="120">
        <f ca="1">VLOOKUP(TRIM($F422),Reference!B:C,2,0)</f>
        <v>1646</v>
      </c>
      <c r="U422" s="181">
        <f t="shared" ref="U422:U424" ca="1" si="1701">AC422</f>
        <v>0.3324108065206578</v>
      </c>
      <c r="V422" s="125" t="str">
        <f ca="1">TRIM(F422)&amp;TEXT(H422,"YY")&amp;UPPER(TEXT(H422,"MMM"))&amp;TRIM(G422)&amp;TRIM(E422)</f>
        <v>LT22JUL1620PE</v>
      </c>
      <c r="W422" s="166">
        <f ca="1">VLOOKUP($V422,Reference!BA:BD,4,0)</f>
        <v>28.25</v>
      </c>
      <c r="X422" s="168">
        <f t="shared" ref="X422:X424" ca="1" si="1702">IF(OR($AD422&lt;0,$K422&lt;&gt;0),0,IF($E422="FUT",W422,OptionPrice(LEFT($E422),$T422,$G422,$AD422,RISKFREE_RATE,$U422,NIFTY_DIVYLD))*IF(C422="B",1,-1)*IF(I422=0,0,1)*IF(K422=0,1,0)*I422)</f>
        <v>-8474.9999999999654</v>
      </c>
      <c r="Y422" s="168">
        <f t="shared" ref="Y422:Y424" ca="1" si="1703">IF(OR($AD422&lt;0,$K422&lt;&gt;0),0,IF($E422="FUT",1,OptionDelta(LEFT(E422),T422,G422,AD422,RISKFREE_RATE,U422,NIFTY_DIVYLD)))</f>
        <v>-0.37936805660540429</v>
      </c>
      <c r="Z422" s="168">
        <f t="shared" ref="Z422:Z424" ca="1" si="1704">Y422*IF(C422="B",1,-1)*IF(I422=0,0,1)*IF(K422=0,1,0)*I422</f>
        <v>113.81041698162129</v>
      </c>
      <c r="AA422" s="168">
        <f t="shared" ref="AA422:AA424" ca="1" si="1705">IF(OR($AD422&lt;0,$K422&lt;&gt;0),0,IF($E422="FUT",0,OptionTheta(LEFT(E422),T422,G422,AD422,RISKFREE_RATE,U422,NIFTY_DIVYLD))*IF(C422="B",1,-1)*IF(I422=0,0,1)*IF(K422=0,1,0)*I422)</f>
        <v>480.23547268453586</v>
      </c>
      <c r="AB422" s="168">
        <f t="shared" ref="AB422:AB424" ca="1" si="1706">IF(OR($AD422&lt;0,$K422&lt;&gt;0),0,IF($E422="FUT",0,OptionGamma(T422,G422,AD422,RISKFREE_RATE,U422,NIFTY_DIVYLD))*IF(C422="B",1,-1)*IF(I422=0,0,1)*IF(K422=0,1,0))</f>
        <v>0</v>
      </c>
      <c r="AC422" s="124">
        <f t="shared" ref="AC422:AC424" ca="1" si="1707">IF(OR($AD422&lt;0,$K422&lt;&gt;0),0,IF($E422="FUT",0,ImpliedVolatility(LEFT(E422),T422,G422,RISKFREE_RATE,AD422,NIFTY_DIVYLD,W422,$AC$6)))</f>
        <v>0.3324108065206578</v>
      </c>
      <c r="AD422" s="120">
        <f t="shared" ref="AD422:AD424" ca="1" si="1708">(H422-TODAY())/365</f>
        <v>3.5616438356164383E-2</v>
      </c>
      <c r="AE422" s="120">
        <f t="shared" ref="AE422:AE424" ca="1" si="1709">IF(I422&lt;&gt;0,20,0)</f>
        <v>20</v>
      </c>
      <c r="AF422" s="120"/>
      <c r="AG422" s="120"/>
      <c r="AH422" s="120">
        <f t="shared" ca="1" si="755"/>
        <v>3.54</v>
      </c>
      <c r="AI422" s="120"/>
      <c r="AJ422" s="120">
        <f t="shared" ca="1" si="756"/>
        <v>0</v>
      </c>
      <c r="AK422" s="120"/>
      <c r="AL422" s="147"/>
      <c r="AM422" s="160"/>
      <c r="AN422" s="160"/>
      <c r="AO422" s="160"/>
      <c r="AP422" s="160"/>
      <c r="AQ422" s="160"/>
      <c r="AR422" s="160"/>
      <c r="AS422" s="160"/>
      <c r="AT422" s="160"/>
      <c r="AU422" s="160"/>
      <c r="AV422" s="160"/>
      <c r="AW422" s="160"/>
      <c r="AX422" s="160"/>
      <c r="AY422" s="160"/>
      <c r="AZ422" s="160"/>
      <c r="BA422" s="160"/>
      <c r="BB422" s="160"/>
      <c r="BC422" s="160"/>
      <c r="BD422" s="160"/>
      <c r="BE422" s="160"/>
      <c r="BF422" s="160"/>
      <c r="BG422" s="160"/>
      <c r="BS422" s="13">
        <v>2</v>
      </c>
      <c r="BT422" s="128">
        <v>44491</v>
      </c>
      <c r="BU422" s="121" t="s">
        <v>8</v>
      </c>
      <c r="BV422" s="120" t="s">
        <v>482</v>
      </c>
      <c r="BW422" s="121" t="s">
        <v>502</v>
      </c>
      <c r="BX422" s="120">
        <v>18400</v>
      </c>
      <c r="BY422" s="120">
        <v>41.7</v>
      </c>
      <c r="BZ422" s="120">
        <v>47.945</v>
      </c>
      <c r="CA422" s="124">
        <v>-3216.6708800000001</v>
      </c>
      <c r="CB422" s="120">
        <v>1.1497601918465228</v>
      </c>
      <c r="CC422" s="120">
        <v>500</v>
      </c>
      <c r="CD422" s="120">
        <v>50</v>
      </c>
      <c r="CE422" s="124">
        <v>20850</v>
      </c>
    </row>
    <row r="423" spans="1:83" hidden="1">
      <c r="A423" s="13">
        <f t="shared" ca="1" si="753"/>
        <v>416</v>
      </c>
      <c r="B423" s="128">
        <v>44753</v>
      </c>
      <c r="C423" s="121" t="s">
        <v>8</v>
      </c>
      <c r="D423" s="121">
        <v>1</v>
      </c>
      <c r="E423" s="120" t="s">
        <v>481</v>
      </c>
      <c r="F423" s="121" t="s">
        <v>506</v>
      </c>
      <c r="G423" s="120">
        <v>36000</v>
      </c>
      <c r="H423" s="122">
        <v>44770</v>
      </c>
      <c r="I423" s="120">
        <v>25</v>
      </c>
      <c r="J423" s="120">
        <v>405</v>
      </c>
      <c r="K423" s="120">
        <v>0</v>
      </c>
      <c r="L423" s="124">
        <f t="shared" ca="1" si="1694"/>
        <v>0</v>
      </c>
      <c r="M423" s="124">
        <f t="shared" ca="1" si="1695"/>
        <v>0</v>
      </c>
      <c r="N423" s="120">
        <f t="shared" ca="1" si="1696"/>
        <v>0</v>
      </c>
      <c r="O423" s="164">
        <f t="shared" ca="1" si="1697"/>
        <v>506.25</v>
      </c>
      <c r="P423" s="168">
        <f t="shared" ca="1" si="754"/>
        <v>10125</v>
      </c>
      <c r="Q423" s="168">
        <f t="shared" ca="1" si="1698"/>
        <v>7487.5</v>
      </c>
      <c r="R423" s="184">
        <f t="shared" ca="1" si="1699"/>
        <v>-139460.62633239554</v>
      </c>
      <c r="S423" s="124">
        <f t="shared" ca="1" si="1700"/>
        <v>40.499999999999993</v>
      </c>
      <c r="T423" s="120">
        <f ca="1">VLOOKUP(TRIM($F423),Reference!B:C,2,0)</f>
        <v>34651.199999999997</v>
      </c>
      <c r="U423" s="181">
        <f t="shared" ca="1" si="1701"/>
        <v>0.19336519556843207</v>
      </c>
      <c r="V423" s="125" t="str">
        <f t="shared" ref="V423:V424" ca="1" si="1710">TRIM(F423)&amp;TEXT(H423,"YY")&amp;UPPER(TEXT(H423,"MMM"))&amp;TRIM(G423)&amp;TRIM(E423)</f>
        <v>BANKNIFTY22JUL36000CE</v>
      </c>
      <c r="W423" s="166">
        <f ca="1">VLOOKUP($V423,Reference!BA:BD,4,0)</f>
        <v>105.5</v>
      </c>
      <c r="X423" s="168">
        <f t="shared" ca="1" si="1702"/>
        <v>-2637.4999999998863</v>
      </c>
      <c r="Y423" s="168">
        <f t="shared" ca="1" si="1703"/>
        <v>0.16098793269196512</v>
      </c>
      <c r="Z423" s="168">
        <f t="shared" ca="1" si="1704"/>
        <v>-4.0246983172991282</v>
      </c>
      <c r="AA423" s="168">
        <f t="shared" ca="1" si="1705"/>
        <v>278.29326630601179</v>
      </c>
      <c r="AB423" s="168">
        <f t="shared" ca="1" si="1706"/>
        <v>0</v>
      </c>
      <c r="AC423" s="124">
        <f t="shared" ca="1" si="1707"/>
        <v>0.19336519556843207</v>
      </c>
      <c r="AD423" s="120">
        <f t="shared" ca="1" si="1708"/>
        <v>3.5616438356164383E-2</v>
      </c>
      <c r="AE423" s="120">
        <f t="shared" ca="1" si="1709"/>
        <v>20</v>
      </c>
      <c r="AF423" s="120"/>
      <c r="AG423" s="120"/>
      <c r="AH423" s="120">
        <f t="shared" ca="1" si="755"/>
        <v>5.0625</v>
      </c>
      <c r="AI423" s="120"/>
      <c r="AJ423" s="120">
        <f t="shared" ca="1" si="756"/>
        <v>0</v>
      </c>
      <c r="AK423" s="120"/>
      <c r="AL423" s="147"/>
      <c r="AM423" s="160"/>
      <c r="AN423" s="160"/>
      <c r="AO423" s="160"/>
      <c r="AP423" s="160"/>
      <c r="AQ423" s="160"/>
      <c r="AR423" s="160"/>
      <c r="AS423" s="160"/>
      <c r="AT423" s="160"/>
      <c r="AU423" s="160"/>
      <c r="AV423" s="160"/>
      <c r="AW423" s="160"/>
      <c r="AX423" s="160"/>
      <c r="AY423" s="160"/>
      <c r="AZ423" s="160"/>
      <c r="BA423" s="160"/>
      <c r="BB423" s="160"/>
      <c r="BC423" s="160"/>
      <c r="BD423" s="160"/>
      <c r="BE423" s="160"/>
      <c r="BF423" s="160"/>
      <c r="BG423" s="160"/>
      <c r="BS423" s="13">
        <v>2</v>
      </c>
      <c r="BT423" s="128">
        <v>44491</v>
      </c>
      <c r="BU423" s="121" t="s">
        <v>8</v>
      </c>
      <c r="BV423" s="120" t="s">
        <v>482</v>
      </c>
      <c r="BW423" s="121" t="s">
        <v>502</v>
      </c>
      <c r="BX423" s="120">
        <v>18400</v>
      </c>
      <c r="BY423" s="120">
        <v>41.7</v>
      </c>
      <c r="BZ423" s="120">
        <v>47.945</v>
      </c>
      <c r="CA423" s="124">
        <v>-3216.6708800000001</v>
      </c>
      <c r="CB423" s="120">
        <v>1.1497601918465228</v>
      </c>
      <c r="CC423" s="120">
        <v>500</v>
      </c>
      <c r="CD423" s="120">
        <v>50</v>
      </c>
      <c r="CE423" s="124">
        <v>20850</v>
      </c>
    </row>
    <row r="424" spans="1:83" hidden="1">
      <c r="A424" s="13">
        <f t="shared" ca="1" si="753"/>
        <v>417</v>
      </c>
      <c r="B424" s="128">
        <v>44753</v>
      </c>
      <c r="C424" s="121" t="s">
        <v>6</v>
      </c>
      <c r="D424" s="121">
        <v>1</v>
      </c>
      <c r="E424" s="120" t="s">
        <v>632</v>
      </c>
      <c r="F424" s="121" t="s">
        <v>506</v>
      </c>
      <c r="G424" s="120" t="s">
        <v>568</v>
      </c>
      <c r="H424" s="122">
        <v>44798</v>
      </c>
      <c r="I424" s="120">
        <v>25</v>
      </c>
      <c r="J424" s="120">
        <v>35320</v>
      </c>
      <c r="K424" s="120">
        <v>0</v>
      </c>
      <c r="L424" s="124">
        <f t="shared" ca="1" si="1694"/>
        <v>0</v>
      </c>
      <c r="M424" s="124">
        <f t="shared" ca="1" si="1695"/>
        <v>0</v>
      </c>
      <c r="N424" s="120">
        <f t="shared" ca="1" si="1696"/>
        <v>0</v>
      </c>
      <c r="O424" s="164">
        <f t="shared" ca="1" si="1697"/>
        <v>26490</v>
      </c>
      <c r="P424" s="168">
        <f t="shared" ca="1" si="754"/>
        <v>883000</v>
      </c>
      <c r="Q424" s="168">
        <f t="shared" ca="1" si="1698"/>
        <v>-14000</v>
      </c>
      <c r="R424" s="184">
        <f t="shared" ca="1" si="1699"/>
        <v>866279.99999999988</v>
      </c>
      <c r="S424" s="124">
        <f t="shared" ca="1" si="1700"/>
        <v>3531.9999999999991</v>
      </c>
      <c r="T424" s="120">
        <f ca="1">VLOOKUP(TRIM($F424),Reference!B:C,2,0)</f>
        <v>34651.199999999997</v>
      </c>
      <c r="U424" s="181">
        <f t="shared" ca="1" si="1701"/>
        <v>0</v>
      </c>
      <c r="V424" s="125" t="str">
        <f t="shared" ca="1" si="1710"/>
        <v>BANKNIFTY22AUGFUT</v>
      </c>
      <c r="W424" s="166">
        <f ca="1">VLOOKUP($V424,Reference!BA:BD,4,0)</f>
        <v>34760</v>
      </c>
      <c r="X424" s="168">
        <f t="shared" ca="1" si="1702"/>
        <v>869000</v>
      </c>
      <c r="Y424" s="168">
        <f t="shared" ca="1" si="1703"/>
        <v>1</v>
      </c>
      <c r="Z424" s="168">
        <f t="shared" ca="1" si="1704"/>
        <v>25</v>
      </c>
      <c r="AA424" s="168">
        <f t="shared" ca="1" si="1705"/>
        <v>0</v>
      </c>
      <c r="AB424" s="168">
        <f t="shared" ca="1" si="1706"/>
        <v>0</v>
      </c>
      <c r="AC424" s="124">
        <f t="shared" ca="1" si="1707"/>
        <v>0</v>
      </c>
      <c r="AD424" s="120">
        <f t="shared" ca="1" si="1708"/>
        <v>0.11232876712328767</v>
      </c>
      <c r="AE424" s="120">
        <f t="shared" ca="1" si="1709"/>
        <v>20</v>
      </c>
      <c r="AF424" s="120"/>
      <c r="AG424" s="120"/>
      <c r="AH424" s="120">
        <f t="shared" ca="1" si="755"/>
        <v>0</v>
      </c>
      <c r="AI424" s="120"/>
      <c r="AJ424" s="120">
        <f t="shared" ca="1" si="756"/>
        <v>26.490000000000002</v>
      </c>
      <c r="AK424" s="120"/>
      <c r="AL424" s="147"/>
      <c r="AM424" s="160"/>
      <c r="AN424" s="160"/>
      <c r="AO424" s="160"/>
      <c r="AP424" s="160"/>
      <c r="AQ424" s="160"/>
      <c r="AR424" s="160"/>
      <c r="AS424" s="160"/>
      <c r="AT424" s="160"/>
      <c r="AU424" s="160"/>
      <c r="AV424" s="160"/>
      <c r="AW424" s="160"/>
      <c r="AX424" s="160"/>
      <c r="AY424" s="160"/>
      <c r="AZ424" s="160"/>
      <c r="BA424" s="160"/>
      <c r="BB424" s="160"/>
      <c r="BC424" s="160"/>
      <c r="BD424" s="160"/>
      <c r="BE424" s="160"/>
      <c r="BF424" s="160"/>
      <c r="BG424" s="160"/>
      <c r="BS424" s="13">
        <v>2</v>
      </c>
      <c r="BT424" s="128">
        <v>44491</v>
      </c>
      <c r="BU424" s="121" t="s">
        <v>8</v>
      </c>
      <c r="BV424" s="120" t="s">
        <v>482</v>
      </c>
      <c r="BW424" s="121" t="s">
        <v>502</v>
      </c>
      <c r="BX424" s="120">
        <v>18400</v>
      </c>
      <c r="BY424" s="120">
        <v>41.7</v>
      </c>
      <c r="BZ424" s="120">
        <v>47.945</v>
      </c>
      <c r="CA424" s="124">
        <v>-3216.6708800000001</v>
      </c>
      <c r="CB424" s="120">
        <v>1.1497601918465228</v>
      </c>
      <c r="CC424" s="120">
        <v>500</v>
      </c>
      <c r="CD424" s="120">
        <v>50</v>
      </c>
      <c r="CE424" s="124">
        <v>20850</v>
      </c>
    </row>
    <row r="425" spans="1:83">
      <c r="A425" s="13">
        <f t="shared" ca="1" si="753"/>
        <v>418</v>
      </c>
      <c r="B425" s="128">
        <v>44754</v>
      </c>
      <c r="C425" s="121" t="s">
        <v>6</v>
      </c>
      <c r="D425" s="121">
        <v>1</v>
      </c>
      <c r="E425" s="120" t="s">
        <v>632</v>
      </c>
      <c r="F425" s="121" t="s">
        <v>104</v>
      </c>
      <c r="G425" s="120" t="s">
        <v>568</v>
      </c>
      <c r="H425" s="122">
        <v>44798</v>
      </c>
      <c r="I425" s="120">
        <v>300</v>
      </c>
      <c r="J425" s="120">
        <v>2492.9</v>
      </c>
      <c r="K425" s="120">
        <v>2560</v>
      </c>
      <c r="L425" s="124">
        <f t="shared" ref="L425:L426" ca="1" si="1711">IF(AND(K425&lt;&gt;0,I425&lt;&gt;0),(IF(C425="B",1,-1))*(K425-J425)*I425-AK425*2,0)*$D425*IF(MONTH($B$2)=MONTH($H425),1,0)</f>
        <v>0</v>
      </c>
      <c r="M425" s="124">
        <f t="shared" ref="M425:M426" ca="1" si="1712">IF(AND(K425&lt;&gt;0,I425&lt;&gt;0),(IF(C425="B",1,-1))*(K425-J425)*I425-AK425*2,0)*$D425</f>
        <v>20129.999999999971</v>
      </c>
      <c r="N425" s="120">
        <f t="shared" ref="N425:N426" ca="1" si="1713">K425/$J425</f>
        <v>1.0269164426972601</v>
      </c>
      <c r="O425" s="164">
        <f t="shared" ref="O425:O426" ca="1" si="1714">J425*(1+$O$6*IF(C425="B",-1,1))</f>
        <v>1869.6750000000002</v>
      </c>
      <c r="P425" s="168">
        <f t="shared" ca="1" si="754"/>
        <v>747870</v>
      </c>
      <c r="Q425" s="168">
        <f t="shared" ref="Q425:Q426" ca="1" si="1715">(W425-J425)*I425*IF(C425="B",1,-1)*IF(K425=0,1,0)</f>
        <v>0</v>
      </c>
      <c r="R425" s="184">
        <f t="shared" ref="R425:R426" ca="1" si="1716">Z425*T425</f>
        <v>0</v>
      </c>
      <c r="S425" s="124">
        <f t="shared" ref="S425:S426" ca="1" si="1717">(1-$S$6)*J425</f>
        <v>249.28999999999996</v>
      </c>
      <c r="T425" s="120">
        <f ca="1">VLOOKUP(TRIM($F425),Reference!B:C,2,0)</f>
        <v>2495.85</v>
      </c>
      <c r="U425" s="181">
        <f t="shared" ref="U425:U426" ca="1" si="1718">AC425</f>
        <v>0</v>
      </c>
      <c r="V425" s="125" t="str">
        <f t="shared" ref="V425" ca="1" si="1719">TRIM(F425)&amp;TEXT(H425,"YY")&amp;UPPER(TEXT(H425,"MMM"))&amp;TRIM(G425)&amp;TRIM(E425)</f>
        <v>HINDUNILVR22AUGFUT</v>
      </c>
      <c r="W425" s="166">
        <f ca="1">VLOOKUP($V425,Reference!BA:BD,4,0)</f>
        <v>2510.85</v>
      </c>
      <c r="X425" s="168">
        <f t="shared" ref="X425:X426" ca="1" si="1720">IF(OR($AD425&lt;0,$K425&lt;&gt;0),0,IF($E425="FUT",W425,OptionPrice(LEFT($E425),$T425,$G425,$AD425,RISKFREE_RATE,$U425,NIFTY_DIVYLD))*IF(C425="B",1,-1)*IF(I425=0,0,1)*IF(K425=0,1,0)*I425)</f>
        <v>0</v>
      </c>
      <c r="Y425" s="168">
        <f t="shared" ref="Y425:Y426" ca="1" si="1721">IF(OR($AD425&lt;0,$K425&lt;&gt;0),0,IF($E425="FUT",1,OptionDelta(LEFT(E425),T425,G425,AD425,RISKFREE_RATE,U425,NIFTY_DIVYLD)))</f>
        <v>0</v>
      </c>
      <c r="Z425" s="168">
        <f t="shared" ref="Z425:Z426" ca="1" si="1722">Y425*IF(C425="B",1,-1)*IF(I425=0,0,1)*IF(K425=0,1,0)*I425</f>
        <v>0</v>
      </c>
      <c r="AA425" s="168">
        <f t="shared" ref="AA425:AA426" ca="1" si="1723">IF(OR($AD425&lt;0,$K425&lt;&gt;0),0,IF($E425="FUT",0,OptionTheta(LEFT(E425),T425,G425,AD425,RISKFREE_RATE,U425,NIFTY_DIVYLD))*IF(C425="B",1,-1)*IF(I425=0,0,1)*IF(K425=0,1,0)*I425)</f>
        <v>0</v>
      </c>
      <c r="AB425" s="168">
        <f t="shared" ref="AB425:AB426" ca="1" si="1724">IF(OR($AD425&lt;0,$K425&lt;&gt;0),0,IF($E425="FUT",0,OptionGamma(T425,G425,AD425,RISKFREE_RATE,U425,NIFTY_DIVYLD))*IF(C425="B",1,-1)*IF(I425=0,0,1)*IF(K425=0,1,0))</f>
        <v>0</v>
      </c>
      <c r="AC425" s="124">
        <f t="shared" ref="AC425:AC426" ca="1" si="1725">IF(OR($AD425&lt;0,$K425&lt;&gt;0),0,IF($E425="FUT",0,ImpliedVolatility(LEFT(E425),T425,G425,RISKFREE_RATE,AD425,NIFTY_DIVYLD,W425,$AC$6)))</f>
        <v>0</v>
      </c>
      <c r="AD425" s="120">
        <f t="shared" ref="AD425:AD426" ca="1" si="1726">(H425-TODAY())/365</f>
        <v>0.11232876712328767</v>
      </c>
      <c r="AE425" s="120">
        <f t="shared" ref="AE425:AE426" ca="1" si="1727">IF(I425&lt;&gt;0,20,0)</f>
        <v>20</v>
      </c>
      <c r="AF425" s="120"/>
      <c r="AG425" s="120"/>
      <c r="AH425" s="120">
        <f t="shared" ca="1" si="755"/>
        <v>0</v>
      </c>
      <c r="AI425" s="120"/>
      <c r="AJ425" s="120">
        <f t="shared" ca="1" si="756"/>
        <v>22.4361</v>
      </c>
      <c r="AK425" s="120"/>
      <c r="AL425" s="147"/>
      <c r="AM425" s="160"/>
      <c r="AN425" s="160"/>
      <c r="AO425" s="160"/>
      <c r="AP425" s="160"/>
      <c r="AQ425" s="160"/>
      <c r="AR425" s="160"/>
      <c r="AS425" s="160"/>
      <c r="AT425" s="160"/>
      <c r="AU425" s="160"/>
      <c r="AV425" s="160"/>
      <c r="AW425" s="160"/>
      <c r="AX425" s="160"/>
      <c r="AY425" s="160"/>
      <c r="AZ425" s="160"/>
      <c r="BA425" s="160"/>
      <c r="BB425" s="160"/>
      <c r="BC425" s="160"/>
      <c r="BD425" s="160"/>
      <c r="BE425" s="160"/>
      <c r="BF425" s="160"/>
      <c r="BG425" s="160"/>
      <c r="BS425" s="13">
        <v>2</v>
      </c>
      <c r="BT425" s="128">
        <v>44491</v>
      </c>
      <c r="BU425" s="121" t="s">
        <v>8</v>
      </c>
      <c r="BV425" s="120" t="s">
        <v>482</v>
      </c>
      <c r="BW425" s="121" t="s">
        <v>502</v>
      </c>
      <c r="BX425" s="120">
        <v>18400</v>
      </c>
      <c r="BY425" s="120">
        <v>41.7</v>
      </c>
      <c r="BZ425" s="120">
        <v>47.945</v>
      </c>
      <c r="CA425" s="124">
        <v>-3216.6708800000001</v>
      </c>
      <c r="CB425" s="120">
        <v>1.1497601918465228</v>
      </c>
      <c r="CC425" s="120">
        <v>500</v>
      </c>
      <c r="CD425" s="120">
        <v>50</v>
      </c>
      <c r="CE425" s="124">
        <v>20850</v>
      </c>
    </row>
    <row r="426" spans="1:83">
      <c r="A426" s="13">
        <f t="shared" ca="1" si="753"/>
        <v>419</v>
      </c>
      <c r="B426" s="128">
        <v>44754</v>
      </c>
      <c r="C426" s="121" t="s">
        <v>6</v>
      </c>
      <c r="D426" s="121">
        <v>1</v>
      </c>
      <c r="E426" s="120" t="s">
        <v>482</v>
      </c>
      <c r="F426" s="121" t="s">
        <v>104</v>
      </c>
      <c r="G426" s="120">
        <v>2460</v>
      </c>
      <c r="H426" s="122">
        <v>44770</v>
      </c>
      <c r="I426" s="120">
        <v>300</v>
      </c>
      <c r="J426" s="120">
        <v>42.45</v>
      </c>
      <c r="K426" s="120">
        <v>18</v>
      </c>
      <c r="L426" s="124">
        <f t="shared" ca="1" si="1711"/>
        <v>-7335.0000000000009</v>
      </c>
      <c r="M426" s="124">
        <f t="shared" ca="1" si="1712"/>
        <v>-7335.0000000000009</v>
      </c>
      <c r="N426" s="120">
        <f t="shared" ca="1" si="1713"/>
        <v>0.42402826855123671</v>
      </c>
      <c r="O426" s="164">
        <f t="shared" ca="1" si="1714"/>
        <v>31.837500000000002</v>
      </c>
      <c r="P426" s="168">
        <f t="shared" ca="1" si="754"/>
        <v>12735</v>
      </c>
      <c r="Q426" s="168">
        <f t="shared" ca="1" si="1715"/>
        <v>0</v>
      </c>
      <c r="R426" s="184">
        <f t="shared" ca="1" si="1716"/>
        <v>0</v>
      </c>
      <c r="S426" s="124">
        <f t="shared" ca="1" si="1717"/>
        <v>4.2449999999999992</v>
      </c>
      <c r="T426" s="120">
        <f ca="1">VLOOKUP(TRIM($F426),Reference!B:C,2,0)</f>
        <v>2495.85</v>
      </c>
      <c r="U426" s="181">
        <f t="shared" ca="1" si="1718"/>
        <v>0</v>
      </c>
      <c r="V426" s="125" t="str">
        <f t="shared" ref="V426:V431" ca="1" si="1728">TRIM(F426)&amp;TEXT(H426,"YY")&amp;UPPER(TEXT(H426,"MMM"))&amp;TRIM(G426)&amp;TRIM(E426)</f>
        <v>HINDUNILVR22JUL2460PE</v>
      </c>
      <c r="W426" s="166">
        <f ca="1">VLOOKUP($V426,Reference!BA:BD,4,0)</f>
        <v>32</v>
      </c>
      <c r="X426" s="168">
        <f t="shared" ca="1" si="1720"/>
        <v>0</v>
      </c>
      <c r="Y426" s="168">
        <f t="shared" ca="1" si="1721"/>
        <v>0</v>
      </c>
      <c r="Z426" s="168">
        <f t="shared" ca="1" si="1722"/>
        <v>0</v>
      </c>
      <c r="AA426" s="168">
        <f t="shared" ca="1" si="1723"/>
        <v>0</v>
      </c>
      <c r="AB426" s="168">
        <f t="shared" ca="1" si="1724"/>
        <v>0</v>
      </c>
      <c r="AC426" s="124">
        <f t="shared" ca="1" si="1725"/>
        <v>0</v>
      </c>
      <c r="AD426" s="120">
        <f t="shared" ca="1" si="1726"/>
        <v>3.5616438356164383E-2</v>
      </c>
      <c r="AE426" s="120">
        <f t="shared" ca="1" si="1727"/>
        <v>20</v>
      </c>
      <c r="AF426" s="120"/>
      <c r="AG426" s="120"/>
      <c r="AH426" s="120">
        <f t="shared" ca="1" si="755"/>
        <v>0</v>
      </c>
      <c r="AI426" s="120"/>
      <c r="AJ426" s="120">
        <f t="shared" ca="1" si="756"/>
        <v>0.38205</v>
      </c>
      <c r="AK426" s="120"/>
      <c r="AL426" s="147"/>
      <c r="AM426" s="160"/>
      <c r="AN426" s="160"/>
      <c r="AO426" s="160"/>
      <c r="AP426" s="160"/>
      <c r="AQ426" s="160"/>
      <c r="AR426" s="160"/>
      <c r="AS426" s="160"/>
      <c r="AT426" s="160"/>
      <c r="AU426" s="160"/>
      <c r="AV426" s="160"/>
      <c r="AW426" s="160"/>
      <c r="AX426" s="160"/>
      <c r="AY426" s="160"/>
      <c r="AZ426" s="160"/>
      <c r="BA426" s="160"/>
      <c r="BB426" s="160"/>
      <c r="BC426" s="160"/>
      <c r="BD426" s="160"/>
      <c r="BE426" s="160"/>
      <c r="BF426" s="160"/>
      <c r="BG426" s="160"/>
      <c r="BS426" s="13">
        <v>2</v>
      </c>
      <c r="BT426" s="128">
        <v>44491</v>
      </c>
      <c r="BU426" s="121" t="s">
        <v>8</v>
      </c>
      <c r="BV426" s="120" t="s">
        <v>482</v>
      </c>
      <c r="BW426" s="121" t="s">
        <v>502</v>
      </c>
      <c r="BX426" s="120">
        <v>18400</v>
      </c>
      <c r="BY426" s="120">
        <v>41.7</v>
      </c>
      <c r="BZ426" s="120">
        <v>47.945</v>
      </c>
      <c r="CA426" s="124">
        <v>-3216.6708800000001</v>
      </c>
      <c r="CB426" s="120">
        <v>1.1497601918465228</v>
      </c>
      <c r="CC426" s="120">
        <v>500</v>
      </c>
      <c r="CD426" s="120">
        <v>50</v>
      </c>
      <c r="CE426" s="124">
        <v>20850</v>
      </c>
    </row>
    <row r="427" spans="1:83">
      <c r="A427" s="13">
        <f t="shared" ca="1" si="753"/>
        <v>420</v>
      </c>
      <c r="B427" s="128">
        <v>44754</v>
      </c>
      <c r="C427" s="121" t="s">
        <v>6</v>
      </c>
      <c r="D427" s="121">
        <v>1</v>
      </c>
      <c r="E427" s="120" t="s">
        <v>482</v>
      </c>
      <c r="F427" s="121" t="s">
        <v>104</v>
      </c>
      <c r="G427" s="120">
        <v>2460</v>
      </c>
      <c r="H427" s="122">
        <v>44770</v>
      </c>
      <c r="I427" s="120">
        <v>300</v>
      </c>
      <c r="J427" s="120">
        <v>43</v>
      </c>
      <c r="K427" s="120">
        <v>18</v>
      </c>
      <c r="L427" s="124">
        <f t="shared" ref="L427" ca="1" si="1729">IF(AND(K427&lt;&gt;0,I427&lt;&gt;0),(IF(C427="B",1,-1))*(K427-J427)*I427-AK427*2,0)*$D427*IF(MONTH($B$2)=MONTH($H427),1,0)</f>
        <v>-7500</v>
      </c>
      <c r="M427" s="124">
        <f t="shared" ref="M427" ca="1" si="1730">IF(AND(K427&lt;&gt;0,I427&lt;&gt;0),(IF(C427="B",1,-1))*(K427-J427)*I427-AK427*2,0)*$D427</f>
        <v>-7500</v>
      </c>
      <c r="N427" s="120">
        <f t="shared" ref="N427" ca="1" si="1731">K427/$J427</f>
        <v>0.41860465116279072</v>
      </c>
      <c r="O427" s="164">
        <f t="shared" ref="O427" ca="1" si="1732">J427*(1+$O$6*IF(C427="B",-1,1))</f>
        <v>32.25</v>
      </c>
      <c r="P427" s="168">
        <f t="shared" ca="1" si="754"/>
        <v>12900</v>
      </c>
      <c r="Q427" s="168">
        <f t="shared" ref="Q427" ca="1" si="1733">(W427-J427)*I427*IF(C427="B",1,-1)*IF(K427=0,1,0)</f>
        <v>0</v>
      </c>
      <c r="R427" s="184">
        <f t="shared" ref="R427" ca="1" si="1734">Z427*T427</f>
        <v>0</v>
      </c>
      <c r="S427" s="124">
        <f t="shared" ref="S427" ca="1" si="1735">(1-$S$6)*J427</f>
        <v>4.2999999999999989</v>
      </c>
      <c r="T427" s="120">
        <f ca="1">VLOOKUP(TRIM($F427),Reference!B:C,2,0)</f>
        <v>2495.85</v>
      </c>
      <c r="U427" s="181">
        <f t="shared" ref="U427" ca="1" si="1736">AC427</f>
        <v>0</v>
      </c>
      <c r="V427" s="125" t="str">
        <f t="shared" ca="1" si="1728"/>
        <v>HINDUNILVR22JUL2460PE</v>
      </c>
      <c r="W427" s="166">
        <f ca="1">VLOOKUP($V427,Reference!BA:BD,4,0)</f>
        <v>32</v>
      </c>
      <c r="X427" s="168">
        <f t="shared" ref="X427" ca="1" si="1737">IF(OR($AD427&lt;0,$K427&lt;&gt;0),0,IF($E427="FUT",W427,OptionPrice(LEFT($E427),$T427,$G427,$AD427,RISKFREE_RATE,$U427,NIFTY_DIVYLD))*IF(C427="B",1,-1)*IF(I427=0,0,1)*IF(K427=0,1,0)*I427)</f>
        <v>0</v>
      </c>
      <c r="Y427" s="168">
        <f t="shared" ref="Y427" ca="1" si="1738">IF(OR($AD427&lt;0,$K427&lt;&gt;0),0,IF($E427="FUT",1,OptionDelta(LEFT(E427),T427,G427,AD427,RISKFREE_RATE,U427,NIFTY_DIVYLD)))</f>
        <v>0</v>
      </c>
      <c r="Z427" s="168">
        <f t="shared" ref="Z427" ca="1" si="1739">Y427*IF(C427="B",1,-1)*IF(I427=0,0,1)*IF(K427=0,1,0)*I427</f>
        <v>0</v>
      </c>
      <c r="AA427" s="168">
        <f t="shared" ref="AA427" ca="1" si="1740">IF(OR($AD427&lt;0,$K427&lt;&gt;0),0,IF($E427="FUT",0,OptionTheta(LEFT(E427),T427,G427,AD427,RISKFREE_RATE,U427,NIFTY_DIVYLD))*IF(C427="B",1,-1)*IF(I427=0,0,1)*IF(K427=0,1,0)*I427)</f>
        <v>0</v>
      </c>
      <c r="AB427" s="168">
        <f t="shared" ref="AB427" ca="1" si="1741">IF(OR($AD427&lt;0,$K427&lt;&gt;0),0,IF($E427="FUT",0,OptionGamma(T427,G427,AD427,RISKFREE_RATE,U427,NIFTY_DIVYLD))*IF(C427="B",1,-1)*IF(I427=0,0,1)*IF(K427=0,1,0))</f>
        <v>0</v>
      </c>
      <c r="AC427" s="124">
        <f t="shared" ref="AC427" ca="1" si="1742">IF(OR($AD427&lt;0,$K427&lt;&gt;0),0,IF($E427="FUT",0,ImpliedVolatility(LEFT(E427),T427,G427,RISKFREE_RATE,AD427,NIFTY_DIVYLD,W427,$AC$6)))</f>
        <v>0</v>
      </c>
      <c r="AD427" s="120">
        <f t="shared" ref="AD427" ca="1" si="1743">(H427-TODAY())/365</f>
        <v>3.5616438356164383E-2</v>
      </c>
      <c r="AE427" s="120">
        <f t="shared" ref="AE427" ca="1" si="1744">IF(I427&lt;&gt;0,20,0)</f>
        <v>20</v>
      </c>
      <c r="AF427" s="120"/>
      <c r="AG427" s="120"/>
      <c r="AH427" s="120">
        <f t="shared" ca="1" si="755"/>
        <v>0</v>
      </c>
      <c r="AI427" s="120"/>
      <c r="AJ427" s="120">
        <f t="shared" ca="1" si="756"/>
        <v>0.38700000000000001</v>
      </c>
      <c r="AK427" s="120"/>
      <c r="AL427" s="147"/>
      <c r="AM427" s="160"/>
      <c r="AN427" s="160"/>
      <c r="AO427" s="160"/>
      <c r="AP427" s="160"/>
      <c r="AQ427" s="160"/>
      <c r="AR427" s="160"/>
      <c r="AS427" s="160"/>
      <c r="AT427" s="160"/>
      <c r="AU427" s="160"/>
      <c r="AV427" s="160"/>
      <c r="AW427" s="160"/>
      <c r="AX427" s="160"/>
      <c r="AY427" s="160"/>
      <c r="AZ427" s="160"/>
      <c r="BA427" s="160"/>
      <c r="BB427" s="160"/>
      <c r="BC427" s="160"/>
      <c r="BD427" s="160"/>
      <c r="BE427" s="160"/>
      <c r="BF427" s="160"/>
      <c r="BG427" s="160"/>
      <c r="BS427" s="13">
        <v>2</v>
      </c>
      <c r="BT427" s="128">
        <v>44491</v>
      </c>
      <c r="BU427" s="121" t="s">
        <v>8</v>
      </c>
      <c r="BV427" s="120" t="s">
        <v>482</v>
      </c>
      <c r="BW427" s="121" t="s">
        <v>502</v>
      </c>
      <c r="BX427" s="120">
        <v>18400</v>
      </c>
      <c r="BY427" s="120">
        <v>41.7</v>
      </c>
      <c r="BZ427" s="120">
        <v>47.945</v>
      </c>
      <c r="CA427" s="124">
        <v>-3216.6708800000001</v>
      </c>
      <c r="CB427" s="120">
        <v>1.1497601918465228</v>
      </c>
      <c r="CC427" s="120">
        <v>500</v>
      </c>
      <c r="CD427" s="120">
        <v>50</v>
      </c>
      <c r="CE427" s="124">
        <v>20850</v>
      </c>
    </row>
    <row r="428" spans="1:83">
      <c r="A428" s="13">
        <f t="shared" ca="1" si="753"/>
        <v>421</v>
      </c>
      <c r="B428" s="128">
        <v>44755</v>
      </c>
      <c r="C428" s="121" t="s">
        <v>8</v>
      </c>
      <c r="D428" s="121">
        <v>1</v>
      </c>
      <c r="E428" s="120" t="s">
        <v>481</v>
      </c>
      <c r="F428" s="121" t="s">
        <v>104</v>
      </c>
      <c r="G428" s="120">
        <v>2540</v>
      </c>
      <c r="H428" s="122">
        <v>44770</v>
      </c>
      <c r="I428" s="120">
        <v>300</v>
      </c>
      <c r="J428" s="120">
        <v>33.700000000000003</v>
      </c>
      <c r="K428" s="120">
        <v>0</v>
      </c>
      <c r="L428" s="124">
        <f t="shared" ref="L428:L429" ca="1" si="1745">IF(AND(K428&lt;&gt;0,I428&lt;&gt;0),(IF(C428="B",1,-1))*(K428-J428)*I428-AK428*2,0)*$D428*IF(MONTH($B$2)=MONTH($H428),1,0)</f>
        <v>0</v>
      </c>
      <c r="M428" s="124">
        <f t="shared" ref="M428:M429" ca="1" si="1746">IF(AND(K428&lt;&gt;0,I428&lt;&gt;0),(IF(C428="B",1,-1))*(K428-J428)*I428-AK428*2,0)*$D428</f>
        <v>0</v>
      </c>
      <c r="N428" s="120">
        <f t="shared" ref="N428:N429" ca="1" si="1747">K428/$J428</f>
        <v>0</v>
      </c>
      <c r="O428" s="164">
        <f t="shared" ref="O428:O429" ca="1" si="1748">J428*(1+$O$6*IF(C428="B",-1,1))</f>
        <v>42.125</v>
      </c>
      <c r="P428" s="168">
        <f t="shared" ca="1" si="754"/>
        <v>10110</v>
      </c>
      <c r="Q428" s="168">
        <f t="shared" ref="Q428:Q429" ca="1" si="1749">(W428-J428)*I428*IF(C428="B",1,-1)*IF(K428=0,1,0)</f>
        <v>-164.99999999999915</v>
      </c>
      <c r="R428" s="184">
        <f t="shared" ref="R428:R429" ca="1" si="1750">Z428*T428</f>
        <v>-290273.04151433695</v>
      </c>
      <c r="S428" s="124">
        <f t="shared" ref="S428:S429" ca="1" si="1751">(1-$S$6)*J428</f>
        <v>3.3699999999999997</v>
      </c>
      <c r="T428" s="120">
        <f ca="1">VLOOKUP(TRIM($F428),Reference!B:C,2,0)</f>
        <v>2495.85</v>
      </c>
      <c r="U428" s="181">
        <f t="shared" ref="U428:U429" ca="1" si="1752">AC428</f>
        <v>0.27497517379441921</v>
      </c>
      <c r="V428" s="125" t="str">
        <f t="shared" ca="1" si="1728"/>
        <v>HINDUNILVR22JUL2540CE</v>
      </c>
      <c r="W428" s="166">
        <f ca="1">VLOOKUP($V428,Reference!BA:BD,4,0)</f>
        <v>34.25</v>
      </c>
      <c r="X428" s="168">
        <f t="shared" ref="X428:X429" ca="1" si="1753">IF(OR($AD428&lt;0,$K428&lt;&gt;0),0,IF($E428="FUT",W428,OptionPrice(LEFT($E428),$T428,$G428,$AD428,RISKFREE_RATE,$U428,NIFTY_DIVYLD))*IF(C428="B",1,-1)*IF(I428=0,0,1)*IF(K428=0,1,0)*I428)</f>
        <v>-10275.000000000069</v>
      </c>
      <c r="Y428" s="168">
        <f t="shared" ref="Y428:Y429" ca="1" si="1754">IF(OR($AD428&lt;0,$K428&lt;&gt;0),0,IF($E428="FUT",1,OptionDelta(LEFT(E428),T428,G428,AD428,RISKFREE_RATE,U428,NIFTY_DIVYLD)))</f>
        <v>0.38767426129286209</v>
      </c>
      <c r="Z428" s="168">
        <f t="shared" ref="Z428:Z429" ca="1" si="1755">Y428*IF(C428="B",1,-1)*IF(I428=0,0,1)*IF(K428=0,1,0)*I428</f>
        <v>-116.30227838785862</v>
      </c>
      <c r="AA428" s="168">
        <f t="shared" ref="AA428:AA429" ca="1" si="1756">IF(OR($AD428&lt;0,$K428&lt;&gt;0),0,IF($E428="FUT",0,OptionTheta(LEFT(E428),T428,G428,AD428,RISKFREE_RATE,U428,NIFTY_DIVYLD))*IF(C428="B",1,-1)*IF(I428=0,0,1)*IF(K428=0,1,0)*I428)</f>
        <v>534.07325566232635</v>
      </c>
      <c r="AB428" s="168">
        <f t="shared" ref="AB428:AB429" ca="1" si="1757">IF(OR($AD428&lt;0,$K428&lt;&gt;0),0,IF($E428="FUT",0,OptionGamma(T428,G428,AD428,RISKFREE_RATE,U428,NIFTY_DIVYLD))*IF(C428="B",1,-1)*IF(I428=0,0,1)*IF(K428=0,1,0))</f>
        <v>0</v>
      </c>
      <c r="AC428" s="124">
        <f t="shared" ref="AC428:AC429" ca="1" si="1758">IF(OR($AD428&lt;0,$K428&lt;&gt;0),0,IF($E428="FUT",0,ImpliedVolatility(LEFT(E428),T428,G428,RISKFREE_RATE,AD428,NIFTY_DIVYLD,W428,$AC$6)))</f>
        <v>0.27497517379441921</v>
      </c>
      <c r="AD428" s="120">
        <f t="shared" ref="AD428:AD429" ca="1" si="1759">(H428-TODAY())/365</f>
        <v>3.5616438356164383E-2</v>
      </c>
      <c r="AE428" s="120">
        <f t="shared" ref="AE428:AE429" ca="1" si="1760">IF(I428&lt;&gt;0,20,0)</f>
        <v>20</v>
      </c>
      <c r="AF428" s="120"/>
      <c r="AG428" s="120"/>
      <c r="AH428" s="120">
        <f t="shared" ca="1" si="755"/>
        <v>5.0549999999999997</v>
      </c>
      <c r="AI428" s="120"/>
      <c r="AJ428" s="120">
        <f t="shared" ca="1" si="756"/>
        <v>0</v>
      </c>
      <c r="AK428" s="120"/>
      <c r="AL428" s="147"/>
      <c r="AM428" s="160"/>
      <c r="AN428" s="160"/>
      <c r="AO428" s="160"/>
      <c r="AP428" s="160"/>
      <c r="AQ428" s="160"/>
      <c r="AR428" s="160"/>
      <c r="AS428" s="160"/>
      <c r="AT428" s="160"/>
      <c r="AU428" s="160"/>
      <c r="AV428" s="160"/>
      <c r="AW428" s="160"/>
      <c r="AX428" s="160"/>
      <c r="AY428" s="160"/>
      <c r="AZ428" s="160"/>
      <c r="BA428" s="160"/>
      <c r="BB428" s="160"/>
      <c r="BC428" s="160"/>
      <c r="BD428" s="160"/>
      <c r="BE428" s="160"/>
      <c r="BF428" s="160"/>
      <c r="BG428" s="160"/>
      <c r="BS428" s="13">
        <v>2</v>
      </c>
      <c r="BT428" s="128">
        <v>44491</v>
      </c>
      <c r="BU428" s="121" t="s">
        <v>8</v>
      </c>
      <c r="BV428" s="120" t="s">
        <v>482</v>
      </c>
      <c r="BW428" s="121" t="s">
        <v>502</v>
      </c>
      <c r="BX428" s="120">
        <v>18400</v>
      </c>
      <c r="BY428" s="120">
        <v>41.7</v>
      </c>
      <c r="BZ428" s="120">
        <v>47.945</v>
      </c>
      <c r="CA428" s="124">
        <v>-3216.6708800000001</v>
      </c>
      <c r="CB428" s="120">
        <v>1.1497601918465228</v>
      </c>
      <c r="CC428" s="120">
        <v>500</v>
      </c>
      <c r="CD428" s="120">
        <v>50</v>
      </c>
      <c r="CE428" s="124">
        <v>20850</v>
      </c>
    </row>
    <row r="429" spans="1:83" hidden="1">
      <c r="A429" s="13">
        <f t="shared" ca="1" si="753"/>
        <v>422</v>
      </c>
      <c r="B429" s="128">
        <v>44756</v>
      </c>
      <c r="C429" s="121" t="s">
        <v>6</v>
      </c>
      <c r="D429" s="121">
        <v>1</v>
      </c>
      <c r="E429" s="120" t="s">
        <v>482</v>
      </c>
      <c r="F429" s="121" t="s">
        <v>502</v>
      </c>
      <c r="G429" s="120">
        <v>16000</v>
      </c>
      <c r="H429" s="122">
        <v>44770</v>
      </c>
      <c r="I429" s="120">
        <v>50</v>
      </c>
      <c r="J429" s="120">
        <v>218.35</v>
      </c>
      <c r="K429" s="120">
        <v>0</v>
      </c>
      <c r="L429" s="124">
        <f t="shared" ca="1" si="1745"/>
        <v>0</v>
      </c>
      <c r="M429" s="124">
        <f t="shared" ca="1" si="1746"/>
        <v>0</v>
      </c>
      <c r="N429" s="120">
        <f t="shared" ca="1" si="1747"/>
        <v>0</v>
      </c>
      <c r="O429" s="164">
        <f t="shared" ca="1" si="1748"/>
        <v>163.76249999999999</v>
      </c>
      <c r="P429" s="168">
        <f t="shared" ca="1" si="754"/>
        <v>10917.5</v>
      </c>
      <c r="Q429" s="168">
        <f t="shared" ca="1" si="1749"/>
        <v>1282.5000000000002</v>
      </c>
      <c r="R429" s="184">
        <f t="shared" ca="1" si="1750"/>
        <v>-415136.70580968872</v>
      </c>
      <c r="S429" s="124">
        <f t="shared" ca="1" si="1751"/>
        <v>21.834999999999994</v>
      </c>
      <c r="T429" s="120">
        <f ca="1">VLOOKUP(TRIM($F429),Reference!B:C,2,0)</f>
        <v>15938.65</v>
      </c>
      <c r="U429" s="181">
        <f t="shared" ca="1" si="1752"/>
        <v>0.18635534501235387</v>
      </c>
      <c r="V429" s="125" t="str">
        <f t="shared" ca="1" si="1728"/>
        <v>NIFTY22JUL16000PE</v>
      </c>
      <c r="W429" s="166">
        <f ca="1">VLOOKUP($V429,Reference!BA:BD,4,0)</f>
        <v>244</v>
      </c>
      <c r="X429" s="168">
        <f t="shared" ca="1" si="1753"/>
        <v>12200</v>
      </c>
      <c r="Y429" s="168">
        <f t="shared" ca="1" si="1754"/>
        <v>-0.5209182782854116</v>
      </c>
      <c r="Z429" s="168">
        <f t="shared" ca="1" si="1755"/>
        <v>-26.045913914270578</v>
      </c>
      <c r="AA429" s="168">
        <f t="shared" ca="1" si="1756"/>
        <v>-487.98140556487226</v>
      </c>
      <c r="AB429" s="168">
        <f t="shared" ca="1" si="1757"/>
        <v>0</v>
      </c>
      <c r="AC429" s="124">
        <f t="shared" ca="1" si="1758"/>
        <v>0.18635534501235387</v>
      </c>
      <c r="AD429" s="120">
        <f t="shared" ca="1" si="1759"/>
        <v>3.5616438356164383E-2</v>
      </c>
      <c r="AE429" s="120">
        <f t="shared" ca="1" si="1760"/>
        <v>20</v>
      </c>
      <c r="AF429" s="120"/>
      <c r="AG429" s="120"/>
      <c r="AH429" s="120">
        <f t="shared" ca="1" si="755"/>
        <v>0</v>
      </c>
      <c r="AI429" s="120"/>
      <c r="AJ429" s="120">
        <f t="shared" ca="1" si="756"/>
        <v>0.32752500000000001</v>
      </c>
      <c r="AK429" s="120"/>
      <c r="AL429" s="147"/>
      <c r="AM429" s="160"/>
      <c r="AN429" s="160"/>
      <c r="AO429" s="160"/>
      <c r="AP429" s="160"/>
      <c r="AQ429" s="160"/>
      <c r="AR429" s="160"/>
      <c r="AS429" s="160"/>
      <c r="AT429" s="160"/>
      <c r="AU429" s="160"/>
      <c r="AV429" s="160"/>
      <c r="AW429" s="160"/>
      <c r="AX429" s="160"/>
      <c r="AY429" s="160"/>
      <c r="AZ429" s="160"/>
      <c r="BA429" s="160"/>
      <c r="BB429" s="160"/>
      <c r="BC429" s="160"/>
      <c r="BD429" s="160"/>
      <c r="BE429" s="160"/>
      <c r="BF429" s="160"/>
      <c r="BG429" s="160"/>
      <c r="BS429" s="13">
        <v>2</v>
      </c>
      <c r="BT429" s="128">
        <v>44491</v>
      </c>
      <c r="BU429" s="121" t="s">
        <v>8</v>
      </c>
      <c r="BV429" s="120" t="s">
        <v>482</v>
      </c>
      <c r="BW429" s="121" t="s">
        <v>502</v>
      </c>
      <c r="BX429" s="120">
        <v>18400</v>
      </c>
      <c r="BY429" s="120">
        <v>41.7</v>
      </c>
      <c r="BZ429" s="120">
        <v>47.945</v>
      </c>
      <c r="CA429" s="124">
        <v>-3216.6708800000001</v>
      </c>
      <c r="CB429" s="120">
        <v>1.1497601918465228</v>
      </c>
      <c r="CC429" s="120">
        <v>500</v>
      </c>
      <c r="CD429" s="120">
        <v>50</v>
      </c>
      <c r="CE429" s="124">
        <v>20850</v>
      </c>
    </row>
    <row r="430" spans="1:83" hidden="1">
      <c r="A430" s="13">
        <f t="shared" ca="1" si="753"/>
        <v>423</v>
      </c>
      <c r="B430" s="128">
        <v>44756</v>
      </c>
      <c r="C430" s="121" t="s">
        <v>8</v>
      </c>
      <c r="D430" s="121">
        <v>1</v>
      </c>
      <c r="E430" s="120" t="s">
        <v>482</v>
      </c>
      <c r="F430" s="121" t="s">
        <v>502</v>
      </c>
      <c r="G430" s="120">
        <v>15400</v>
      </c>
      <c r="H430" s="122">
        <v>44770</v>
      </c>
      <c r="I430" s="120">
        <v>50</v>
      </c>
      <c r="J430" s="120">
        <v>56.05</v>
      </c>
      <c r="K430" s="120">
        <v>0</v>
      </c>
      <c r="L430" s="124">
        <f t="shared" ref="L430:L434" ca="1" si="1761">IF(AND(K430&lt;&gt;0,I430&lt;&gt;0),(IF(C430="B",1,-1))*(K430-J430)*I430-AK430*2,0)*$D430*IF(MONTH($B$2)=MONTH($H430),1,0)</f>
        <v>0</v>
      </c>
      <c r="M430" s="124">
        <f t="shared" ref="M430:M434" ca="1" si="1762">IF(AND(K430&lt;&gt;0,I430&lt;&gt;0),(IF(C430="B",1,-1))*(K430-J430)*I430-AK430*2,0)*$D430</f>
        <v>0</v>
      </c>
      <c r="N430" s="120">
        <f t="shared" ref="N430:N434" ca="1" si="1763">K430/$J430</f>
        <v>0</v>
      </c>
      <c r="O430" s="164">
        <f t="shared" ref="O430:O434" ca="1" si="1764">J430*(1+$O$6*IF(C430="B",-1,1))</f>
        <v>70.0625</v>
      </c>
      <c r="P430" s="168">
        <f t="shared" ca="1" si="754"/>
        <v>2802.5</v>
      </c>
      <c r="Q430" s="168">
        <f t="shared" ref="Q430:Q434" ca="1" si="1765">(W430-J430)*I430*IF(C430="B",1,-1)*IF(K430=0,1,0)</f>
        <v>-197.50000000000014</v>
      </c>
      <c r="R430" s="184">
        <f t="shared" ref="R430:R434" ca="1" si="1766">Z430*T430</f>
        <v>139764.51170477681</v>
      </c>
      <c r="S430" s="124">
        <f t="shared" ref="S430:S434" ca="1" si="1767">(1-$S$6)*J430</f>
        <v>5.6049999999999986</v>
      </c>
      <c r="T430" s="120">
        <f ca="1">VLOOKUP(TRIM($F430),Reference!B:C,2,0)</f>
        <v>15938.65</v>
      </c>
      <c r="U430" s="181">
        <f t="shared" ref="U430:U434" ca="1" si="1768">AC430</f>
        <v>0.20740165184420795</v>
      </c>
      <c r="V430" s="125" t="str">
        <f t="shared" ca="1" si="1728"/>
        <v>NIFTY22JUL15400PE</v>
      </c>
      <c r="W430" s="166">
        <f ca="1">VLOOKUP($V430,Reference!BA:BD,4,0)</f>
        <v>60</v>
      </c>
      <c r="X430" s="168">
        <f t="shared" ref="X430:X434" ca="1" si="1769">IF(OR($AD430&lt;0,$K430&lt;&gt;0),0,IF($E430="FUT",W430,OptionPrice(LEFT($E430),$T430,$G430,$AD430,RISKFREE_RATE,$U430,NIFTY_DIVYLD))*IF(C430="B",1,-1)*IF(I430=0,0,1)*IF(K430=0,1,0)*I430)</f>
        <v>-3000</v>
      </c>
      <c r="Y430" s="168">
        <f t="shared" ref="Y430:Y434" ca="1" si="1770">IF(OR($AD430&lt;0,$K430&lt;&gt;0),0,IF($E430="FUT",1,OptionDelta(LEFT(E430),T430,G430,AD430,RISKFREE_RATE,U430,NIFTY_DIVYLD)))</f>
        <v>-0.17537810505253182</v>
      </c>
      <c r="Z430" s="168">
        <f t="shared" ref="Z430:Z434" ca="1" si="1771">Y430*IF(C430="B",1,-1)*IF(I430=0,0,1)*IF(K430=0,1,0)*I430</f>
        <v>8.7689052526265918</v>
      </c>
      <c r="AA430" s="168">
        <f t="shared" ref="AA430:AA434" ca="1" si="1772">IF(OR($AD430&lt;0,$K430&lt;&gt;0),0,IF($E430="FUT",0,OptionTheta(LEFT(E430),T430,G430,AD430,RISKFREE_RATE,U430,NIFTY_DIVYLD))*IF(C430="B",1,-1)*IF(I430=0,0,1)*IF(K430=0,1,0)*I430)</f>
        <v>329.23494379690067</v>
      </c>
      <c r="AB430" s="168">
        <f t="shared" ref="AB430:AB434" ca="1" si="1773">IF(OR($AD430&lt;0,$K430&lt;&gt;0),0,IF($E430="FUT",0,OptionGamma(T430,G430,AD430,RISKFREE_RATE,U430,NIFTY_DIVYLD))*IF(C430="B",1,-1)*IF(I430=0,0,1)*IF(K430=0,1,0))</f>
        <v>0</v>
      </c>
      <c r="AC430" s="124">
        <f t="shared" ref="AC430:AC434" ca="1" si="1774">IF(OR($AD430&lt;0,$K430&lt;&gt;0),0,IF($E430="FUT",0,ImpliedVolatility(LEFT(E430),T430,G430,RISKFREE_RATE,AD430,NIFTY_DIVYLD,W430,$AC$6)))</f>
        <v>0.20740165184420795</v>
      </c>
      <c r="AD430" s="120">
        <f t="shared" ref="AD430:AD434" ca="1" si="1775">(H430-TODAY())/365</f>
        <v>3.5616438356164383E-2</v>
      </c>
      <c r="AE430" s="120">
        <f t="shared" ref="AE430:AE434" ca="1" si="1776">IF(I430&lt;&gt;0,20,0)</f>
        <v>20</v>
      </c>
      <c r="AF430" s="120"/>
      <c r="AG430" s="120"/>
      <c r="AH430" s="120">
        <f t="shared" ca="1" si="755"/>
        <v>1.4012500000000001</v>
      </c>
      <c r="AI430" s="120"/>
      <c r="AJ430" s="120">
        <f t="shared" ca="1" si="756"/>
        <v>0</v>
      </c>
      <c r="AK430" s="120"/>
      <c r="AL430" s="147"/>
      <c r="AM430" s="160"/>
      <c r="AN430" s="160"/>
      <c r="AO430" s="160"/>
      <c r="AP430" s="160"/>
      <c r="AQ430" s="160"/>
      <c r="AR430" s="160"/>
      <c r="AS430" s="160"/>
      <c r="AT430" s="160"/>
      <c r="AU430" s="160"/>
      <c r="AV430" s="160"/>
      <c r="AW430" s="160"/>
      <c r="AX430" s="160"/>
      <c r="AY430" s="160"/>
      <c r="AZ430" s="160"/>
      <c r="BA430" s="160"/>
      <c r="BB430" s="160"/>
      <c r="BC430" s="160"/>
      <c r="BD430" s="160"/>
      <c r="BE430" s="160"/>
      <c r="BF430" s="160"/>
      <c r="BG430" s="160"/>
      <c r="BS430" s="13">
        <v>2</v>
      </c>
      <c r="BT430" s="128">
        <v>44491</v>
      </c>
      <c r="BU430" s="121" t="s">
        <v>8</v>
      </c>
      <c r="BV430" s="120" t="s">
        <v>482</v>
      </c>
      <c r="BW430" s="121" t="s">
        <v>502</v>
      </c>
      <c r="BX430" s="120">
        <v>18400</v>
      </c>
      <c r="BY430" s="120">
        <v>41.7</v>
      </c>
      <c r="BZ430" s="120">
        <v>47.945</v>
      </c>
      <c r="CA430" s="124">
        <v>-3216.6708800000001</v>
      </c>
      <c r="CB430" s="120">
        <v>1.1497601918465228</v>
      </c>
      <c r="CC430" s="120">
        <v>500</v>
      </c>
      <c r="CD430" s="120">
        <v>50</v>
      </c>
      <c r="CE430" s="124">
        <v>20850</v>
      </c>
    </row>
    <row r="431" spans="1:83" hidden="1">
      <c r="A431" s="13">
        <f t="shared" ca="1" si="753"/>
        <v>424</v>
      </c>
      <c r="B431" s="128">
        <v>44756</v>
      </c>
      <c r="C431" s="121" t="s">
        <v>8</v>
      </c>
      <c r="D431" s="121">
        <v>1</v>
      </c>
      <c r="E431" s="120" t="s">
        <v>482</v>
      </c>
      <c r="F431" s="121" t="s">
        <v>502</v>
      </c>
      <c r="G431" s="120">
        <v>15300</v>
      </c>
      <c r="H431" s="122">
        <v>44770</v>
      </c>
      <c r="I431" s="120">
        <v>50</v>
      </c>
      <c r="J431" s="120">
        <v>44.25</v>
      </c>
      <c r="K431" s="120">
        <v>0</v>
      </c>
      <c r="L431" s="124">
        <f t="shared" ca="1" si="1761"/>
        <v>0</v>
      </c>
      <c r="M431" s="124">
        <f t="shared" ca="1" si="1762"/>
        <v>0</v>
      </c>
      <c r="N431" s="120">
        <f t="shared" ca="1" si="1763"/>
        <v>0</v>
      </c>
      <c r="O431" s="164">
        <f t="shared" ca="1" si="1764"/>
        <v>55.3125</v>
      </c>
      <c r="P431" s="168">
        <f t="shared" ca="1" si="754"/>
        <v>2212.5</v>
      </c>
      <c r="Q431" s="168">
        <f t="shared" ca="1" si="1765"/>
        <v>-87.5</v>
      </c>
      <c r="R431" s="184">
        <f t="shared" ca="1" si="1766"/>
        <v>111419.69352051447</v>
      </c>
      <c r="S431" s="124">
        <f t="shared" ca="1" si="1767"/>
        <v>4.4249999999999989</v>
      </c>
      <c r="T431" s="120">
        <f ca="1">VLOOKUP(TRIM($F431),Reference!B:C,2,0)</f>
        <v>15938.65</v>
      </c>
      <c r="U431" s="181">
        <f t="shared" ca="1" si="1768"/>
        <v>0.21106364655294704</v>
      </c>
      <c r="V431" s="125" t="str">
        <f t="shared" ca="1" si="1728"/>
        <v>NIFTY22JUL15300PE</v>
      </c>
      <c r="W431" s="166">
        <f ca="1">VLOOKUP($V431,Reference!BA:BD,4,0)</f>
        <v>46</v>
      </c>
      <c r="X431" s="168">
        <f t="shared" ca="1" si="1769"/>
        <v>-2300</v>
      </c>
      <c r="Y431" s="168">
        <f t="shared" ca="1" si="1770"/>
        <v>-0.13981070356713332</v>
      </c>
      <c r="Z431" s="168">
        <f t="shared" ca="1" si="1771"/>
        <v>6.9905351783566658</v>
      </c>
      <c r="AA431" s="168">
        <f t="shared" ca="1" si="1772"/>
        <v>287.07026794554434</v>
      </c>
      <c r="AB431" s="168">
        <f t="shared" ca="1" si="1773"/>
        <v>0</v>
      </c>
      <c r="AC431" s="124">
        <f t="shared" ca="1" si="1774"/>
        <v>0.21106364655294704</v>
      </c>
      <c r="AD431" s="120">
        <f t="shared" ca="1" si="1775"/>
        <v>3.5616438356164383E-2</v>
      </c>
      <c r="AE431" s="120">
        <f t="shared" ca="1" si="1776"/>
        <v>20</v>
      </c>
      <c r="AF431" s="120"/>
      <c r="AG431" s="120"/>
      <c r="AH431" s="120">
        <f t="shared" ca="1" si="755"/>
        <v>1.10625</v>
      </c>
      <c r="AI431" s="120"/>
      <c r="AJ431" s="120">
        <f t="shared" ca="1" si="756"/>
        <v>0</v>
      </c>
      <c r="AK431" s="120"/>
      <c r="AL431" s="147"/>
      <c r="AM431" s="160"/>
      <c r="AN431" s="160"/>
      <c r="AO431" s="160"/>
      <c r="AP431" s="160"/>
      <c r="AQ431" s="160"/>
      <c r="AR431" s="160"/>
      <c r="AS431" s="160"/>
      <c r="AT431" s="160"/>
      <c r="AU431" s="160"/>
      <c r="AV431" s="160"/>
      <c r="AW431" s="160"/>
      <c r="AX431" s="160"/>
      <c r="AY431" s="160"/>
      <c r="AZ431" s="160"/>
      <c r="BA431" s="160"/>
      <c r="BB431" s="160"/>
      <c r="BC431" s="160"/>
      <c r="BD431" s="160"/>
      <c r="BE431" s="160"/>
      <c r="BF431" s="160"/>
      <c r="BG431" s="160"/>
      <c r="BS431" s="13">
        <v>2</v>
      </c>
      <c r="BT431" s="128">
        <v>44491</v>
      </c>
      <c r="BU431" s="121" t="s">
        <v>8</v>
      </c>
      <c r="BV431" s="120" t="s">
        <v>482</v>
      </c>
      <c r="BW431" s="121" t="s">
        <v>502</v>
      </c>
      <c r="BX431" s="120">
        <v>18400</v>
      </c>
      <c r="BY431" s="120">
        <v>41.7</v>
      </c>
      <c r="BZ431" s="120">
        <v>47.945</v>
      </c>
      <c r="CA431" s="124">
        <v>-3216.6708800000001</v>
      </c>
      <c r="CB431" s="120">
        <v>1.1497601918465228</v>
      </c>
      <c r="CC431" s="120">
        <v>500</v>
      </c>
      <c r="CD431" s="120">
        <v>50</v>
      </c>
      <c r="CE431" s="124">
        <v>20850</v>
      </c>
    </row>
    <row r="432" spans="1:83">
      <c r="A432" s="13">
        <f t="shared" ca="1" si="753"/>
        <v>425</v>
      </c>
      <c r="B432" s="128">
        <v>44757</v>
      </c>
      <c r="C432" s="121" t="s">
        <v>6</v>
      </c>
      <c r="D432" s="121">
        <v>1</v>
      </c>
      <c r="E432" s="120" t="s">
        <v>482</v>
      </c>
      <c r="F432" s="121" t="s">
        <v>104</v>
      </c>
      <c r="G432" s="120">
        <v>2500</v>
      </c>
      <c r="H432" s="122">
        <v>44770</v>
      </c>
      <c r="I432" s="120">
        <v>300</v>
      </c>
      <c r="J432" s="120">
        <v>29.05</v>
      </c>
      <c r="K432" s="120">
        <v>0</v>
      </c>
      <c r="L432" s="124">
        <f t="shared" ca="1" si="1761"/>
        <v>0</v>
      </c>
      <c r="M432" s="124">
        <f t="shared" ca="1" si="1762"/>
        <v>0</v>
      </c>
      <c r="N432" s="120">
        <f t="shared" ca="1" si="1763"/>
        <v>0</v>
      </c>
      <c r="O432" s="164">
        <f t="shared" ca="1" si="1764"/>
        <v>21.787500000000001</v>
      </c>
      <c r="P432" s="168">
        <f t="shared" ca="1" si="754"/>
        <v>8715</v>
      </c>
      <c r="Q432" s="168" t="e">
        <f t="shared" ca="1" si="1765"/>
        <v>#N/A</v>
      </c>
      <c r="R432" s="184" t="e">
        <f t="shared" ca="1" si="1766"/>
        <v>#VALUE!</v>
      </c>
      <c r="S432" s="124">
        <f t="shared" ca="1" si="1767"/>
        <v>2.9049999999999994</v>
      </c>
      <c r="T432" s="120">
        <f ca="1">VLOOKUP(TRIM($F432),Reference!B:C,2,0)</f>
        <v>2495.85</v>
      </c>
      <c r="U432" s="181" t="e">
        <f t="shared" ca="1" si="1768"/>
        <v>#VALUE!</v>
      </c>
      <c r="V432" s="125" t="str">
        <f t="shared" ref="V432:V434" ca="1" si="1777">TRIM(F432)&amp;TEXT(H432,"YY")&amp;UPPER(TEXT(H432,"MMM"))&amp;TRIM(G432)&amp;TRIM(E432)</f>
        <v>HINDUNILVR22JUL2500PE</v>
      </c>
      <c r="W432" s="166" t="e">
        <f ca="1">VLOOKUP($V432,Reference!BA:BD,4,0)</f>
        <v>#N/A</v>
      </c>
      <c r="X432" s="168" t="e">
        <f t="shared" ca="1" si="1769"/>
        <v>#VALUE!</v>
      </c>
      <c r="Y432" s="168" t="e">
        <f t="shared" ca="1" si="1770"/>
        <v>#VALUE!</v>
      </c>
      <c r="Z432" s="168" t="e">
        <f t="shared" ca="1" si="1771"/>
        <v>#VALUE!</v>
      </c>
      <c r="AA432" s="168" t="e">
        <f t="shared" ca="1" si="1772"/>
        <v>#VALUE!</v>
      </c>
      <c r="AB432" s="168" t="e">
        <f t="shared" ca="1" si="1773"/>
        <v>#VALUE!</v>
      </c>
      <c r="AC432" s="124" t="e">
        <f t="shared" ca="1" si="1774"/>
        <v>#VALUE!</v>
      </c>
      <c r="AD432" s="120">
        <f t="shared" ca="1" si="1775"/>
        <v>3.5616438356164383E-2</v>
      </c>
      <c r="AE432" s="120">
        <f t="shared" ca="1" si="1776"/>
        <v>20</v>
      </c>
      <c r="AF432" s="120"/>
      <c r="AG432" s="120"/>
      <c r="AH432" s="120">
        <f t="shared" ca="1" si="755"/>
        <v>0</v>
      </c>
      <c r="AI432" s="120"/>
      <c r="AJ432" s="120">
        <f t="shared" ca="1" si="756"/>
        <v>0.26145000000000002</v>
      </c>
      <c r="AK432" s="120"/>
      <c r="AL432" s="147"/>
      <c r="AM432" s="160"/>
      <c r="AN432" s="160"/>
      <c r="AO432" s="160"/>
      <c r="AP432" s="160"/>
      <c r="AQ432" s="160"/>
      <c r="AR432" s="160"/>
      <c r="AS432" s="160"/>
      <c r="AT432" s="160"/>
      <c r="AU432" s="160"/>
      <c r="AV432" s="160"/>
      <c r="AW432" s="160"/>
      <c r="AX432" s="160"/>
      <c r="AY432" s="160"/>
      <c r="AZ432" s="160"/>
      <c r="BA432" s="160"/>
      <c r="BB432" s="160"/>
      <c r="BC432" s="160"/>
      <c r="BD432" s="160"/>
      <c r="BE432" s="160"/>
      <c r="BF432" s="160"/>
      <c r="BG432" s="160"/>
      <c r="BS432" s="13">
        <v>2</v>
      </c>
      <c r="BT432" s="128">
        <v>44491</v>
      </c>
      <c r="BU432" s="121" t="s">
        <v>8</v>
      </c>
      <c r="BV432" s="120" t="s">
        <v>482</v>
      </c>
      <c r="BW432" s="121" t="s">
        <v>502</v>
      </c>
      <c r="BX432" s="120">
        <v>18400</v>
      </c>
      <c r="BY432" s="120">
        <v>41.7</v>
      </c>
      <c r="BZ432" s="120">
        <v>47.945</v>
      </c>
      <c r="CA432" s="124">
        <v>-3216.6708800000001</v>
      </c>
      <c r="CB432" s="120">
        <v>1.1497601918465228</v>
      </c>
      <c r="CC432" s="120">
        <v>500</v>
      </c>
      <c r="CD432" s="120">
        <v>50</v>
      </c>
      <c r="CE432" s="124">
        <v>20850</v>
      </c>
    </row>
    <row r="433" spans="1:83">
      <c r="A433" s="13">
        <f t="shared" ca="1" si="753"/>
        <v>426</v>
      </c>
      <c r="B433" s="128">
        <v>44757</v>
      </c>
      <c r="C433" s="121" t="s">
        <v>6</v>
      </c>
      <c r="D433" s="121">
        <v>1</v>
      </c>
      <c r="E433" s="120" t="s">
        <v>482</v>
      </c>
      <c r="F433" s="121" t="s">
        <v>104</v>
      </c>
      <c r="G433" s="120">
        <v>2500</v>
      </c>
      <c r="H433" s="122">
        <v>44770</v>
      </c>
      <c r="I433" s="120">
        <v>300</v>
      </c>
      <c r="J433" s="120">
        <v>28.85</v>
      </c>
      <c r="K433" s="120">
        <v>0</v>
      </c>
      <c r="L433" s="124">
        <f t="shared" ca="1" si="1761"/>
        <v>0</v>
      </c>
      <c r="M433" s="124">
        <f t="shared" ca="1" si="1762"/>
        <v>0</v>
      </c>
      <c r="N433" s="120">
        <f t="shared" ca="1" si="1763"/>
        <v>0</v>
      </c>
      <c r="O433" s="164">
        <f t="shared" ca="1" si="1764"/>
        <v>21.637500000000003</v>
      </c>
      <c r="P433" s="168">
        <f t="shared" ca="1" si="754"/>
        <v>8655</v>
      </c>
      <c r="Q433" s="168" t="e">
        <f t="shared" ca="1" si="1765"/>
        <v>#N/A</v>
      </c>
      <c r="R433" s="184" t="e">
        <f t="shared" ca="1" si="1766"/>
        <v>#VALUE!</v>
      </c>
      <c r="S433" s="124">
        <f t="shared" ca="1" si="1767"/>
        <v>2.8849999999999993</v>
      </c>
      <c r="T433" s="120">
        <f ca="1">VLOOKUP(TRIM($F433),Reference!B:C,2,0)</f>
        <v>2495.85</v>
      </c>
      <c r="U433" s="181" t="e">
        <f t="shared" ca="1" si="1768"/>
        <v>#VALUE!</v>
      </c>
      <c r="V433" s="125" t="str">
        <f t="shared" ca="1" si="1777"/>
        <v>HINDUNILVR22JUL2500PE</v>
      </c>
      <c r="W433" s="166" t="e">
        <f ca="1">VLOOKUP($V433,Reference!BA:BD,4,0)</f>
        <v>#N/A</v>
      </c>
      <c r="X433" s="168" t="e">
        <f t="shared" ca="1" si="1769"/>
        <v>#VALUE!</v>
      </c>
      <c r="Y433" s="168" t="e">
        <f t="shared" ca="1" si="1770"/>
        <v>#VALUE!</v>
      </c>
      <c r="Z433" s="168" t="e">
        <f t="shared" ca="1" si="1771"/>
        <v>#VALUE!</v>
      </c>
      <c r="AA433" s="168" t="e">
        <f t="shared" ca="1" si="1772"/>
        <v>#VALUE!</v>
      </c>
      <c r="AB433" s="168" t="e">
        <f t="shared" ca="1" si="1773"/>
        <v>#VALUE!</v>
      </c>
      <c r="AC433" s="124" t="e">
        <f t="shared" ca="1" si="1774"/>
        <v>#VALUE!</v>
      </c>
      <c r="AD433" s="120">
        <f t="shared" ca="1" si="1775"/>
        <v>3.5616438356164383E-2</v>
      </c>
      <c r="AE433" s="120">
        <f t="shared" ca="1" si="1776"/>
        <v>20</v>
      </c>
      <c r="AF433" s="120"/>
      <c r="AG433" s="120"/>
      <c r="AH433" s="120">
        <f t="shared" ca="1" si="755"/>
        <v>0</v>
      </c>
      <c r="AI433" s="120"/>
      <c r="AJ433" s="120">
        <f t="shared" ca="1" si="756"/>
        <v>0.25964999999999999</v>
      </c>
      <c r="AK433" s="120"/>
      <c r="AL433" s="147"/>
      <c r="AM433" s="160"/>
      <c r="AN433" s="160"/>
      <c r="AO433" s="160"/>
      <c r="AP433" s="160"/>
      <c r="AQ433" s="160"/>
      <c r="AR433" s="160"/>
      <c r="AS433" s="160"/>
      <c r="AT433" s="160"/>
      <c r="AU433" s="160"/>
      <c r="AV433" s="160"/>
      <c r="AW433" s="160"/>
      <c r="AX433" s="160"/>
      <c r="AY433" s="160"/>
      <c r="AZ433" s="160"/>
      <c r="BA433" s="160"/>
      <c r="BB433" s="160"/>
      <c r="BC433" s="160"/>
      <c r="BD433" s="160"/>
      <c r="BE433" s="160"/>
      <c r="BF433" s="160"/>
      <c r="BG433" s="160"/>
      <c r="BS433" s="13">
        <v>2</v>
      </c>
      <c r="BT433" s="128">
        <v>44491</v>
      </c>
      <c r="BU433" s="121" t="s">
        <v>8</v>
      </c>
      <c r="BV433" s="120" t="s">
        <v>482</v>
      </c>
      <c r="BW433" s="121" t="s">
        <v>502</v>
      </c>
      <c r="BX433" s="120">
        <v>18400</v>
      </c>
      <c r="BY433" s="120">
        <v>41.7</v>
      </c>
      <c r="BZ433" s="120">
        <v>47.945</v>
      </c>
      <c r="CA433" s="124">
        <v>-3216.6708800000001</v>
      </c>
      <c r="CB433" s="120">
        <v>1.1497601918465228</v>
      </c>
      <c r="CC433" s="120">
        <v>500</v>
      </c>
      <c r="CD433" s="120">
        <v>50</v>
      </c>
      <c r="CE433" s="124">
        <v>20850</v>
      </c>
    </row>
    <row r="434" spans="1:83">
      <c r="A434" s="13">
        <f t="shared" ca="1" si="753"/>
        <v>427</v>
      </c>
      <c r="B434" s="128">
        <v>44757</v>
      </c>
      <c r="C434" s="121" t="s">
        <v>6</v>
      </c>
      <c r="D434" s="121">
        <v>1</v>
      </c>
      <c r="E434" s="120" t="s">
        <v>632</v>
      </c>
      <c r="F434" s="121" t="s">
        <v>104</v>
      </c>
      <c r="G434" s="120" t="s">
        <v>568</v>
      </c>
      <c r="H434" s="122">
        <v>44798</v>
      </c>
      <c r="I434" s="120">
        <v>300</v>
      </c>
      <c r="J434" s="120">
        <v>2523</v>
      </c>
      <c r="K434" s="120">
        <v>0</v>
      </c>
      <c r="L434" s="124">
        <f t="shared" ca="1" si="1761"/>
        <v>0</v>
      </c>
      <c r="M434" s="124">
        <f t="shared" ca="1" si="1762"/>
        <v>0</v>
      </c>
      <c r="N434" s="120">
        <f t="shared" ca="1" si="1763"/>
        <v>0</v>
      </c>
      <c r="O434" s="164">
        <f t="shared" ca="1" si="1764"/>
        <v>1892.25</v>
      </c>
      <c r="P434" s="168">
        <f t="shared" ca="1" si="754"/>
        <v>756900</v>
      </c>
      <c r="Q434" s="168">
        <f t="shared" ca="1" si="1765"/>
        <v>-3645.0000000000273</v>
      </c>
      <c r="R434" s="184">
        <f t="shared" ca="1" si="1766"/>
        <v>748755</v>
      </c>
      <c r="S434" s="124">
        <f t="shared" ca="1" si="1767"/>
        <v>252.29999999999995</v>
      </c>
      <c r="T434" s="120">
        <f ca="1">VLOOKUP(TRIM($F434),Reference!B:C,2,0)</f>
        <v>2495.85</v>
      </c>
      <c r="U434" s="181">
        <f t="shared" ca="1" si="1768"/>
        <v>0</v>
      </c>
      <c r="V434" s="125" t="str">
        <f t="shared" ca="1" si="1777"/>
        <v>HINDUNILVR22AUGFUT</v>
      </c>
      <c r="W434" s="166">
        <f ca="1">VLOOKUP($V434,Reference!BA:BD,4,0)</f>
        <v>2510.85</v>
      </c>
      <c r="X434" s="168">
        <f t="shared" ca="1" si="1769"/>
        <v>753255</v>
      </c>
      <c r="Y434" s="168">
        <f t="shared" ca="1" si="1770"/>
        <v>1</v>
      </c>
      <c r="Z434" s="168">
        <f t="shared" ca="1" si="1771"/>
        <v>300</v>
      </c>
      <c r="AA434" s="168">
        <f t="shared" ca="1" si="1772"/>
        <v>0</v>
      </c>
      <c r="AB434" s="168">
        <f t="shared" ca="1" si="1773"/>
        <v>0</v>
      </c>
      <c r="AC434" s="124">
        <f t="shared" ca="1" si="1774"/>
        <v>0</v>
      </c>
      <c r="AD434" s="120">
        <f t="shared" ca="1" si="1775"/>
        <v>0.11232876712328767</v>
      </c>
      <c r="AE434" s="120">
        <f t="shared" ca="1" si="1776"/>
        <v>20</v>
      </c>
      <c r="AF434" s="120"/>
      <c r="AG434" s="120"/>
      <c r="AH434" s="120">
        <f t="shared" ca="1" si="755"/>
        <v>0</v>
      </c>
      <c r="AI434" s="120"/>
      <c r="AJ434" s="120">
        <f t="shared" ca="1" si="756"/>
        <v>22.707000000000001</v>
      </c>
      <c r="AK434" s="120"/>
      <c r="AL434" s="147"/>
      <c r="AM434" s="160"/>
      <c r="AN434" s="160"/>
      <c r="AO434" s="160"/>
      <c r="AP434" s="160"/>
      <c r="AQ434" s="160"/>
      <c r="AR434" s="160"/>
      <c r="AS434" s="160"/>
      <c r="AT434" s="160"/>
      <c r="AU434" s="160"/>
      <c r="AV434" s="160"/>
      <c r="AW434" s="160"/>
      <c r="AX434" s="160"/>
      <c r="AY434" s="160"/>
      <c r="AZ434" s="160"/>
      <c r="BA434" s="160"/>
      <c r="BB434" s="160"/>
      <c r="BC434" s="160"/>
      <c r="BD434" s="160"/>
      <c r="BE434" s="160"/>
      <c r="BF434" s="160"/>
      <c r="BG434" s="160"/>
      <c r="BS434" s="13">
        <v>2</v>
      </c>
      <c r="BT434" s="128">
        <v>44491</v>
      </c>
      <c r="BU434" s="121" t="s">
        <v>8</v>
      </c>
      <c r="BV434" s="120" t="s">
        <v>482</v>
      </c>
      <c r="BW434" s="121" t="s">
        <v>502</v>
      </c>
      <c r="BX434" s="120">
        <v>18400</v>
      </c>
      <c r="BY434" s="120">
        <v>41.7</v>
      </c>
      <c r="BZ434" s="120">
        <v>47.945</v>
      </c>
      <c r="CA434" s="124">
        <v>-3216.6708800000001</v>
      </c>
      <c r="CB434" s="120">
        <v>1.1497601918465228</v>
      </c>
      <c r="CC434" s="120">
        <v>500</v>
      </c>
      <c r="CD434" s="120">
        <v>50</v>
      </c>
      <c r="CE434" s="124">
        <v>20850</v>
      </c>
    </row>
  </sheetData>
  <autoFilter ref="A7:BG434">
    <filterColumn colId="5">
      <filters>
        <filter val="HINDUNILVR"/>
      </filters>
    </filterColumn>
  </autoFilter>
  <sortState ref="B8:AI147">
    <sortCondition descending="1" ref="K8:K147"/>
    <sortCondition ref="B8:B147"/>
    <sortCondition ref="E8:E147"/>
    <sortCondition ref="G8:G147"/>
  </sortState>
  <mergeCells count="6">
    <mergeCell ref="E2:F2"/>
    <mergeCell ref="E3:F3"/>
    <mergeCell ref="H2:I2"/>
    <mergeCell ref="H3:I3"/>
    <mergeCell ref="J2:K2"/>
    <mergeCell ref="J3:K3"/>
  </mergeCells>
  <conditionalFormatting sqref="E3">
    <cfRule type="cellIs" dxfId="27" priority="19" operator="lessThan">
      <formula>0</formula>
    </cfRule>
    <cfRule type="cellIs" dxfId="26" priority="20" operator="greaterThan">
      <formula>0</formula>
    </cfRule>
  </conditionalFormatting>
  <conditionalFormatting sqref="H3">
    <cfRule type="cellIs" dxfId="25" priority="15" operator="lessThan">
      <formula>0</formula>
    </cfRule>
    <cfRule type="cellIs" dxfId="24" priority="16" operator="greaterThan">
      <formula>0</formula>
    </cfRule>
  </conditionalFormatting>
  <conditionalFormatting sqref="J3">
    <cfRule type="cellIs" dxfId="23" priority="13" operator="lessThan">
      <formula>0</formula>
    </cfRule>
    <cfRule type="cellIs" dxfId="22" priority="14" operator="greaterThan">
      <formula>0</formula>
    </cfRule>
  </conditionalFormatting>
  <conditionalFormatting sqref="L3:M3">
    <cfRule type="cellIs" dxfId="21" priority="11" operator="lessThan">
      <formula>0</formula>
    </cfRule>
    <cfRule type="cellIs" dxfId="20" priority="12" operator="greaterThan">
      <formula>0</formula>
    </cfRule>
  </conditionalFormatting>
  <conditionalFormatting sqref="O3">
    <cfRule type="cellIs" dxfId="19" priority="9" operator="lessThan">
      <formula>0</formula>
    </cfRule>
    <cfRule type="cellIs" dxfId="18" priority="10" operator="greaterThan">
      <formula>0</formula>
    </cfRule>
  </conditionalFormatting>
  <conditionalFormatting sqref="G3">
    <cfRule type="cellIs" dxfId="17" priority="5" operator="lessThan">
      <formula>0</formula>
    </cfRule>
    <cfRule type="cellIs" dxfId="16" priority="6" operator="greaterThan">
      <formula>0</formula>
    </cfRule>
  </conditionalFormatting>
  <conditionalFormatting sqref="P3">
    <cfRule type="cellIs" dxfId="15" priority="3" operator="lessThan">
      <formula>0</formula>
    </cfRule>
    <cfRule type="cellIs" dxfId="14" priority="4" operator="greaterThan">
      <formula>0</formula>
    </cfRule>
  </conditionalFormatting>
  <conditionalFormatting sqref="S3:AF3">
    <cfRule type="cellIs" dxfId="13" priority="1" operator="lessThan">
      <formula>0</formula>
    </cfRule>
    <cfRule type="cellIs" dxfId="12" priority="2" operator="greaterThan">
      <formula>0</formula>
    </cfRule>
  </conditionalFormatting>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FD123"/>
  <sheetViews>
    <sheetView topLeftCell="AG1" zoomScale="85" zoomScaleNormal="85" workbookViewId="0">
      <selection activeCell="AG1" sqref="AG1"/>
    </sheetView>
  </sheetViews>
  <sheetFormatPr defaultRowHeight="15"/>
  <cols>
    <col min="1" max="1" width="24" style="65" bestFit="1" customWidth="1"/>
    <col min="2" max="2" width="12.7109375" style="65" bestFit="1" customWidth="1"/>
    <col min="3" max="3" width="9.140625" style="65"/>
    <col min="7" max="8" width="10.7109375" style="34" bestFit="1" customWidth="1"/>
    <col min="10" max="10" width="15.42578125" bestFit="1" customWidth="1"/>
    <col min="11" max="11" width="13.5703125" style="34" bestFit="1" customWidth="1"/>
    <col min="14" max="14" width="10" customWidth="1"/>
    <col min="15" max="15" width="14.42578125" style="34" bestFit="1" customWidth="1"/>
    <col min="16" max="16" width="12.7109375" style="34" customWidth="1"/>
    <col min="17" max="17" width="15.42578125" style="34" bestFit="1" customWidth="1"/>
    <col min="18" max="18" width="15.42578125" style="34" customWidth="1"/>
    <col min="19" max="19" width="18.5703125" style="34" customWidth="1"/>
    <col min="20" max="33" width="16.42578125" style="34" bestFit="1" customWidth="1"/>
    <col min="34" max="34" width="9.85546875" bestFit="1" customWidth="1"/>
    <col min="35" max="35" width="9.140625" style="35"/>
    <col min="37" max="37" width="10" bestFit="1" customWidth="1"/>
    <col min="38" max="38" width="10.28515625" bestFit="1" customWidth="1"/>
    <col min="39" max="39" width="12.7109375" style="34" bestFit="1" customWidth="1"/>
    <col min="40" max="40" width="9.28515625" style="137" bestFit="1" customWidth="1"/>
    <col min="41" max="41" width="9.28515625" style="34" bestFit="1" customWidth="1"/>
    <col min="42" max="42" width="10.28515625" bestFit="1" customWidth="1"/>
    <col min="43" max="43" width="9.140625" style="34"/>
    <col min="45" max="45" width="9.28515625" style="138" bestFit="1" customWidth="1"/>
    <col min="46" max="46" width="9.28515625" style="34" bestFit="1" customWidth="1"/>
    <col min="47" max="47" width="12.7109375" style="34" bestFit="1" customWidth="1"/>
    <col min="48" max="50" width="9.28515625" style="34" bestFit="1" customWidth="1"/>
    <col min="53" max="53" width="13.5703125" bestFit="1" customWidth="1"/>
    <col min="54" max="54" width="16.140625" bestFit="1" customWidth="1"/>
    <col min="55" max="55" width="11.7109375" bestFit="1" customWidth="1"/>
    <col min="56" max="59" width="12.42578125" bestFit="1" customWidth="1"/>
    <col min="60" max="60" width="13.5703125" bestFit="1" customWidth="1"/>
    <col min="61" max="66" width="12.42578125" bestFit="1" customWidth="1"/>
    <col min="67" max="69" width="13.5703125" bestFit="1" customWidth="1"/>
    <col min="70" max="72" width="12.42578125" bestFit="1" customWidth="1"/>
    <col min="73" max="73" width="12.28515625" bestFit="1" customWidth="1"/>
    <col min="74" max="74" width="10.28515625" bestFit="1" customWidth="1"/>
    <col min="76" max="76" width="14.42578125" bestFit="1" customWidth="1"/>
    <col min="77" max="77" width="16.140625" bestFit="1" customWidth="1"/>
    <col min="78" max="78" width="14.42578125" bestFit="1" customWidth="1"/>
    <col min="79" max="81" width="13.5703125" bestFit="1" customWidth="1"/>
    <col min="82" max="95" width="12.42578125" bestFit="1" customWidth="1"/>
    <col min="96" max="96" width="11.7109375" bestFit="1" customWidth="1"/>
    <col min="97" max="105" width="16.140625" bestFit="1" customWidth="1"/>
    <col min="106" max="107" width="16.140625" style="34" bestFit="1" customWidth="1"/>
    <col min="108" max="126" width="16.140625" bestFit="1" customWidth="1"/>
  </cols>
  <sheetData>
    <row r="1" spans="1:16384" ht="30">
      <c r="D1" s="79" t="s">
        <v>509</v>
      </c>
      <c r="E1" s="80" t="s">
        <v>510</v>
      </c>
      <c r="F1" s="80" t="s">
        <v>511</v>
      </c>
      <c r="G1" s="81" t="s">
        <v>530</v>
      </c>
      <c r="H1" s="81" t="s">
        <v>512</v>
      </c>
      <c r="I1" s="80" t="s">
        <v>513</v>
      </c>
      <c r="J1" s="80" t="s">
        <v>117</v>
      </c>
      <c r="K1" s="81" t="s">
        <v>514</v>
      </c>
      <c r="L1" s="80" t="s">
        <v>118</v>
      </c>
      <c r="M1" s="80" t="s">
        <v>120</v>
      </c>
      <c r="N1" s="80" t="s">
        <v>515</v>
      </c>
      <c r="O1" s="81" t="s">
        <v>516</v>
      </c>
      <c r="P1" s="81" t="s">
        <v>517</v>
      </c>
      <c r="Q1" s="81" t="s">
        <v>518</v>
      </c>
      <c r="R1" s="81"/>
      <c r="S1" s="74" t="s">
        <v>529</v>
      </c>
      <c r="T1" s="75">
        <v>0.09</v>
      </c>
      <c r="U1" s="75">
        <f>T1-0.5%</f>
        <v>8.4999999999999992E-2</v>
      </c>
      <c r="V1" s="75">
        <f t="shared" ref="V1:AG1" si="0">U1-0.5%</f>
        <v>7.9999999999999988E-2</v>
      </c>
      <c r="W1" s="75">
        <f t="shared" si="0"/>
        <v>7.4999999999999983E-2</v>
      </c>
      <c r="X1" s="75">
        <f t="shared" si="0"/>
        <v>6.9999999999999979E-2</v>
      </c>
      <c r="Y1" s="75">
        <f t="shared" si="0"/>
        <v>6.4999999999999974E-2</v>
      </c>
      <c r="Z1" s="75">
        <f t="shared" si="0"/>
        <v>5.9999999999999977E-2</v>
      </c>
      <c r="AA1" s="75">
        <f t="shared" si="0"/>
        <v>5.4999999999999979E-2</v>
      </c>
      <c r="AB1" s="75">
        <f t="shared" si="0"/>
        <v>4.9999999999999982E-2</v>
      </c>
      <c r="AC1" s="75">
        <f t="shared" si="0"/>
        <v>4.4999999999999984E-2</v>
      </c>
      <c r="AD1" s="75">
        <f t="shared" si="0"/>
        <v>3.9999999999999987E-2</v>
      </c>
      <c r="AE1" s="75">
        <f t="shared" si="0"/>
        <v>3.4999999999999989E-2</v>
      </c>
      <c r="AF1" s="75">
        <f t="shared" si="0"/>
        <v>2.9999999999999988E-2</v>
      </c>
      <c r="AG1" s="75">
        <f t="shared" si="0"/>
        <v>2.4999999999999988E-2</v>
      </c>
      <c r="AH1" s="66"/>
      <c r="AI1" s="35" t="s">
        <v>519</v>
      </c>
      <c r="AJ1" t="s">
        <v>520</v>
      </c>
      <c r="AK1" s="136" t="s">
        <v>78</v>
      </c>
      <c r="AL1" s="136" t="s">
        <v>22</v>
      </c>
      <c r="AM1" s="136" t="s">
        <v>68</v>
      </c>
      <c r="AN1" s="136" t="s">
        <v>69</v>
      </c>
      <c r="AO1" s="136" t="s">
        <v>70</v>
      </c>
      <c r="AP1" s="136" t="s">
        <v>22</v>
      </c>
      <c r="AQ1" s="136" t="s">
        <v>71</v>
      </c>
      <c r="AR1" s="136" t="s">
        <v>521</v>
      </c>
      <c r="AS1" s="136" t="s">
        <v>72</v>
      </c>
      <c r="AT1" s="136" t="s">
        <v>73</v>
      </c>
      <c r="AU1" s="136" t="s">
        <v>74</v>
      </c>
      <c r="AV1" s="136" t="s">
        <v>75</v>
      </c>
      <c r="AW1" s="136" t="s">
        <v>76</v>
      </c>
      <c r="AX1" s="136" t="s">
        <v>77</v>
      </c>
      <c r="AZ1" s="136" t="s">
        <v>22</v>
      </c>
      <c r="BA1" s="136" t="s">
        <v>562</v>
      </c>
      <c r="BB1" s="140">
        <f>AVERAGE(BC2:BU2)-2000</f>
        <v>15885.714285714286</v>
      </c>
      <c r="BC1" s="136" t="s">
        <v>588</v>
      </c>
      <c r="BD1" s="136" t="s">
        <v>589</v>
      </c>
      <c r="BE1" s="136" t="s">
        <v>590</v>
      </c>
      <c r="BF1" s="136" t="s">
        <v>591</v>
      </c>
      <c r="BG1" s="136" t="s">
        <v>592</v>
      </c>
      <c r="BH1" s="136" t="s">
        <v>593</v>
      </c>
      <c r="BI1" s="136" t="s">
        <v>594</v>
      </c>
      <c r="BJ1" s="136" t="s">
        <v>590</v>
      </c>
      <c r="BK1" s="136" t="s">
        <v>591</v>
      </c>
      <c r="BL1" s="136" t="s">
        <v>592</v>
      </c>
      <c r="BM1" s="136" t="s">
        <v>593</v>
      </c>
      <c r="BN1" s="136" t="s">
        <v>594</v>
      </c>
      <c r="BO1" s="136" t="s">
        <v>596</v>
      </c>
      <c r="BP1" s="136" t="s">
        <v>597</v>
      </c>
      <c r="BQ1" s="136" t="s">
        <v>598</v>
      </c>
      <c r="BR1" s="136" t="s">
        <v>599</v>
      </c>
      <c r="BS1" s="136" t="s">
        <v>600</v>
      </c>
      <c r="BT1" s="136" t="s">
        <v>601</v>
      </c>
      <c r="BU1" s="136" t="s">
        <v>595</v>
      </c>
      <c r="BW1" s="136" t="s">
        <v>22</v>
      </c>
      <c r="BX1" s="136" t="s">
        <v>562</v>
      </c>
      <c r="BY1" s="140">
        <f>AVERAGE(BZ2:CR2)</f>
        <v>40971.428571428572</v>
      </c>
      <c r="BZ1" s="136" t="s">
        <v>588</v>
      </c>
      <c r="CA1" s="136" t="s">
        <v>589</v>
      </c>
      <c r="CB1" s="136" t="s">
        <v>590</v>
      </c>
      <c r="CC1" s="136" t="s">
        <v>591</v>
      </c>
      <c r="CD1" s="136" t="s">
        <v>592</v>
      </c>
      <c r="CE1" s="136" t="s">
        <v>593</v>
      </c>
      <c r="CF1" s="136" t="s">
        <v>594</v>
      </c>
      <c r="CG1" s="136" t="s">
        <v>590</v>
      </c>
      <c r="CH1" s="136" t="s">
        <v>591</v>
      </c>
      <c r="CI1" s="136" t="s">
        <v>592</v>
      </c>
      <c r="CJ1" s="136" t="s">
        <v>593</v>
      </c>
      <c r="CK1" s="136" t="s">
        <v>594</v>
      </c>
      <c r="CL1" s="136" t="s">
        <v>596</v>
      </c>
      <c r="CM1" s="136" t="s">
        <v>597</v>
      </c>
      <c r="CN1" s="136" t="s">
        <v>598</v>
      </c>
      <c r="CO1" s="136" t="s">
        <v>599</v>
      </c>
      <c r="CP1" s="136" t="s">
        <v>600</v>
      </c>
      <c r="CQ1" s="136" t="s">
        <v>601</v>
      </c>
      <c r="CR1" s="136" t="s">
        <v>595</v>
      </c>
      <c r="CS1" s="140"/>
      <c r="CT1" s="140"/>
      <c r="CU1" s="140"/>
      <c r="CV1" s="140"/>
      <c r="CW1" s="140"/>
      <c r="CX1" s="140"/>
      <c r="CY1" s="140"/>
      <c r="CZ1" s="140"/>
      <c r="DA1" s="140"/>
      <c r="DB1" s="140"/>
      <c r="DC1" s="140"/>
      <c r="DD1" s="140"/>
      <c r="DE1" s="140"/>
      <c r="DF1" s="140"/>
      <c r="DG1" s="140"/>
      <c r="DH1" s="140"/>
      <c r="DI1" s="140"/>
      <c r="DJ1" s="140"/>
      <c r="DK1" s="140"/>
      <c r="DL1" s="140"/>
      <c r="DM1" s="140"/>
      <c r="DN1" s="140"/>
      <c r="DO1" s="140"/>
      <c r="DP1" s="140"/>
      <c r="DQ1" s="140"/>
      <c r="DR1" s="140"/>
      <c r="DS1" s="140"/>
      <c r="DT1" s="140"/>
      <c r="DU1" s="140"/>
      <c r="DV1" s="140"/>
    </row>
    <row r="2" spans="1:16384">
      <c r="A2" s="61" t="s">
        <v>522</v>
      </c>
      <c r="B2" s="61">
        <f>mrigxl_getIndexQuote("NIFTY 50")</f>
        <v>15799.1</v>
      </c>
      <c r="D2">
        <v>1</v>
      </c>
      <c r="E2">
        <f ca="1">OFFSET($AP$2,COUNTIF($AJ$3:$AJ$59,TRUE),0)</f>
        <v>16200</v>
      </c>
      <c r="F2" t="b">
        <f t="shared" ref="F2" si="1">IF(AJ2,AP2)</f>
        <v>0</v>
      </c>
      <c r="G2" s="34" t="e">
        <f ca="1">50*(VLOOKUP($E2,$AP:$AS,4,0)-VLOOKUP($F2,$AP:$AS,4,0))*IF(AU2&gt;0,1,0)</f>
        <v>#N/A</v>
      </c>
      <c r="H2" s="34" t="e">
        <f t="shared" ref="H2" ca="1" si="2">50*(F2-E2)+G2</f>
        <v>#N/A</v>
      </c>
      <c r="I2" s="35" t="e">
        <f t="shared" ref="I2" ca="1" si="3">ABS(G2/H2)</f>
        <v>#N/A</v>
      </c>
      <c r="J2" s="134" t="e">
        <f ca="1">MAX(60000,G2*12)</f>
        <v>#N/A</v>
      </c>
      <c r="K2" s="34">
        <f ca="1">IFERROR(VLOOKUP($B$6&amp;E2&amp;F2,#REF!,6,0),0)</f>
        <v>0</v>
      </c>
      <c r="L2" s="35" t="e">
        <f t="shared" ref="L2" ca="1" si="4">G2/J2</f>
        <v>#N/A</v>
      </c>
      <c r="M2" s="35" t="e">
        <f t="shared" ref="M2" ca="1" si="5">L2/YEARFRAC(TODAY(),$B$6)</f>
        <v>#N/A</v>
      </c>
      <c r="N2" s="67" t="e">
        <f ca="1">IFERROR(INT($B$3/G2),INT($B$3/K2))</f>
        <v>#DIV/0!</v>
      </c>
      <c r="O2" s="34" t="e">
        <f t="shared" ref="O2" ca="1" si="6">N2*J2</f>
        <v>#DIV/0!</v>
      </c>
      <c r="P2" s="34" t="e">
        <f ca="1">N2*MAX(G2,K2)</f>
        <v>#DIV/0!</v>
      </c>
      <c r="Q2" s="34" t="e">
        <f t="shared" ref="Q2" ca="1" si="7">H2*N2</f>
        <v>#N/A</v>
      </c>
      <c r="R2" s="118" t="e">
        <f ca="1">(O2-$O$2)/($Q$2-Q2)</f>
        <v>#DIV/0!</v>
      </c>
      <c r="S2" s="72"/>
      <c r="T2" s="72" t="e">
        <f t="shared" ref="T2:AG2" ca="1" si="8">$N2*50*(-MAX($E2-$B$2*(1-T$1),0)+MAX($F2-$B$2*(1-T$1),0))+$P2</f>
        <v>#DIV/0!</v>
      </c>
      <c r="U2" s="72" t="e">
        <f t="shared" ca="1" si="8"/>
        <v>#DIV/0!</v>
      </c>
      <c r="V2" s="72" t="e">
        <f t="shared" ca="1" si="8"/>
        <v>#DIV/0!</v>
      </c>
      <c r="W2" s="72" t="e">
        <f t="shared" ca="1" si="8"/>
        <v>#DIV/0!</v>
      </c>
      <c r="X2" s="72" t="e">
        <f t="shared" ca="1" si="8"/>
        <v>#DIV/0!</v>
      </c>
      <c r="Y2" s="72" t="e">
        <f t="shared" ca="1" si="8"/>
        <v>#DIV/0!</v>
      </c>
      <c r="Z2" s="72" t="e">
        <f t="shared" ca="1" si="8"/>
        <v>#DIV/0!</v>
      </c>
      <c r="AA2" s="72" t="e">
        <f t="shared" ca="1" si="8"/>
        <v>#DIV/0!</v>
      </c>
      <c r="AB2" s="72" t="e">
        <f t="shared" ca="1" si="8"/>
        <v>#DIV/0!</v>
      </c>
      <c r="AC2" s="72" t="e">
        <f t="shared" ca="1" si="8"/>
        <v>#DIV/0!</v>
      </c>
      <c r="AD2" s="72" t="e">
        <f t="shared" ca="1" si="8"/>
        <v>#DIV/0!</v>
      </c>
      <c r="AE2" s="72" t="e">
        <f t="shared" ca="1" si="8"/>
        <v>#DIV/0!</v>
      </c>
      <c r="AF2" s="72" t="e">
        <f t="shared" ca="1" si="8"/>
        <v>#DIV/0!</v>
      </c>
      <c r="AG2" s="72" t="e">
        <f t="shared" ca="1" si="8"/>
        <v>#DIV/0!</v>
      </c>
      <c r="AI2" s="35">
        <f>AP2/$B$2</f>
        <v>1.0253748631251147</v>
      </c>
      <c r="AJ2" t="b">
        <f t="shared" ref="AJ2:AJ62" si="9">AI2&lt;$B$5</f>
        <v>0</v>
      </c>
      <c r="AK2" s="158">
        <v>44616</v>
      </c>
      <c r="AL2" s="139">
        <f>AP2</f>
        <v>16200</v>
      </c>
      <c r="AM2" s="34">
        <v>1850</v>
      </c>
      <c r="AN2" s="137">
        <v>1477.9</v>
      </c>
      <c r="AO2" s="34">
        <v>0.92</v>
      </c>
      <c r="AP2" s="139">
        <v>16200</v>
      </c>
      <c r="AQ2" s="34">
        <v>21.12</v>
      </c>
      <c r="AR2" t="s">
        <v>502</v>
      </c>
      <c r="AS2" s="138">
        <v>42.95</v>
      </c>
      <c r="AT2" s="34">
        <v>-0.08</v>
      </c>
      <c r="AU2" s="34">
        <v>285500</v>
      </c>
      <c r="AV2" s="34">
        <v>-2.5099999999999998</v>
      </c>
      <c r="AW2" s="34">
        <v>8.09</v>
      </c>
      <c r="AX2" s="34">
        <v>1.2999999999999999E-4</v>
      </c>
      <c r="AZ2" s="34">
        <v>100</v>
      </c>
      <c r="BA2" s="34" t="s">
        <v>563</v>
      </c>
      <c r="BB2" s="34"/>
      <c r="BC2" s="134"/>
      <c r="BD2" s="134"/>
      <c r="BE2" s="134"/>
      <c r="BF2" s="134"/>
      <c r="BG2" s="134">
        <v>15800</v>
      </c>
      <c r="BH2" s="134">
        <v>16000</v>
      </c>
      <c r="BI2" s="134">
        <v>17500</v>
      </c>
      <c r="BJ2" s="134"/>
      <c r="BK2" s="134"/>
      <c r="BL2" s="134"/>
      <c r="BM2" s="134"/>
      <c r="BN2" s="134"/>
      <c r="BO2" s="134"/>
      <c r="BP2" s="134">
        <v>18000</v>
      </c>
      <c r="BQ2" s="134">
        <v>19200</v>
      </c>
      <c r="BR2" s="134">
        <v>19200</v>
      </c>
      <c r="BS2" s="134"/>
      <c r="BT2" s="134"/>
      <c r="BU2" s="134">
        <v>19500</v>
      </c>
      <c r="BW2" s="34">
        <v>50</v>
      </c>
      <c r="BX2" s="34" t="s">
        <v>563</v>
      </c>
      <c r="BY2" s="34"/>
      <c r="BZ2" s="134">
        <v>37400</v>
      </c>
      <c r="CA2" s="134">
        <v>39200</v>
      </c>
      <c r="CB2" s="134">
        <v>39500</v>
      </c>
      <c r="CC2" s="134">
        <v>39200</v>
      </c>
      <c r="CD2" s="134"/>
      <c r="CE2" s="134"/>
      <c r="CF2" s="134"/>
      <c r="CG2" s="134"/>
      <c r="CH2" s="134"/>
      <c r="CI2" s="134"/>
      <c r="CJ2" s="134"/>
      <c r="CK2" s="134"/>
      <c r="CL2" s="34">
        <v>43500</v>
      </c>
      <c r="CM2" s="134">
        <v>43700</v>
      </c>
      <c r="CN2" s="134"/>
      <c r="CO2" s="134"/>
      <c r="CP2" s="134"/>
      <c r="CQ2" s="134"/>
      <c r="CR2" s="134">
        <v>44300</v>
      </c>
      <c r="CS2" s="34"/>
      <c r="CT2" s="34"/>
      <c r="CU2" s="34"/>
      <c r="CV2" s="34"/>
      <c r="CW2" s="34"/>
      <c r="CX2" s="34"/>
      <c r="CY2" s="34"/>
      <c r="CZ2" s="34"/>
      <c r="DA2" s="34"/>
      <c r="DD2" s="34"/>
      <c r="DE2" s="34"/>
      <c r="DF2" s="34"/>
      <c r="DG2" s="34"/>
      <c r="DH2" s="34"/>
      <c r="DI2" s="34"/>
      <c r="DJ2" s="34"/>
      <c r="DK2" s="34"/>
      <c r="DL2" s="34"/>
      <c r="DM2" s="34"/>
      <c r="DN2" s="34"/>
      <c r="DO2" s="34"/>
      <c r="DP2" s="34"/>
      <c r="DQ2" s="34"/>
      <c r="DR2" s="34"/>
      <c r="DS2" s="34"/>
      <c r="DT2" s="34"/>
      <c r="DU2" s="34"/>
      <c r="DV2" s="34"/>
    </row>
    <row r="3" spans="1:16384">
      <c r="A3" s="61" t="s">
        <v>523</v>
      </c>
      <c r="B3" s="117">
        <v>20000</v>
      </c>
      <c r="I3" s="35"/>
      <c r="J3" s="134"/>
      <c r="L3" s="35"/>
      <c r="M3" s="35"/>
      <c r="N3" s="67"/>
      <c r="S3" s="72"/>
      <c r="T3" s="72"/>
      <c r="U3" s="72"/>
      <c r="V3" s="72"/>
      <c r="W3" s="72"/>
      <c r="X3" s="72"/>
      <c r="Y3" s="72"/>
      <c r="Z3" s="72"/>
      <c r="AA3" s="72"/>
      <c r="AB3" s="72"/>
      <c r="AC3" s="72"/>
      <c r="AD3" s="72"/>
      <c r="AE3" s="72"/>
      <c r="AF3" s="72"/>
      <c r="AG3" s="72"/>
      <c r="AI3" s="35">
        <f t="shared" ref="AI3:AI62" si="10">AP3/$B$2</f>
        <v>1.0285396003569824</v>
      </c>
      <c r="AJ3" t="b">
        <f t="shared" si="9"/>
        <v>0</v>
      </c>
      <c r="AK3" s="158">
        <v>44616</v>
      </c>
      <c r="AL3" s="139">
        <f t="shared" ref="AL3:AL63" si="11">AP3</f>
        <v>16250</v>
      </c>
      <c r="AM3" s="34">
        <v>0</v>
      </c>
      <c r="AN3" s="137">
        <v>0</v>
      </c>
      <c r="AO3" s="34">
        <v>0.92</v>
      </c>
      <c r="AP3" s="139">
        <v>16250</v>
      </c>
      <c r="AQ3" s="34">
        <v>20.76</v>
      </c>
      <c r="AR3" t="s">
        <v>502</v>
      </c>
      <c r="AS3" s="138">
        <v>44.65</v>
      </c>
      <c r="AT3" s="34">
        <v>-0.08</v>
      </c>
      <c r="AU3" s="34">
        <v>6400</v>
      </c>
      <c r="AV3" s="34">
        <v>-2.56</v>
      </c>
      <c r="AW3" s="34">
        <v>8.3800000000000008</v>
      </c>
      <c r="AX3" s="34">
        <v>1.3999999999999999E-4</v>
      </c>
      <c r="AZ3" s="34" t="s">
        <v>603</v>
      </c>
      <c r="BA3" s="34"/>
      <c r="BB3" s="34"/>
      <c r="BC3" s="134">
        <f>VLOOKUP(BC2,$AL:$AS,8,0)</f>
        <v>0</v>
      </c>
      <c r="BD3" s="134">
        <f t="shared" ref="BD3:BI3" si="12">VLOOKUP(BD2,$AL:$AS,8,0)</f>
        <v>0</v>
      </c>
      <c r="BE3" s="134">
        <f t="shared" si="12"/>
        <v>0</v>
      </c>
      <c r="BF3" s="134">
        <f t="shared" ref="BF3" si="13">VLOOKUP(BF2,$AL:$AS,8,0)</f>
        <v>0</v>
      </c>
      <c r="BG3" s="134" t="e">
        <f t="shared" ref="BG3" si="14">VLOOKUP(BG2,$AL:$AS,8,0)</f>
        <v>#N/A</v>
      </c>
      <c r="BH3" s="134" t="e">
        <f t="shared" si="12"/>
        <v>#N/A</v>
      </c>
      <c r="BI3" s="134">
        <f t="shared" si="12"/>
        <v>312</v>
      </c>
      <c r="BJ3" s="134">
        <f t="shared" ref="BJ3:BN3" si="15">VLOOKUP(BJ2,$AL:$AS,8,0)</f>
        <v>0</v>
      </c>
      <c r="BK3" s="134">
        <f t="shared" si="15"/>
        <v>0</v>
      </c>
      <c r="BL3" s="134">
        <f t="shared" si="15"/>
        <v>0</v>
      </c>
      <c r="BM3" s="134">
        <f t="shared" si="15"/>
        <v>0</v>
      </c>
      <c r="BN3" s="134">
        <f t="shared" si="15"/>
        <v>0</v>
      </c>
      <c r="BO3" s="134">
        <f>VLOOKUP(BO2,$AL:$AS,3,0)</f>
        <v>0</v>
      </c>
      <c r="BP3" s="134">
        <f>VLOOKUP(BP2,$AL:$AS,3,0)</f>
        <v>264</v>
      </c>
      <c r="BQ3" s="134">
        <f>VLOOKUP(BQ2,$AL:$AS,3,0)</f>
        <v>28</v>
      </c>
      <c r="BR3" s="134">
        <f>VLOOKUP(BR2,$AL:$AS,3,0)</f>
        <v>28</v>
      </c>
      <c r="BS3" s="134">
        <f t="shared" ref="BS3" si="16">VLOOKUP(BS2,$AL:$AS,3,0)</f>
        <v>0</v>
      </c>
      <c r="BT3" s="134">
        <f t="shared" ref="BT3:BU3" si="17">VLOOKUP(BT2,$AL:$AS,3,0)</f>
        <v>0</v>
      </c>
      <c r="BU3" s="134" t="e">
        <f t="shared" si="17"/>
        <v>#N/A</v>
      </c>
      <c r="BV3" s="134"/>
      <c r="BW3" s="34" t="s">
        <v>603</v>
      </c>
      <c r="BX3" s="34"/>
      <c r="BY3" s="34"/>
      <c r="BZ3" s="134" t="e">
        <f>VLOOKUP(BZ2,$AL:$AS,8,0)</f>
        <v>#N/A</v>
      </c>
      <c r="CA3" s="134" t="e">
        <f t="shared" ref="CA3:CK3" si="18">VLOOKUP(CA2,$AL:$AS,8,0)</f>
        <v>#N/A</v>
      </c>
      <c r="CB3" s="134" t="e">
        <f t="shared" si="18"/>
        <v>#N/A</v>
      </c>
      <c r="CC3" s="134" t="e">
        <f t="shared" si="18"/>
        <v>#N/A</v>
      </c>
      <c r="CD3" s="134">
        <f t="shared" si="18"/>
        <v>0</v>
      </c>
      <c r="CE3" s="134">
        <f t="shared" si="18"/>
        <v>0</v>
      </c>
      <c r="CF3" s="134">
        <f t="shared" si="18"/>
        <v>0</v>
      </c>
      <c r="CG3" s="134">
        <f t="shared" si="18"/>
        <v>0</v>
      </c>
      <c r="CH3" s="134">
        <f t="shared" si="18"/>
        <v>0</v>
      </c>
      <c r="CI3" s="134">
        <f t="shared" si="18"/>
        <v>0</v>
      </c>
      <c r="CJ3" s="134">
        <f t="shared" si="18"/>
        <v>0</v>
      </c>
      <c r="CK3" s="134">
        <f t="shared" si="18"/>
        <v>0</v>
      </c>
      <c r="CL3" s="134" t="e">
        <f>VLOOKUP(CL2,$AL:$AS,3,0)</f>
        <v>#N/A</v>
      </c>
      <c r="CM3" s="134" t="e">
        <f t="shared" ref="CM3:CR3" si="19">VLOOKUP(CM2,$AL:$AS,3,0)</f>
        <v>#N/A</v>
      </c>
      <c r="CN3" s="134">
        <f t="shared" si="19"/>
        <v>0</v>
      </c>
      <c r="CO3" s="134">
        <f t="shared" si="19"/>
        <v>0</v>
      </c>
      <c r="CP3" s="134">
        <f t="shared" si="19"/>
        <v>0</v>
      </c>
      <c r="CQ3" s="134">
        <f t="shared" si="19"/>
        <v>0</v>
      </c>
      <c r="CR3" s="134" t="e">
        <f t="shared" si="19"/>
        <v>#N/A</v>
      </c>
      <c r="CW3">
        <f>ImpliedVolatility("C",17540,17500,5%,2/365,0,104,16%)</f>
        <v>0.15388393050553298</v>
      </c>
      <c r="DC3" s="162">
        <v>0.15379999999999999</v>
      </c>
    </row>
    <row r="4" spans="1:16384">
      <c r="A4" s="61" t="s">
        <v>544</v>
      </c>
      <c r="B4" s="61">
        <v>400</v>
      </c>
      <c r="I4" s="35"/>
      <c r="J4" s="134"/>
      <c r="L4" s="35"/>
      <c r="M4" s="35"/>
      <c r="N4" s="67"/>
      <c r="S4" s="72"/>
      <c r="T4" s="72"/>
      <c r="U4" s="72"/>
      <c r="V4" s="72"/>
      <c r="W4" s="72"/>
      <c r="X4" s="72"/>
      <c r="Y4" s="72"/>
      <c r="Z4" s="72"/>
      <c r="AA4" s="72"/>
      <c r="AB4" s="72"/>
      <c r="AC4" s="72"/>
      <c r="AD4" s="72"/>
      <c r="AE4" s="72"/>
      <c r="AF4" s="72"/>
      <c r="AG4" s="72"/>
      <c r="AI4" s="35">
        <f t="shared" si="10"/>
        <v>1.0317043375888499</v>
      </c>
      <c r="AJ4" t="b">
        <f t="shared" si="9"/>
        <v>0</v>
      </c>
      <c r="AK4" s="158">
        <v>44616</v>
      </c>
      <c r="AL4" s="139">
        <f t="shared" si="11"/>
        <v>16300</v>
      </c>
      <c r="AM4" s="34">
        <v>500</v>
      </c>
      <c r="AN4" s="137">
        <v>1433.8</v>
      </c>
      <c r="AO4" s="34">
        <v>0.91</v>
      </c>
      <c r="AP4" s="139">
        <v>16300</v>
      </c>
      <c r="AQ4" s="34">
        <v>20.82</v>
      </c>
      <c r="AR4" t="s">
        <v>502</v>
      </c>
      <c r="AS4" s="138">
        <v>50.15</v>
      </c>
      <c r="AT4" s="34">
        <v>-0.09</v>
      </c>
      <c r="AU4" s="34">
        <v>225650</v>
      </c>
      <c r="AV4" s="34">
        <v>-2.75</v>
      </c>
      <c r="AW4" s="34">
        <v>8.99</v>
      </c>
      <c r="AX4" s="34">
        <v>1.4999999999999999E-4</v>
      </c>
      <c r="AZ4" t="s">
        <v>602</v>
      </c>
      <c r="BC4" s="34"/>
      <c r="BD4" s="34"/>
      <c r="BE4" s="34"/>
      <c r="BF4" s="34"/>
      <c r="BG4" s="34">
        <v>24</v>
      </c>
      <c r="BH4" s="34">
        <v>34</v>
      </c>
      <c r="BI4" s="34">
        <v>274</v>
      </c>
      <c r="BJ4" s="34"/>
      <c r="BK4" s="34"/>
      <c r="BL4" s="34"/>
      <c r="BM4" s="34"/>
      <c r="BN4" s="34"/>
      <c r="BO4" s="34"/>
      <c r="BP4" s="34">
        <v>264</v>
      </c>
      <c r="BQ4" s="34">
        <v>28</v>
      </c>
      <c r="BR4" s="34">
        <v>28</v>
      </c>
      <c r="BS4" s="34"/>
      <c r="BT4" s="34"/>
      <c r="BU4" s="34"/>
      <c r="BV4" s="134"/>
      <c r="BZ4" s="34"/>
      <c r="CA4" s="34"/>
      <c r="CB4" s="34"/>
      <c r="CC4" s="34"/>
      <c r="CD4" s="34"/>
      <c r="CE4" s="34"/>
      <c r="CF4" s="34"/>
      <c r="CG4" s="34"/>
      <c r="CH4" s="34"/>
      <c r="CI4" s="34"/>
      <c r="CJ4" s="34"/>
      <c r="CK4" s="34"/>
      <c r="CL4" s="34"/>
      <c r="CM4" s="34"/>
      <c r="CN4" s="34"/>
      <c r="CO4" s="34"/>
      <c r="CP4" s="34"/>
      <c r="CQ4" s="34"/>
      <c r="CR4" s="34"/>
      <c r="CW4">
        <v>79</v>
      </c>
      <c r="CX4">
        <v>74</v>
      </c>
    </row>
    <row r="5" spans="1:16384">
      <c r="A5" s="61" t="s">
        <v>545</v>
      </c>
      <c r="B5" s="68">
        <f>1-B4/B2</f>
        <v>0.9746821021450589</v>
      </c>
      <c r="I5" s="35"/>
      <c r="J5" s="134"/>
      <c r="L5" s="35"/>
      <c r="M5" s="35"/>
      <c r="N5" s="67"/>
      <c r="S5" s="72"/>
      <c r="T5" s="72"/>
      <c r="U5" s="72"/>
      <c r="V5" s="72"/>
      <c r="W5" s="72"/>
      <c r="X5" s="72"/>
      <c r="Y5" s="72"/>
      <c r="Z5" s="72"/>
      <c r="AA5" s="72"/>
      <c r="AB5" s="72"/>
      <c r="AC5" s="72"/>
      <c r="AD5" s="72"/>
      <c r="AE5" s="72"/>
      <c r="AF5" s="72"/>
      <c r="AG5" s="72"/>
      <c r="AI5" s="35">
        <f t="shared" si="10"/>
        <v>1.0348690748207177</v>
      </c>
      <c r="AJ5" t="b">
        <f t="shared" si="9"/>
        <v>0</v>
      </c>
      <c r="AK5" s="158">
        <v>44616</v>
      </c>
      <c r="AL5" s="139">
        <f t="shared" si="11"/>
        <v>16350</v>
      </c>
      <c r="AM5" s="34">
        <v>0</v>
      </c>
      <c r="AN5" s="137">
        <v>0</v>
      </c>
      <c r="AO5" s="34">
        <v>0.9</v>
      </c>
      <c r="AP5" s="139">
        <v>16350</v>
      </c>
      <c r="AQ5" s="34">
        <v>20.93</v>
      </c>
      <c r="AR5" t="s">
        <v>502</v>
      </c>
      <c r="AS5" s="138">
        <v>56.55</v>
      </c>
      <c r="AT5" s="34">
        <v>-0.1</v>
      </c>
      <c r="AU5" s="34">
        <v>1550</v>
      </c>
      <c r="AV5" s="34">
        <v>-2.97</v>
      </c>
      <c r="AW5" s="34">
        <v>9.64</v>
      </c>
      <c r="AX5" s="34">
        <v>1.6000000000000001E-4</v>
      </c>
      <c r="AZ5" t="s">
        <v>3</v>
      </c>
      <c r="BA5" s="34"/>
      <c r="BC5" s="34"/>
      <c r="BD5" s="134"/>
      <c r="BE5" s="134"/>
      <c r="BF5" s="134"/>
      <c r="BG5" s="134">
        <v>-750</v>
      </c>
      <c r="BH5" s="134">
        <v>-750</v>
      </c>
      <c r="BI5" s="134">
        <v>50</v>
      </c>
      <c r="BJ5" s="134"/>
      <c r="BK5" s="134"/>
      <c r="BL5" s="134"/>
      <c r="BM5" s="134"/>
      <c r="BN5" s="134"/>
      <c r="BO5" s="134"/>
      <c r="BP5" s="134">
        <v>50</v>
      </c>
      <c r="BQ5" s="134">
        <v>-1500</v>
      </c>
      <c r="BR5" s="134">
        <v>0</v>
      </c>
      <c r="BS5" s="134"/>
      <c r="BT5" s="134"/>
      <c r="BU5" s="134"/>
      <c r="BV5" s="134"/>
      <c r="BX5" s="34"/>
      <c r="BZ5" s="34"/>
      <c r="CA5" s="134"/>
      <c r="CB5" s="134"/>
      <c r="CC5" s="134"/>
      <c r="CD5" s="134"/>
      <c r="CE5" s="134"/>
      <c r="CF5" s="134"/>
      <c r="CG5" s="134"/>
      <c r="CH5" s="134"/>
      <c r="CI5" s="134"/>
      <c r="CJ5" s="134"/>
      <c r="CK5" s="134"/>
      <c r="CL5" s="134"/>
      <c r="CM5" s="134"/>
      <c r="CN5" s="134"/>
      <c r="CO5" s="134"/>
      <c r="CP5" s="134"/>
      <c r="CQ5" s="134"/>
      <c r="CR5" s="134"/>
      <c r="CW5" t="s">
        <v>481</v>
      </c>
      <c r="CX5" t="s">
        <v>482</v>
      </c>
    </row>
    <row r="6" spans="1:16384" s="33" customFormat="1">
      <c r="A6" s="61" t="s">
        <v>78</v>
      </c>
      <c r="B6" s="69">
        <v>44483</v>
      </c>
      <c r="C6" s="65"/>
      <c r="D6"/>
      <c r="E6"/>
      <c r="F6"/>
      <c r="G6" s="34"/>
      <c r="H6" s="34"/>
      <c r="I6" s="35"/>
      <c r="J6" s="134"/>
      <c r="K6" s="34"/>
      <c r="L6" s="35"/>
      <c r="M6" s="35"/>
      <c r="N6" s="67"/>
      <c r="O6" s="34"/>
      <c r="P6" s="34"/>
      <c r="Q6" s="34"/>
      <c r="R6" s="34"/>
      <c r="S6" s="72"/>
      <c r="T6" s="72"/>
      <c r="U6" s="72"/>
      <c r="V6" s="72"/>
      <c r="W6" s="72"/>
      <c r="X6" s="72"/>
      <c r="Y6" s="72"/>
      <c r="Z6" s="72"/>
      <c r="AA6" s="72"/>
      <c r="AB6" s="72"/>
      <c r="AC6" s="72"/>
      <c r="AD6" s="72"/>
      <c r="AE6" s="72"/>
      <c r="AF6" s="72"/>
      <c r="AG6" s="72"/>
      <c r="AH6"/>
      <c r="AI6" s="35">
        <f t="shared" si="10"/>
        <v>1.0380338120525852</v>
      </c>
      <c r="AJ6" t="b">
        <f t="shared" si="9"/>
        <v>0</v>
      </c>
      <c r="AK6" s="158">
        <v>44616</v>
      </c>
      <c r="AL6" s="139">
        <f t="shared" si="11"/>
        <v>16400</v>
      </c>
      <c r="AM6" s="34">
        <v>650</v>
      </c>
      <c r="AN6" s="137">
        <v>1258.1500000000001</v>
      </c>
      <c r="AO6" s="34">
        <v>0.9</v>
      </c>
      <c r="AP6" s="139">
        <v>16400</v>
      </c>
      <c r="AQ6" s="34">
        <v>19.7</v>
      </c>
      <c r="AR6" t="s">
        <v>502</v>
      </c>
      <c r="AS6" s="138">
        <v>50.5</v>
      </c>
      <c r="AT6" s="34">
        <v>-0.1</v>
      </c>
      <c r="AU6" s="34">
        <v>351300</v>
      </c>
      <c r="AV6" s="34">
        <v>-2.71</v>
      </c>
      <c r="AW6" s="34">
        <v>9.35</v>
      </c>
      <c r="AX6" s="34">
        <v>1.6000000000000001E-4</v>
      </c>
      <c r="AY6"/>
      <c r="AZ6" t="s">
        <v>117</v>
      </c>
      <c r="BA6" s="34">
        <f>SUM(BC6:BU6)</f>
        <v>-3547330.5</v>
      </c>
      <c r="BB6"/>
      <c r="BC6" s="134">
        <f t="shared" ref="BC6:BO6" si="20">67000*BC5/50</f>
        <v>0</v>
      </c>
      <c r="BD6" s="134">
        <f t="shared" si="20"/>
        <v>0</v>
      </c>
      <c r="BE6" s="134">
        <f t="shared" si="20"/>
        <v>0</v>
      </c>
      <c r="BF6" s="134">
        <f t="shared" si="20"/>
        <v>0</v>
      </c>
      <c r="BG6" s="134">
        <f t="shared" si="20"/>
        <v>-1005000</v>
      </c>
      <c r="BH6" s="134">
        <f>81897*BH5/50/2</f>
        <v>-614227.5</v>
      </c>
      <c r="BI6" s="134">
        <f>81897*BI5/50/2</f>
        <v>40948.5</v>
      </c>
      <c r="BJ6" s="134">
        <f t="shared" si="20"/>
        <v>0</v>
      </c>
      <c r="BK6" s="134">
        <f t="shared" si="20"/>
        <v>0</v>
      </c>
      <c r="BL6" s="134">
        <f t="shared" si="20"/>
        <v>0</v>
      </c>
      <c r="BM6" s="134">
        <f t="shared" si="20"/>
        <v>0</v>
      </c>
      <c r="BN6" s="134">
        <f t="shared" si="20"/>
        <v>0</v>
      </c>
      <c r="BO6" s="134">
        <f t="shared" si="20"/>
        <v>0</v>
      </c>
      <c r="BP6" s="134">
        <f>81897*BP5/50/2</f>
        <v>40948.5</v>
      </c>
      <c r="BQ6" s="134">
        <f t="shared" ref="BQ6" si="21">67000*BQ5/50</f>
        <v>-2010000</v>
      </c>
      <c r="BR6" s="134">
        <f t="shared" ref="BR6" si="22">67000*BR5/50</f>
        <v>0</v>
      </c>
      <c r="BS6" s="134">
        <f>67000*BS5/50</f>
        <v>0</v>
      </c>
      <c r="BT6"/>
      <c r="BU6" s="134"/>
      <c r="BV6" s="134"/>
      <c r="BW6" t="s">
        <v>117</v>
      </c>
      <c r="BX6" s="34"/>
      <c r="BY6"/>
      <c r="BZ6" s="34"/>
      <c r="CA6" s="134">
        <f>50000*CA5/25</f>
        <v>0</v>
      </c>
      <c r="CB6" s="134">
        <f t="shared" ref="CB6:CC6" si="23">50000*CB5/25</f>
        <v>0</v>
      </c>
      <c r="CC6" s="134">
        <f t="shared" si="23"/>
        <v>0</v>
      </c>
      <c r="CD6" s="134">
        <f t="shared" ref="CD6" si="24">50000*CD5/25</f>
        <v>0</v>
      </c>
      <c r="CE6" s="134">
        <f t="shared" ref="CE6" si="25">50000*CE5/25</f>
        <v>0</v>
      </c>
      <c r="CF6" s="134">
        <f t="shared" ref="CF6" si="26">50000*CF5/25</f>
        <v>0</v>
      </c>
      <c r="CG6" s="134">
        <f t="shared" ref="CG6" si="27">50000*CG5/25</f>
        <v>0</v>
      </c>
      <c r="CH6" s="134">
        <f t="shared" ref="CH6" si="28">50000*CH5/25</f>
        <v>0</v>
      </c>
      <c r="CI6" s="134">
        <f t="shared" ref="CI6" si="29">50000*CI5/25</f>
        <v>0</v>
      </c>
      <c r="CJ6" s="134">
        <f t="shared" ref="CJ6" si="30">50000*CJ5/25</f>
        <v>0</v>
      </c>
      <c r="CK6" s="134">
        <f t="shared" ref="CK6" si="31">50000*CK5/25</f>
        <v>0</v>
      </c>
      <c r="CL6" s="134">
        <f t="shared" ref="CL6" si="32">50000*CL5/25</f>
        <v>0</v>
      </c>
      <c r="CM6" s="134">
        <f t="shared" ref="CM6" si="33">50000*CM5/25</f>
        <v>0</v>
      </c>
      <c r="CN6"/>
      <c r="CO6"/>
      <c r="CP6"/>
      <c r="CQ6"/>
      <c r="CR6" s="134"/>
      <c r="CS6"/>
      <c r="CT6"/>
      <c r="CU6"/>
      <c r="CV6"/>
      <c r="CW6">
        <v>17550</v>
      </c>
      <c r="CX6">
        <v>17550</v>
      </c>
      <c r="CY6"/>
      <c r="CZ6"/>
      <c r="DA6"/>
      <c r="DB6" s="34"/>
      <c r="DC6" s="34"/>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c r="BFZ6"/>
      <c r="BGA6"/>
      <c r="BGB6"/>
      <c r="BGC6"/>
      <c r="BGD6"/>
      <c r="BGE6"/>
      <c r="BGF6"/>
      <c r="BGG6"/>
      <c r="BGH6"/>
      <c r="BGI6"/>
      <c r="BGJ6"/>
      <c r="BGK6"/>
      <c r="BGL6"/>
      <c r="BGM6"/>
      <c r="BGN6"/>
      <c r="BGO6"/>
      <c r="BGP6"/>
      <c r="BGQ6"/>
      <c r="BGR6"/>
      <c r="BGS6"/>
      <c r="BGT6"/>
      <c r="BGU6"/>
      <c r="BGV6"/>
      <c r="BGW6"/>
      <c r="BGX6"/>
      <c r="BGY6"/>
      <c r="BGZ6"/>
      <c r="BHA6"/>
      <c r="BHB6"/>
      <c r="BHC6"/>
      <c r="BHD6"/>
      <c r="BHE6"/>
      <c r="BHF6"/>
      <c r="BHG6"/>
      <c r="BHH6"/>
      <c r="BHI6"/>
      <c r="BHJ6"/>
      <c r="BHK6"/>
      <c r="BHL6"/>
      <c r="BHM6"/>
      <c r="BHN6"/>
      <c r="BHO6"/>
      <c r="BHP6"/>
      <c r="BHQ6"/>
      <c r="BHR6"/>
      <c r="BHS6"/>
      <c r="BHT6"/>
      <c r="BHU6"/>
      <c r="BHV6"/>
      <c r="BHW6"/>
      <c r="BHX6"/>
      <c r="BHY6"/>
      <c r="BHZ6"/>
      <c r="BIA6"/>
      <c r="BIB6"/>
      <c r="BIC6"/>
      <c r="BID6"/>
      <c r="BIE6"/>
      <c r="BIF6"/>
      <c r="BIG6"/>
      <c r="BIH6"/>
      <c r="BII6"/>
      <c r="BIJ6"/>
      <c r="BIK6"/>
      <c r="BIL6"/>
      <c r="BIM6"/>
      <c r="BIN6"/>
      <c r="BIO6"/>
      <c r="BIP6"/>
      <c r="BIQ6"/>
      <c r="BIR6"/>
      <c r="BIS6"/>
      <c r="BIT6"/>
      <c r="BIU6"/>
      <c r="BIV6"/>
      <c r="BIW6"/>
      <c r="BIX6"/>
      <c r="BIY6"/>
      <c r="BIZ6"/>
      <c r="BJA6"/>
      <c r="BJB6"/>
      <c r="BJC6"/>
      <c r="BJD6"/>
      <c r="BJE6"/>
      <c r="BJF6"/>
      <c r="BJG6"/>
      <c r="BJH6"/>
      <c r="BJI6"/>
      <c r="BJJ6"/>
      <c r="BJK6"/>
      <c r="BJL6"/>
      <c r="BJM6"/>
      <c r="BJN6"/>
      <c r="BJO6"/>
      <c r="BJP6"/>
      <c r="BJQ6"/>
      <c r="BJR6"/>
      <c r="BJS6"/>
      <c r="BJT6"/>
      <c r="BJU6"/>
      <c r="BJV6"/>
      <c r="BJW6"/>
      <c r="BJX6"/>
      <c r="BJY6"/>
      <c r="BJZ6"/>
      <c r="BKA6"/>
      <c r="BKB6"/>
      <c r="BKC6"/>
      <c r="BKD6"/>
      <c r="BKE6"/>
      <c r="BKF6"/>
      <c r="BKG6"/>
      <c r="BKH6"/>
      <c r="BKI6"/>
      <c r="BKJ6"/>
      <c r="BKK6"/>
      <c r="BKL6"/>
      <c r="BKM6"/>
      <c r="BKN6"/>
      <c r="BKO6"/>
      <c r="BKP6"/>
      <c r="BKQ6"/>
      <c r="BKR6"/>
      <c r="BKS6"/>
      <c r="BKT6"/>
      <c r="BKU6"/>
      <c r="BKV6"/>
      <c r="BKW6"/>
      <c r="BKX6"/>
      <c r="BKY6"/>
      <c r="BKZ6"/>
      <c r="BLA6"/>
      <c r="BLB6"/>
      <c r="BLC6"/>
      <c r="BLD6"/>
      <c r="BLE6"/>
      <c r="BLF6"/>
      <c r="BLG6"/>
      <c r="BLH6"/>
      <c r="BLI6"/>
      <c r="BLJ6"/>
      <c r="BLK6"/>
      <c r="BLL6"/>
      <c r="BLM6"/>
      <c r="BLN6"/>
      <c r="BLO6"/>
      <c r="BLP6"/>
      <c r="BLQ6"/>
      <c r="BLR6"/>
      <c r="BLS6"/>
      <c r="BLT6"/>
      <c r="BLU6"/>
      <c r="BLV6"/>
      <c r="BLW6"/>
      <c r="BLX6"/>
      <c r="BLY6"/>
      <c r="BLZ6"/>
      <c r="BMA6"/>
      <c r="BMB6"/>
      <c r="BMC6"/>
      <c r="BMD6"/>
      <c r="BME6"/>
      <c r="BMF6"/>
      <c r="BMG6"/>
      <c r="BMH6"/>
      <c r="BMI6"/>
      <c r="BMJ6"/>
      <c r="BMK6"/>
      <c r="BML6"/>
      <c r="BMM6"/>
      <c r="BMN6"/>
      <c r="BMO6"/>
      <c r="BMP6"/>
      <c r="BMQ6"/>
      <c r="BMR6"/>
      <c r="BMS6"/>
      <c r="BMT6"/>
      <c r="BMU6"/>
      <c r="BMV6"/>
      <c r="BMW6"/>
      <c r="BMX6"/>
      <c r="BMY6"/>
      <c r="BMZ6"/>
      <c r="BNA6"/>
      <c r="BNB6"/>
      <c r="BNC6"/>
      <c r="BND6"/>
      <c r="BNE6"/>
      <c r="BNF6"/>
      <c r="BNG6"/>
      <c r="BNH6"/>
      <c r="BNI6"/>
      <c r="BNJ6"/>
      <c r="BNK6"/>
      <c r="BNL6"/>
      <c r="BNM6"/>
      <c r="BNN6"/>
      <c r="BNO6"/>
      <c r="BNP6"/>
      <c r="BNQ6"/>
      <c r="BNR6"/>
      <c r="BNS6"/>
      <c r="BNT6"/>
      <c r="BNU6"/>
      <c r="BNV6"/>
      <c r="BNW6"/>
      <c r="BNX6"/>
      <c r="BNY6"/>
      <c r="BNZ6"/>
      <c r="BOA6"/>
      <c r="BOB6"/>
      <c r="BOC6"/>
      <c r="BOD6"/>
      <c r="BOE6"/>
      <c r="BOF6"/>
      <c r="BOG6"/>
      <c r="BOH6"/>
      <c r="BOI6"/>
      <c r="BOJ6"/>
      <c r="BOK6"/>
      <c r="BOL6"/>
      <c r="BOM6"/>
      <c r="BON6"/>
      <c r="BOO6"/>
      <c r="BOP6"/>
      <c r="BOQ6"/>
      <c r="BOR6"/>
      <c r="BOS6"/>
      <c r="BOT6"/>
      <c r="BOU6"/>
      <c r="BOV6"/>
      <c r="BOW6"/>
      <c r="BOX6"/>
      <c r="BOY6"/>
      <c r="BOZ6"/>
      <c r="BPA6"/>
      <c r="BPB6"/>
      <c r="BPC6"/>
      <c r="BPD6"/>
      <c r="BPE6"/>
      <c r="BPF6"/>
      <c r="BPG6"/>
      <c r="BPH6"/>
      <c r="BPI6"/>
      <c r="BPJ6"/>
      <c r="BPK6"/>
      <c r="BPL6"/>
      <c r="BPM6"/>
      <c r="BPN6"/>
      <c r="BPO6"/>
      <c r="BPP6"/>
      <c r="BPQ6"/>
      <c r="BPR6"/>
      <c r="BPS6"/>
      <c r="BPT6"/>
      <c r="BPU6"/>
      <c r="BPV6"/>
      <c r="BPW6"/>
      <c r="BPX6"/>
      <c r="BPY6"/>
      <c r="BPZ6"/>
      <c r="BQA6"/>
      <c r="BQB6"/>
      <c r="BQC6"/>
      <c r="BQD6"/>
      <c r="BQE6"/>
      <c r="BQF6"/>
      <c r="BQG6"/>
      <c r="BQH6"/>
      <c r="BQI6"/>
      <c r="BQJ6"/>
      <c r="BQK6"/>
      <c r="BQL6"/>
      <c r="BQM6"/>
      <c r="BQN6"/>
      <c r="BQO6"/>
      <c r="BQP6"/>
      <c r="BQQ6"/>
      <c r="BQR6"/>
      <c r="BQS6"/>
      <c r="BQT6"/>
      <c r="BQU6"/>
      <c r="BQV6"/>
      <c r="BQW6"/>
      <c r="BQX6"/>
      <c r="BQY6"/>
      <c r="BQZ6"/>
      <c r="BRA6"/>
      <c r="BRB6"/>
      <c r="BRC6"/>
      <c r="BRD6"/>
      <c r="BRE6"/>
      <c r="BRF6"/>
      <c r="BRG6"/>
      <c r="BRH6"/>
      <c r="BRI6"/>
      <c r="BRJ6"/>
      <c r="BRK6"/>
      <c r="BRL6"/>
      <c r="BRM6"/>
      <c r="BRN6"/>
      <c r="BRO6"/>
      <c r="BRP6"/>
      <c r="BRQ6"/>
      <c r="BRR6"/>
      <c r="BRS6"/>
      <c r="BRT6"/>
      <c r="BRU6"/>
      <c r="BRV6"/>
      <c r="BRW6"/>
      <c r="BRX6"/>
      <c r="BRY6"/>
      <c r="BRZ6"/>
      <c r="BSA6"/>
      <c r="BSB6"/>
      <c r="BSC6"/>
      <c r="BSD6"/>
      <c r="BSE6"/>
      <c r="BSF6"/>
      <c r="BSG6"/>
      <c r="BSH6"/>
      <c r="BSI6"/>
      <c r="BSJ6"/>
      <c r="BSK6"/>
      <c r="BSL6"/>
      <c r="BSM6"/>
      <c r="BSN6"/>
      <c r="BSO6"/>
      <c r="BSP6"/>
      <c r="BSQ6"/>
      <c r="BSR6"/>
      <c r="BSS6"/>
      <c r="BST6"/>
      <c r="BSU6"/>
      <c r="BSV6"/>
      <c r="BSW6"/>
      <c r="BSX6"/>
      <c r="BSY6"/>
      <c r="BSZ6"/>
      <c r="BTA6"/>
      <c r="BTB6"/>
      <c r="BTC6"/>
      <c r="BTD6"/>
      <c r="BTE6"/>
      <c r="BTF6"/>
      <c r="BTG6"/>
      <c r="BTH6"/>
      <c r="BTI6"/>
      <c r="BTJ6"/>
      <c r="BTK6"/>
      <c r="BTL6"/>
      <c r="BTM6"/>
      <c r="BTN6"/>
      <c r="BTO6"/>
      <c r="BTP6"/>
      <c r="BTQ6"/>
      <c r="BTR6"/>
      <c r="BTS6"/>
      <c r="BTT6"/>
      <c r="BTU6"/>
      <c r="BTV6"/>
      <c r="BTW6"/>
      <c r="BTX6"/>
      <c r="BTY6"/>
      <c r="BTZ6"/>
      <c r="BUA6"/>
      <c r="BUB6"/>
      <c r="BUC6"/>
      <c r="BUD6"/>
      <c r="BUE6"/>
      <c r="BUF6"/>
      <c r="BUG6"/>
      <c r="BUH6"/>
      <c r="BUI6"/>
      <c r="BUJ6"/>
      <c r="BUK6"/>
      <c r="BUL6"/>
      <c r="BUM6"/>
      <c r="BUN6"/>
      <c r="BUO6"/>
      <c r="BUP6"/>
      <c r="BUQ6"/>
      <c r="BUR6"/>
      <c r="BUS6"/>
      <c r="BUT6"/>
      <c r="BUU6"/>
      <c r="BUV6"/>
      <c r="BUW6"/>
      <c r="BUX6"/>
      <c r="BUY6"/>
      <c r="BUZ6"/>
      <c r="BVA6"/>
      <c r="BVB6"/>
      <c r="BVC6"/>
      <c r="BVD6"/>
      <c r="BVE6"/>
      <c r="BVF6"/>
      <c r="BVG6"/>
      <c r="BVH6"/>
      <c r="BVI6"/>
      <c r="BVJ6"/>
      <c r="BVK6"/>
      <c r="BVL6"/>
      <c r="BVM6"/>
      <c r="BVN6"/>
      <c r="BVO6"/>
      <c r="BVP6"/>
      <c r="BVQ6"/>
      <c r="BVR6"/>
      <c r="BVS6"/>
      <c r="BVT6"/>
      <c r="BVU6"/>
      <c r="BVV6"/>
      <c r="BVW6"/>
      <c r="BVX6"/>
      <c r="BVY6"/>
      <c r="BVZ6"/>
      <c r="BWA6"/>
      <c r="BWB6"/>
      <c r="BWC6"/>
      <c r="BWD6"/>
      <c r="BWE6"/>
      <c r="BWF6"/>
      <c r="BWG6"/>
      <c r="BWH6"/>
      <c r="BWI6"/>
      <c r="BWJ6"/>
      <c r="BWK6"/>
      <c r="BWL6"/>
      <c r="BWM6"/>
      <c r="BWN6"/>
      <c r="BWO6"/>
      <c r="BWP6"/>
      <c r="BWQ6"/>
      <c r="BWR6"/>
      <c r="BWS6"/>
      <c r="BWT6"/>
      <c r="BWU6"/>
      <c r="BWV6"/>
      <c r="BWW6"/>
      <c r="BWX6"/>
      <c r="BWY6"/>
      <c r="BWZ6"/>
      <c r="BXA6"/>
      <c r="BXB6"/>
      <c r="BXC6"/>
      <c r="BXD6"/>
      <c r="BXE6"/>
      <c r="BXF6"/>
      <c r="BXG6"/>
      <c r="BXH6"/>
      <c r="BXI6"/>
      <c r="BXJ6"/>
      <c r="BXK6"/>
      <c r="BXL6"/>
      <c r="BXM6"/>
      <c r="BXN6"/>
      <c r="BXO6"/>
      <c r="BXP6"/>
      <c r="BXQ6"/>
      <c r="BXR6"/>
      <c r="BXS6"/>
      <c r="BXT6"/>
      <c r="BXU6"/>
      <c r="BXV6"/>
      <c r="BXW6"/>
      <c r="BXX6"/>
      <c r="BXY6"/>
      <c r="BXZ6"/>
      <c r="BYA6"/>
      <c r="BYB6"/>
      <c r="BYC6"/>
      <c r="BYD6"/>
      <c r="BYE6"/>
      <c r="BYF6"/>
      <c r="BYG6"/>
      <c r="BYH6"/>
      <c r="BYI6"/>
      <c r="BYJ6"/>
      <c r="BYK6"/>
      <c r="BYL6"/>
      <c r="BYM6"/>
      <c r="BYN6"/>
      <c r="BYO6"/>
      <c r="BYP6"/>
      <c r="BYQ6"/>
      <c r="BYR6"/>
      <c r="BYS6"/>
      <c r="BYT6"/>
      <c r="BYU6"/>
      <c r="BYV6"/>
      <c r="BYW6"/>
      <c r="BYX6"/>
      <c r="BYY6"/>
      <c r="BYZ6"/>
      <c r="BZA6"/>
      <c r="BZB6"/>
      <c r="BZC6"/>
      <c r="BZD6"/>
      <c r="BZE6"/>
      <c r="BZF6"/>
      <c r="BZG6"/>
      <c r="BZH6"/>
      <c r="BZI6"/>
      <c r="BZJ6"/>
      <c r="BZK6"/>
      <c r="BZL6"/>
      <c r="BZM6"/>
      <c r="BZN6"/>
      <c r="BZO6"/>
      <c r="BZP6"/>
      <c r="BZQ6"/>
      <c r="BZR6"/>
      <c r="BZS6"/>
      <c r="BZT6"/>
      <c r="BZU6"/>
      <c r="BZV6"/>
      <c r="BZW6"/>
      <c r="BZX6"/>
      <c r="BZY6"/>
      <c r="BZZ6"/>
      <c r="CAA6"/>
      <c r="CAB6"/>
      <c r="CAC6"/>
      <c r="CAD6"/>
      <c r="CAE6"/>
      <c r="CAF6"/>
      <c r="CAG6"/>
      <c r="CAH6"/>
      <c r="CAI6"/>
      <c r="CAJ6"/>
      <c r="CAK6"/>
      <c r="CAL6"/>
      <c r="CAM6"/>
      <c r="CAN6"/>
      <c r="CAO6"/>
      <c r="CAP6"/>
      <c r="CAQ6"/>
      <c r="CAR6"/>
      <c r="CAS6"/>
      <c r="CAT6"/>
      <c r="CAU6"/>
      <c r="CAV6"/>
      <c r="CAW6"/>
      <c r="CAX6"/>
      <c r="CAY6"/>
      <c r="CAZ6"/>
      <c r="CBA6"/>
      <c r="CBB6"/>
      <c r="CBC6"/>
      <c r="CBD6"/>
      <c r="CBE6"/>
      <c r="CBF6"/>
      <c r="CBG6"/>
      <c r="CBH6"/>
      <c r="CBI6"/>
      <c r="CBJ6"/>
      <c r="CBK6"/>
      <c r="CBL6"/>
      <c r="CBM6"/>
      <c r="CBN6"/>
      <c r="CBO6"/>
      <c r="CBP6"/>
      <c r="CBQ6"/>
      <c r="CBR6"/>
      <c r="CBS6"/>
      <c r="CBT6"/>
      <c r="CBU6"/>
      <c r="CBV6"/>
      <c r="CBW6"/>
      <c r="CBX6"/>
      <c r="CBY6"/>
      <c r="CBZ6"/>
      <c r="CCA6"/>
      <c r="CCB6"/>
      <c r="CCC6"/>
      <c r="CCD6"/>
      <c r="CCE6"/>
      <c r="CCF6"/>
      <c r="CCG6"/>
      <c r="CCH6"/>
      <c r="CCI6"/>
      <c r="CCJ6"/>
      <c r="CCK6"/>
      <c r="CCL6"/>
      <c r="CCM6"/>
      <c r="CCN6"/>
      <c r="CCO6"/>
      <c r="CCP6"/>
      <c r="CCQ6"/>
      <c r="CCR6"/>
      <c r="CCS6"/>
      <c r="CCT6"/>
      <c r="CCU6"/>
      <c r="CCV6"/>
      <c r="CCW6"/>
      <c r="CCX6"/>
      <c r="CCY6"/>
      <c r="CCZ6"/>
      <c r="CDA6"/>
      <c r="CDB6"/>
      <c r="CDC6"/>
      <c r="CDD6"/>
      <c r="CDE6"/>
      <c r="CDF6"/>
      <c r="CDG6"/>
      <c r="CDH6"/>
      <c r="CDI6"/>
      <c r="CDJ6"/>
      <c r="CDK6"/>
      <c r="CDL6"/>
      <c r="CDM6"/>
      <c r="CDN6"/>
      <c r="CDO6"/>
      <c r="CDP6"/>
      <c r="CDQ6"/>
      <c r="CDR6"/>
      <c r="CDS6"/>
      <c r="CDT6"/>
      <c r="CDU6"/>
      <c r="CDV6"/>
      <c r="CDW6"/>
      <c r="CDX6"/>
      <c r="CDY6"/>
      <c r="CDZ6"/>
      <c r="CEA6"/>
      <c r="CEB6"/>
      <c r="CEC6"/>
      <c r="CED6"/>
      <c r="CEE6"/>
      <c r="CEF6"/>
      <c r="CEG6"/>
      <c r="CEH6"/>
      <c r="CEI6"/>
      <c r="CEJ6"/>
      <c r="CEK6"/>
      <c r="CEL6"/>
      <c r="CEM6"/>
      <c r="CEN6"/>
      <c r="CEO6"/>
      <c r="CEP6"/>
      <c r="CEQ6"/>
      <c r="CER6"/>
      <c r="CES6"/>
      <c r="CET6"/>
      <c r="CEU6"/>
      <c r="CEV6"/>
      <c r="CEW6"/>
      <c r="CEX6"/>
      <c r="CEY6"/>
      <c r="CEZ6"/>
      <c r="CFA6"/>
      <c r="CFB6"/>
      <c r="CFC6"/>
      <c r="CFD6"/>
      <c r="CFE6"/>
      <c r="CFF6"/>
      <c r="CFG6"/>
      <c r="CFH6"/>
      <c r="CFI6"/>
      <c r="CFJ6"/>
      <c r="CFK6"/>
      <c r="CFL6"/>
      <c r="CFM6"/>
      <c r="CFN6"/>
      <c r="CFO6"/>
      <c r="CFP6"/>
      <c r="CFQ6"/>
      <c r="CFR6"/>
      <c r="CFS6"/>
      <c r="CFT6"/>
      <c r="CFU6"/>
      <c r="CFV6"/>
      <c r="CFW6"/>
      <c r="CFX6"/>
      <c r="CFY6"/>
      <c r="CFZ6"/>
      <c r="CGA6"/>
      <c r="CGB6"/>
      <c r="CGC6"/>
      <c r="CGD6"/>
      <c r="CGE6"/>
      <c r="CGF6"/>
      <c r="CGG6"/>
      <c r="CGH6"/>
      <c r="CGI6"/>
      <c r="CGJ6"/>
      <c r="CGK6"/>
      <c r="CGL6"/>
      <c r="CGM6"/>
      <c r="CGN6"/>
      <c r="CGO6"/>
      <c r="CGP6"/>
      <c r="CGQ6"/>
      <c r="CGR6"/>
      <c r="CGS6"/>
      <c r="CGT6"/>
      <c r="CGU6"/>
      <c r="CGV6"/>
      <c r="CGW6"/>
      <c r="CGX6"/>
      <c r="CGY6"/>
      <c r="CGZ6"/>
      <c r="CHA6"/>
      <c r="CHB6"/>
      <c r="CHC6"/>
      <c r="CHD6"/>
      <c r="CHE6"/>
      <c r="CHF6"/>
      <c r="CHG6"/>
      <c r="CHH6"/>
      <c r="CHI6"/>
      <c r="CHJ6"/>
      <c r="CHK6"/>
      <c r="CHL6"/>
      <c r="CHM6"/>
      <c r="CHN6"/>
      <c r="CHO6"/>
      <c r="CHP6"/>
      <c r="CHQ6"/>
      <c r="CHR6"/>
      <c r="CHS6"/>
      <c r="CHT6"/>
      <c r="CHU6"/>
      <c r="CHV6"/>
      <c r="CHW6"/>
      <c r="CHX6"/>
      <c r="CHY6"/>
      <c r="CHZ6"/>
      <c r="CIA6"/>
      <c r="CIB6"/>
      <c r="CIC6"/>
      <c r="CID6"/>
      <c r="CIE6"/>
      <c r="CIF6"/>
      <c r="CIG6"/>
      <c r="CIH6"/>
      <c r="CII6"/>
      <c r="CIJ6"/>
      <c r="CIK6"/>
      <c r="CIL6"/>
      <c r="CIM6"/>
      <c r="CIN6"/>
      <c r="CIO6"/>
      <c r="CIP6"/>
      <c r="CIQ6"/>
      <c r="CIR6"/>
      <c r="CIS6"/>
      <c r="CIT6"/>
      <c r="CIU6"/>
      <c r="CIV6"/>
      <c r="CIW6"/>
      <c r="CIX6"/>
      <c r="CIY6"/>
      <c r="CIZ6"/>
      <c r="CJA6"/>
      <c r="CJB6"/>
      <c r="CJC6"/>
      <c r="CJD6"/>
      <c r="CJE6"/>
      <c r="CJF6"/>
      <c r="CJG6"/>
      <c r="CJH6"/>
      <c r="CJI6"/>
      <c r="CJJ6"/>
      <c r="CJK6"/>
      <c r="CJL6"/>
      <c r="CJM6"/>
      <c r="CJN6"/>
      <c r="CJO6"/>
      <c r="CJP6"/>
      <c r="CJQ6"/>
      <c r="CJR6"/>
      <c r="CJS6"/>
      <c r="CJT6"/>
      <c r="CJU6"/>
      <c r="CJV6"/>
      <c r="CJW6"/>
      <c r="CJX6"/>
      <c r="CJY6"/>
      <c r="CJZ6"/>
      <c r="CKA6"/>
      <c r="CKB6"/>
      <c r="CKC6"/>
      <c r="CKD6"/>
      <c r="CKE6"/>
      <c r="CKF6"/>
      <c r="CKG6"/>
      <c r="CKH6"/>
      <c r="CKI6"/>
      <c r="CKJ6"/>
      <c r="CKK6"/>
      <c r="CKL6"/>
      <c r="CKM6"/>
      <c r="CKN6"/>
      <c r="CKO6"/>
      <c r="CKP6"/>
      <c r="CKQ6"/>
      <c r="CKR6"/>
      <c r="CKS6"/>
      <c r="CKT6"/>
      <c r="CKU6"/>
      <c r="CKV6"/>
      <c r="CKW6"/>
      <c r="CKX6"/>
      <c r="CKY6"/>
      <c r="CKZ6"/>
      <c r="CLA6"/>
      <c r="CLB6"/>
      <c r="CLC6"/>
      <c r="CLD6"/>
      <c r="CLE6"/>
      <c r="CLF6"/>
      <c r="CLG6"/>
      <c r="CLH6"/>
      <c r="CLI6"/>
      <c r="CLJ6"/>
      <c r="CLK6"/>
      <c r="CLL6"/>
      <c r="CLM6"/>
      <c r="CLN6"/>
      <c r="CLO6"/>
      <c r="CLP6"/>
      <c r="CLQ6"/>
      <c r="CLR6"/>
      <c r="CLS6"/>
      <c r="CLT6"/>
      <c r="CLU6"/>
      <c r="CLV6"/>
      <c r="CLW6"/>
      <c r="CLX6"/>
      <c r="CLY6"/>
      <c r="CLZ6"/>
      <c r="CMA6"/>
      <c r="CMB6"/>
      <c r="CMC6"/>
      <c r="CMD6"/>
      <c r="CME6"/>
      <c r="CMF6"/>
      <c r="CMG6"/>
      <c r="CMH6"/>
      <c r="CMI6"/>
      <c r="CMJ6"/>
      <c r="CMK6"/>
      <c r="CML6"/>
      <c r="CMM6"/>
      <c r="CMN6"/>
      <c r="CMO6"/>
      <c r="CMP6"/>
      <c r="CMQ6"/>
      <c r="CMR6"/>
      <c r="CMS6"/>
      <c r="CMT6"/>
      <c r="CMU6"/>
      <c r="CMV6"/>
      <c r="CMW6"/>
      <c r="CMX6"/>
      <c r="CMY6"/>
      <c r="CMZ6"/>
      <c r="CNA6"/>
      <c r="CNB6"/>
      <c r="CNC6"/>
      <c r="CND6"/>
      <c r="CNE6"/>
      <c r="CNF6"/>
      <c r="CNG6"/>
      <c r="CNH6"/>
      <c r="CNI6"/>
      <c r="CNJ6"/>
      <c r="CNK6"/>
      <c r="CNL6"/>
      <c r="CNM6"/>
      <c r="CNN6"/>
      <c r="CNO6"/>
      <c r="CNP6"/>
      <c r="CNQ6"/>
      <c r="CNR6"/>
      <c r="CNS6"/>
      <c r="CNT6"/>
      <c r="CNU6"/>
      <c r="CNV6"/>
      <c r="CNW6"/>
      <c r="CNX6"/>
      <c r="CNY6"/>
      <c r="CNZ6"/>
      <c r="COA6"/>
      <c r="COB6"/>
      <c r="COC6"/>
      <c r="COD6"/>
      <c r="COE6"/>
      <c r="COF6"/>
      <c r="COG6"/>
      <c r="COH6"/>
      <c r="COI6"/>
      <c r="COJ6"/>
      <c r="COK6"/>
      <c r="COL6"/>
      <c r="COM6"/>
      <c r="CON6"/>
      <c r="COO6"/>
      <c r="COP6"/>
      <c r="COQ6"/>
      <c r="COR6"/>
      <c r="COS6"/>
      <c r="COT6"/>
      <c r="COU6"/>
      <c r="COV6"/>
      <c r="COW6"/>
      <c r="COX6"/>
      <c r="COY6"/>
      <c r="COZ6"/>
      <c r="CPA6"/>
      <c r="CPB6"/>
      <c r="CPC6"/>
      <c r="CPD6"/>
      <c r="CPE6"/>
      <c r="CPF6"/>
      <c r="CPG6"/>
      <c r="CPH6"/>
      <c r="CPI6"/>
      <c r="CPJ6"/>
      <c r="CPK6"/>
      <c r="CPL6"/>
      <c r="CPM6"/>
      <c r="CPN6"/>
      <c r="CPO6"/>
      <c r="CPP6"/>
      <c r="CPQ6"/>
      <c r="CPR6"/>
      <c r="CPS6"/>
      <c r="CPT6"/>
      <c r="CPU6"/>
      <c r="CPV6"/>
      <c r="CPW6"/>
      <c r="CPX6"/>
      <c r="CPY6"/>
      <c r="CPZ6"/>
      <c r="CQA6"/>
      <c r="CQB6"/>
      <c r="CQC6"/>
      <c r="CQD6"/>
      <c r="CQE6"/>
      <c r="CQF6"/>
      <c r="CQG6"/>
      <c r="CQH6"/>
      <c r="CQI6"/>
      <c r="CQJ6"/>
      <c r="CQK6"/>
      <c r="CQL6"/>
      <c r="CQM6"/>
      <c r="CQN6"/>
      <c r="CQO6"/>
      <c r="CQP6"/>
      <c r="CQQ6"/>
      <c r="CQR6"/>
      <c r="CQS6"/>
      <c r="CQT6"/>
      <c r="CQU6"/>
      <c r="CQV6"/>
      <c r="CQW6"/>
      <c r="CQX6"/>
      <c r="CQY6"/>
      <c r="CQZ6"/>
      <c r="CRA6"/>
      <c r="CRB6"/>
      <c r="CRC6"/>
      <c r="CRD6"/>
      <c r="CRE6"/>
      <c r="CRF6"/>
      <c r="CRG6"/>
      <c r="CRH6"/>
      <c r="CRI6"/>
      <c r="CRJ6"/>
      <c r="CRK6"/>
      <c r="CRL6"/>
      <c r="CRM6"/>
      <c r="CRN6"/>
      <c r="CRO6"/>
      <c r="CRP6"/>
      <c r="CRQ6"/>
      <c r="CRR6"/>
      <c r="CRS6"/>
      <c r="CRT6"/>
      <c r="CRU6"/>
      <c r="CRV6"/>
      <c r="CRW6"/>
      <c r="CRX6"/>
      <c r="CRY6"/>
      <c r="CRZ6"/>
      <c r="CSA6"/>
      <c r="CSB6"/>
      <c r="CSC6"/>
      <c r="CSD6"/>
      <c r="CSE6"/>
      <c r="CSF6"/>
      <c r="CSG6"/>
      <c r="CSH6"/>
      <c r="CSI6"/>
      <c r="CSJ6"/>
      <c r="CSK6"/>
      <c r="CSL6"/>
      <c r="CSM6"/>
      <c r="CSN6"/>
      <c r="CSO6"/>
      <c r="CSP6"/>
      <c r="CSQ6"/>
      <c r="CSR6"/>
      <c r="CSS6"/>
      <c r="CST6"/>
      <c r="CSU6"/>
      <c r="CSV6"/>
      <c r="CSW6"/>
      <c r="CSX6"/>
      <c r="CSY6"/>
      <c r="CSZ6"/>
      <c r="CTA6"/>
      <c r="CTB6"/>
      <c r="CTC6"/>
      <c r="CTD6"/>
      <c r="CTE6"/>
      <c r="CTF6"/>
      <c r="CTG6"/>
      <c r="CTH6"/>
      <c r="CTI6"/>
      <c r="CTJ6"/>
      <c r="CTK6"/>
      <c r="CTL6"/>
      <c r="CTM6"/>
      <c r="CTN6"/>
      <c r="CTO6"/>
      <c r="CTP6"/>
      <c r="CTQ6"/>
      <c r="CTR6"/>
      <c r="CTS6"/>
      <c r="CTT6"/>
      <c r="CTU6"/>
      <c r="CTV6"/>
      <c r="CTW6"/>
      <c r="CTX6"/>
      <c r="CTY6"/>
      <c r="CTZ6"/>
      <c r="CUA6"/>
      <c r="CUB6"/>
      <c r="CUC6"/>
      <c r="CUD6"/>
      <c r="CUE6"/>
      <c r="CUF6"/>
      <c r="CUG6"/>
      <c r="CUH6"/>
      <c r="CUI6"/>
      <c r="CUJ6"/>
      <c r="CUK6"/>
      <c r="CUL6"/>
      <c r="CUM6"/>
      <c r="CUN6"/>
      <c r="CUO6"/>
      <c r="CUP6"/>
      <c r="CUQ6"/>
      <c r="CUR6"/>
      <c r="CUS6"/>
      <c r="CUT6"/>
      <c r="CUU6"/>
      <c r="CUV6"/>
      <c r="CUW6"/>
      <c r="CUX6"/>
      <c r="CUY6"/>
      <c r="CUZ6"/>
      <c r="CVA6"/>
      <c r="CVB6"/>
      <c r="CVC6"/>
      <c r="CVD6"/>
      <c r="CVE6"/>
      <c r="CVF6"/>
      <c r="CVG6"/>
      <c r="CVH6"/>
      <c r="CVI6"/>
      <c r="CVJ6"/>
      <c r="CVK6"/>
      <c r="CVL6"/>
      <c r="CVM6"/>
      <c r="CVN6"/>
      <c r="CVO6"/>
      <c r="CVP6"/>
      <c r="CVQ6"/>
      <c r="CVR6"/>
      <c r="CVS6"/>
      <c r="CVT6"/>
      <c r="CVU6"/>
      <c r="CVV6"/>
      <c r="CVW6"/>
      <c r="CVX6"/>
      <c r="CVY6"/>
      <c r="CVZ6"/>
      <c r="CWA6"/>
      <c r="CWB6"/>
      <c r="CWC6"/>
      <c r="CWD6"/>
      <c r="CWE6"/>
      <c r="CWF6"/>
      <c r="CWG6"/>
      <c r="CWH6"/>
      <c r="CWI6"/>
      <c r="CWJ6"/>
      <c r="CWK6"/>
      <c r="CWL6"/>
      <c r="CWM6"/>
      <c r="CWN6"/>
      <c r="CWO6"/>
      <c r="CWP6"/>
      <c r="CWQ6"/>
      <c r="CWR6"/>
      <c r="CWS6"/>
      <c r="CWT6"/>
      <c r="CWU6"/>
      <c r="CWV6"/>
      <c r="CWW6"/>
      <c r="CWX6"/>
      <c r="CWY6"/>
      <c r="CWZ6"/>
      <c r="CXA6"/>
      <c r="CXB6"/>
      <c r="CXC6"/>
      <c r="CXD6"/>
      <c r="CXE6"/>
      <c r="CXF6"/>
      <c r="CXG6"/>
      <c r="CXH6"/>
      <c r="CXI6"/>
      <c r="CXJ6"/>
      <c r="CXK6"/>
      <c r="CXL6"/>
      <c r="CXM6"/>
      <c r="CXN6"/>
      <c r="CXO6"/>
      <c r="CXP6"/>
      <c r="CXQ6"/>
      <c r="CXR6"/>
      <c r="CXS6"/>
      <c r="CXT6"/>
      <c r="CXU6"/>
      <c r="CXV6"/>
      <c r="CXW6"/>
      <c r="CXX6"/>
      <c r="CXY6"/>
      <c r="CXZ6"/>
      <c r="CYA6"/>
      <c r="CYB6"/>
      <c r="CYC6"/>
      <c r="CYD6"/>
      <c r="CYE6"/>
      <c r="CYF6"/>
      <c r="CYG6"/>
      <c r="CYH6"/>
      <c r="CYI6"/>
      <c r="CYJ6"/>
      <c r="CYK6"/>
      <c r="CYL6"/>
      <c r="CYM6"/>
      <c r="CYN6"/>
      <c r="CYO6"/>
      <c r="CYP6"/>
      <c r="CYQ6"/>
      <c r="CYR6"/>
      <c r="CYS6"/>
      <c r="CYT6"/>
      <c r="CYU6"/>
      <c r="CYV6"/>
      <c r="CYW6"/>
      <c r="CYX6"/>
      <c r="CYY6"/>
      <c r="CYZ6"/>
      <c r="CZA6"/>
      <c r="CZB6"/>
      <c r="CZC6"/>
      <c r="CZD6"/>
      <c r="CZE6"/>
      <c r="CZF6"/>
      <c r="CZG6"/>
      <c r="CZH6"/>
      <c r="CZI6"/>
      <c r="CZJ6"/>
      <c r="CZK6"/>
      <c r="CZL6"/>
      <c r="CZM6"/>
      <c r="CZN6"/>
      <c r="CZO6"/>
      <c r="CZP6"/>
      <c r="CZQ6"/>
      <c r="CZR6"/>
      <c r="CZS6"/>
      <c r="CZT6"/>
      <c r="CZU6"/>
      <c r="CZV6"/>
      <c r="CZW6"/>
      <c r="CZX6"/>
      <c r="CZY6"/>
      <c r="CZZ6"/>
      <c r="DAA6"/>
      <c r="DAB6"/>
      <c r="DAC6"/>
      <c r="DAD6"/>
      <c r="DAE6"/>
      <c r="DAF6"/>
      <c r="DAG6"/>
      <c r="DAH6"/>
      <c r="DAI6"/>
      <c r="DAJ6"/>
      <c r="DAK6"/>
      <c r="DAL6"/>
      <c r="DAM6"/>
      <c r="DAN6"/>
      <c r="DAO6"/>
      <c r="DAP6"/>
      <c r="DAQ6"/>
      <c r="DAR6"/>
      <c r="DAS6"/>
      <c r="DAT6"/>
      <c r="DAU6"/>
      <c r="DAV6"/>
      <c r="DAW6"/>
      <c r="DAX6"/>
      <c r="DAY6"/>
      <c r="DAZ6"/>
      <c r="DBA6"/>
      <c r="DBB6"/>
      <c r="DBC6"/>
      <c r="DBD6"/>
      <c r="DBE6"/>
      <c r="DBF6"/>
      <c r="DBG6"/>
      <c r="DBH6"/>
      <c r="DBI6"/>
      <c r="DBJ6"/>
      <c r="DBK6"/>
      <c r="DBL6"/>
      <c r="DBM6"/>
      <c r="DBN6"/>
      <c r="DBO6"/>
      <c r="DBP6"/>
      <c r="DBQ6"/>
      <c r="DBR6"/>
      <c r="DBS6"/>
      <c r="DBT6"/>
      <c r="DBU6"/>
      <c r="DBV6"/>
      <c r="DBW6"/>
      <c r="DBX6"/>
      <c r="DBY6"/>
      <c r="DBZ6"/>
      <c r="DCA6"/>
      <c r="DCB6"/>
      <c r="DCC6"/>
      <c r="DCD6"/>
      <c r="DCE6"/>
      <c r="DCF6"/>
      <c r="DCG6"/>
      <c r="DCH6"/>
      <c r="DCI6"/>
      <c r="DCJ6"/>
      <c r="DCK6"/>
      <c r="DCL6"/>
      <c r="DCM6"/>
      <c r="DCN6"/>
      <c r="DCO6"/>
      <c r="DCP6"/>
      <c r="DCQ6"/>
      <c r="DCR6"/>
      <c r="DCS6"/>
      <c r="DCT6"/>
      <c r="DCU6"/>
      <c r="DCV6"/>
      <c r="DCW6"/>
      <c r="DCX6"/>
      <c r="DCY6"/>
      <c r="DCZ6"/>
      <c r="DDA6"/>
      <c r="DDB6"/>
      <c r="DDC6"/>
      <c r="DDD6"/>
      <c r="DDE6"/>
      <c r="DDF6"/>
      <c r="DDG6"/>
      <c r="DDH6"/>
      <c r="DDI6"/>
      <c r="DDJ6"/>
      <c r="DDK6"/>
      <c r="DDL6"/>
      <c r="DDM6"/>
      <c r="DDN6"/>
      <c r="DDO6"/>
      <c r="DDP6"/>
      <c r="DDQ6"/>
      <c r="DDR6"/>
      <c r="DDS6"/>
      <c r="DDT6"/>
      <c r="DDU6"/>
      <c r="DDV6"/>
      <c r="DDW6"/>
      <c r="DDX6"/>
      <c r="DDY6"/>
      <c r="DDZ6"/>
      <c r="DEA6"/>
      <c r="DEB6"/>
      <c r="DEC6"/>
      <c r="DED6"/>
      <c r="DEE6"/>
      <c r="DEF6"/>
      <c r="DEG6"/>
      <c r="DEH6"/>
      <c r="DEI6"/>
      <c r="DEJ6"/>
      <c r="DEK6"/>
      <c r="DEL6"/>
      <c r="DEM6"/>
      <c r="DEN6"/>
      <c r="DEO6"/>
      <c r="DEP6"/>
      <c r="DEQ6"/>
      <c r="DER6"/>
      <c r="DES6"/>
      <c r="DET6"/>
      <c r="DEU6"/>
      <c r="DEV6"/>
      <c r="DEW6"/>
      <c r="DEX6"/>
      <c r="DEY6"/>
      <c r="DEZ6"/>
      <c r="DFA6"/>
      <c r="DFB6"/>
      <c r="DFC6"/>
      <c r="DFD6"/>
      <c r="DFE6"/>
      <c r="DFF6"/>
      <c r="DFG6"/>
      <c r="DFH6"/>
      <c r="DFI6"/>
      <c r="DFJ6"/>
      <c r="DFK6"/>
      <c r="DFL6"/>
      <c r="DFM6"/>
      <c r="DFN6"/>
      <c r="DFO6"/>
      <c r="DFP6"/>
      <c r="DFQ6"/>
      <c r="DFR6"/>
      <c r="DFS6"/>
      <c r="DFT6"/>
      <c r="DFU6"/>
      <c r="DFV6"/>
      <c r="DFW6"/>
      <c r="DFX6"/>
      <c r="DFY6"/>
      <c r="DFZ6"/>
      <c r="DGA6"/>
      <c r="DGB6"/>
      <c r="DGC6"/>
      <c r="DGD6"/>
      <c r="DGE6"/>
      <c r="DGF6"/>
      <c r="DGG6"/>
      <c r="DGH6"/>
      <c r="DGI6"/>
      <c r="DGJ6"/>
      <c r="DGK6"/>
      <c r="DGL6"/>
      <c r="DGM6"/>
      <c r="DGN6"/>
      <c r="DGO6"/>
      <c r="DGP6"/>
      <c r="DGQ6"/>
      <c r="DGR6"/>
      <c r="DGS6"/>
      <c r="DGT6"/>
      <c r="DGU6"/>
      <c r="DGV6"/>
      <c r="DGW6"/>
      <c r="DGX6"/>
      <c r="DGY6"/>
      <c r="DGZ6"/>
      <c r="DHA6"/>
      <c r="DHB6"/>
      <c r="DHC6"/>
      <c r="DHD6"/>
      <c r="DHE6"/>
      <c r="DHF6"/>
      <c r="DHG6"/>
      <c r="DHH6"/>
      <c r="DHI6"/>
      <c r="DHJ6"/>
      <c r="DHK6"/>
      <c r="DHL6"/>
      <c r="DHM6"/>
      <c r="DHN6"/>
      <c r="DHO6"/>
      <c r="DHP6"/>
      <c r="DHQ6"/>
      <c r="DHR6"/>
      <c r="DHS6"/>
      <c r="DHT6"/>
      <c r="DHU6"/>
      <c r="DHV6"/>
      <c r="DHW6"/>
      <c r="DHX6"/>
      <c r="DHY6"/>
      <c r="DHZ6"/>
      <c r="DIA6"/>
      <c r="DIB6"/>
      <c r="DIC6"/>
      <c r="DID6"/>
      <c r="DIE6"/>
      <c r="DIF6"/>
      <c r="DIG6"/>
      <c r="DIH6"/>
      <c r="DII6"/>
      <c r="DIJ6"/>
      <c r="DIK6"/>
      <c r="DIL6"/>
      <c r="DIM6"/>
      <c r="DIN6"/>
      <c r="DIO6"/>
      <c r="DIP6"/>
      <c r="DIQ6"/>
      <c r="DIR6"/>
      <c r="DIS6"/>
      <c r="DIT6"/>
      <c r="DIU6"/>
      <c r="DIV6"/>
      <c r="DIW6"/>
      <c r="DIX6"/>
      <c r="DIY6"/>
      <c r="DIZ6"/>
      <c r="DJA6"/>
      <c r="DJB6"/>
      <c r="DJC6"/>
      <c r="DJD6"/>
      <c r="DJE6"/>
      <c r="DJF6"/>
      <c r="DJG6"/>
      <c r="DJH6"/>
      <c r="DJI6"/>
      <c r="DJJ6"/>
      <c r="DJK6"/>
      <c r="DJL6"/>
      <c r="DJM6"/>
      <c r="DJN6"/>
      <c r="DJO6"/>
      <c r="DJP6"/>
      <c r="DJQ6"/>
      <c r="DJR6"/>
      <c r="DJS6"/>
      <c r="DJT6"/>
      <c r="DJU6"/>
      <c r="DJV6"/>
      <c r="DJW6"/>
      <c r="DJX6"/>
      <c r="DJY6"/>
      <c r="DJZ6"/>
      <c r="DKA6"/>
      <c r="DKB6"/>
      <c r="DKC6"/>
      <c r="DKD6"/>
      <c r="DKE6"/>
      <c r="DKF6"/>
      <c r="DKG6"/>
      <c r="DKH6"/>
      <c r="DKI6"/>
      <c r="DKJ6"/>
      <c r="DKK6"/>
      <c r="DKL6"/>
      <c r="DKM6"/>
      <c r="DKN6"/>
      <c r="DKO6"/>
      <c r="DKP6"/>
      <c r="DKQ6"/>
      <c r="DKR6"/>
      <c r="DKS6"/>
      <c r="DKT6"/>
      <c r="DKU6"/>
      <c r="DKV6"/>
      <c r="DKW6"/>
      <c r="DKX6"/>
      <c r="DKY6"/>
      <c r="DKZ6"/>
      <c r="DLA6"/>
      <c r="DLB6"/>
      <c r="DLC6"/>
      <c r="DLD6"/>
      <c r="DLE6"/>
      <c r="DLF6"/>
      <c r="DLG6"/>
      <c r="DLH6"/>
      <c r="DLI6"/>
      <c r="DLJ6"/>
      <c r="DLK6"/>
      <c r="DLL6"/>
      <c r="DLM6"/>
      <c r="DLN6"/>
      <c r="DLO6"/>
      <c r="DLP6"/>
      <c r="DLQ6"/>
      <c r="DLR6"/>
      <c r="DLS6"/>
      <c r="DLT6"/>
      <c r="DLU6"/>
      <c r="DLV6"/>
      <c r="DLW6"/>
      <c r="DLX6"/>
      <c r="DLY6"/>
      <c r="DLZ6"/>
      <c r="DMA6"/>
      <c r="DMB6"/>
      <c r="DMC6"/>
      <c r="DMD6"/>
      <c r="DME6"/>
      <c r="DMF6"/>
      <c r="DMG6"/>
      <c r="DMH6"/>
      <c r="DMI6"/>
      <c r="DMJ6"/>
      <c r="DMK6"/>
      <c r="DML6"/>
      <c r="DMM6"/>
      <c r="DMN6"/>
      <c r="DMO6"/>
      <c r="DMP6"/>
      <c r="DMQ6"/>
      <c r="DMR6"/>
      <c r="DMS6"/>
      <c r="DMT6"/>
      <c r="DMU6"/>
      <c r="DMV6"/>
      <c r="DMW6"/>
      <c r="DMX6"/>
      <c r="DMY6"/>
      <c r="DMZ6"/>
      <c r="DNA6"/>
      <c r="DNB6"/>
      <c r="DNC6"/>
      <c r="DND6"/>
      <c r="DNE6"/>
      <c r="DNF6"/>
      <c r="DNG6"/>
      <c r="DNH6"/>
      <c r="DNI6"/>
      <c r="DNJ6"/>
      <c r="DNK6"/>
      <c r="DNL6"/>
      <c r="DNM6"/>
      <c r="DNN6"/>
      <c r="DNO6"/>
      <c r="DNP6"/>
      <c r="DNQ6"/>
      <c r="DNR6"/>
      <c r="DNS6"/>
      <c r="DNT6"/>
      <c r="DNU6"/>
      <c r="DNV6"/>
      <c r="DNW6"/>
      <c r="DNX6"/>
      <c r="DNY6"/>
      <c r="DNZ6"/>
      <c r="DOA6"/>
      <c r="DOB6"/>
      <c r="DOC6"/>
      <c r="DOD6"/>
      <c r="DOE6"/>
      <c r="DOF6"/>
      <c r="DOG6"/>
      <c r="DOH6"/>
      <c r="DOI6"/>
      <c r="DOJ6"/>
      <c r="DOK6"/>
      <c r="DOL6"/>
      <c r="DOM6"/>
      <c r="DON6"/>
      <c r="DOO6"/>
      <c r="DOP6"/>
      <c r="DOQ6"/>
      <c r="DOR6"/>
      <c r="DOS6"/>
      <c r="DOT6"/>
      <c r="DOU6"/>
      <c r="DOV6"/>
      <c r="DOW6"/>
      <c r="DOX6"/>
      <c r="DOY6"/>
      <c r="DOZ6"/>
      <c r="DPA6"/>
      <c r="DPB6"/>
      <c r="DPC6"/>
      <c r="DPD6"/>
      <c r="DPE6"/>
      <c r="DPF6"/>
      <c r="DPG6"/>
      <c r="DPH6"/>
      <c r="DPI6"/>
      <c r="DPJ6"/>
      <c r="DPK6"/>
      <c r="DPL6"/>
      <c r="DPM6"/>
      <c r="DPN6"/>
      <c r="DPO6"/>
      <c r="DPP6"/>
      <c r="DPQ6"/>
      <c r="DPR6"/>
      <c r="DPS6"/>
      <c r="DPT6"/>
      <c r="DPU6"/>
      <c r="DPV6"/>
      <c r="DPW6"/>
      <c r="DPX6"/>
      <c r="DPY6"/>
      <c r="DPZ6"/>
      <c r="DQA6"/>
      <c r="DQB6"/>
      <c r="DQC6"/>
      <c r="DQD6"/>
      <c r="DQE6"/>
      <c r="DQF6"/>
      <c r="DQG6"/>
      <c r="DQH6"/>
      <c r="DQI6"/>
      <c r="DQJ6"/>
      <c r="DQK6"/>
      <c r="DQL6"/>
      <c r="DQM6"/>
      <c r="DQN6"/>
      <c r="DQO6"/>
      <c r="DQP6"/>
      <c r="DQQ6"/>
      <c r="DQR6"/>
      <c r="DQS6"/>
      <c r="DQT6"/>
      <c r="DQU6"/>
      <c r="DQV6"/>
      <c r="DQW6"/>
      <c r="DQX6"/>
      <c r="DQY6"/>
      <c r="DQZ6"/>
      <c r="DRA6"/>
      <c r="DRB6"/>
      <c r="DRC6"/>
      <c r="DRD6"/>
      <c r="DRE6"/>
      <c r="DRF6"/>
      <c r="DRG6"/>
      <c r="DRH6"/>
      <c r="DRI6"/>
      <c r="DRJ6"/>
      <c r="DRK6"/>
      <c r="DRL6"/>
      <c r="DRM6"/>
      <c r="DRN6"/>
      <c r="DRO6"/>
      <c r="DRP6"/>
      <c r="DRQ6"/>
      <c r="DRR6"/>
      <c r="DRS6"/>
      <c r="DRT6"/>
      <c r="DRU6"/>
      <c r="DRV6"/>
      <c r="DRW6"/>
      <c r="DRX6"/>
      <c r="DRY6"/>
      <c r="DRZ6"/>
      <c r="DSA6"/>
      <c r="DSB6"/>
      <c r="DSC6"/>
      <c r="DSD6"/>
      <c r="DSE6"/>
      <c r="DSF6"/>
      <c r="DSG6"/>
      <c r="DSH6"/>
      <c r="DSI6"/>
      <c r="DSJ6"/>
      <c r="DSK6"/>
      <c r="DSL6"/>
      <c r="DSM6"/>
      <c r="DSN6"/>
      <c r="DSO6"/>
      <c r="DSP6"/>
      <c r="DSQ6"/>
      <c r="DSR6"/>
      <c r="DSS6"/>
      <c r="DST6"/>
      <c r="DSU6"/>
      <c r="DSV6"/>
      <c r="DSW6"/>
      <c r="DSX6"/>
      <c r="DSY6"/>
      <c r="DSZ6"/>
      <c r="DTA6"/>
      <c r="DTB6"/>
      <c r="DTC6"/>
      <c r="DTD6"/>
      <c r="DTE6"/>
      <c r="DTF6"/>
      <c r="DTG6"/>
      <c r="DTH6"/>
      <c r="DTI6"/>
      <c r="DTJ6"/>
      <c r="DTK6"/>
      <c r="DTL6"/>
      <c r="DTM6"/>
      <c r="DTN6"/>
      <c r="DTO6"/>
      <c r="DTP6"/>
      <c r="DTQ6"/>
      <c r="DTR6"/>
      <c r="DTS6"/>
      <c r="DTT6"/>
      <c r="DTU6"/>
      <c r="DTV6"/>
      <c r="DTW6"/>
      <c r="DTX6"/>
      <c r="DTY6"/>
      <c r="DTZ6"/>
      <c r="DUA6"/>
      <c r="DUB6"/>
      <c r="DUC6"/>
      <c r="DUD6"/>
      <c r="DUE6"/>
      <c r="DUF6"/>
      <c r="DUG6"/>
      <c r="DUH6"/>
      <c r="DUI6"/>
      <c r="DUJ6"/>
      <c r="DUK6"/>
      <c r="DUL6"/>
      <c r="DUM6"/>
      <c r="DUN6"/>
      <c r="DUO6"/>
      <c r="DUP6"/>
      <c r="DUQ6"/>
      <c r="DUR6"/>
      <c r="DUS6"/>
      <c r="DUT6"/>
      <c r="DUU6"/>
      <c r="DUV6"/>
      <c r="DUW6"/>
      <c r="DUX6"/>
      <c r="DUY6"/>
      <c r="DUZ6"/>
      <c r="DVA6"/>
      <c r="DVB6"/>
      <c r="DVC6"/>
      <c r="DVD6"/>
      <c r="DVE6"/>
      <c r="DVF6"/>
      <c r="DVG6"/>
      <c r="DVH6"/>
      <c r="DVI6"/>
      <c r="DVJ6"/>
      <c r="DVK6"/>
      <c r="DVL6"/>
      <c r="DVM6"/>
      <c r="DVN6"/>
      <c r="DVO6"/>
      <c r="DVP6"/>
      <c r="DVQ6"/>
      <c r="DVR6"/>
      <c r="DVS6"/>
      <c r="DVT6"/>
      <c r="DVU6"/>
      <c r="DVV6"/>
      <c r="DVW6"/>
      <c r="DVX6"/>
      <c r="DVY6"/>
      <c r="DVZ6"/>
      <c r="DWA6"/>
      <c r="DWB6"/>
      <c r="DWC6"/>
      <c r="DWD6"/>
      <c r="DWE6"/>
      <c r="DWF6"/>
      <c r="DWG6"/>
      <c r="DWH6"/>
      <c r="DWI6"/>
      <c r="DWJ6"/>
      <c r="DWK6"/>
      <c r="DWL6"/>
      <c r="DWM6"/>
      <c r="DWN6"/>
      <c r="DWO6"/>
      <c r="DWP6"/>
      <c r="DWQ6"/>
      <c r="DWR6"/>
      <c r="DWS6"/>
      <c r="DWT6"/>
      <c r="DWU6"/>
      <c r="DWV6"/>
      <c r="DWW6"/>
      <c r="DWX6"/>
      <c r="DWY6"/>
      <c r="DWZ6"/>
      <c r="DXA6"/>
      <c r="DXB6"/>
      <c r="DXC6"/>
      <c r="DXD6"/>
      <c r="DXE6"/>
      <c r="DXF6"/>
      <c r="DXG6"/>
      <c r="DXH6"/>
      <c r="DXI6"/>
      <c r="DXJ6"/>
      <c r="DXK6"/>
      <c r="DXL6"/>
      <c r="DXM6"/>
      <c r="DXN6"/>
      <c r="DXO6"/>
      <c r="DXP6"/>
      <c r="DXQ6"/>
      <c r="DXR6"/>
      <c r="DXS6"/>
      <c r="DXT6"/>
      <c r="DXU6"/>
      <c r="DXV6"/>
      <c r="DXW6"/>
      <c r="DXX6"/>
      <c r="DXY6"/>
      <c r="DXZ6"/>
      <c r="DYA6"/>
      <c r="DYB6"/>
      <c r="DYC6"/>
      <c r="DYD6"/>
      <c r="DYE6"/>
      <c r="DYF6"/>
      <c r="DYG6"/>
      <c r="DYH6"/>
      <c r="DYI6"/>
      <c r="DYJ6"/>
      <c r="DYK6"/>
      <c r="DYL6"/>
      <c r="DYM6"/>
      <c r="DYN6"/>
      <c r="DYO6"/>
      <c r="DYP6"/>
      <c r="DYQ6"/>
      <c r="DYR6"/>
      <c r="DYS6"/>
      <c r="DYT6"/>
      <c r="DYU6"/>
      <c r="DYV6"/>
      <c r="DYW6"/>
      <c r="DYX6"/>
      <c r="DYY6"/>
      <c r="DYZ6"/>
      <c r="DZA6"/>
      <c r="DZB6"/>
      <c r="DZC6"/>
      <c r="DZD6"/>
      <c r="DZE6"/>
      <c r="DZF6"/>
      <c r="DZG6"/>
      <c r="DZH6"/>
      <c r="DZI6"/>
      <c r="DZJ6"/>
      <c r="DZK6"/>
      <c r="DZL6"/>
      <c r="DZM6"/>
      <c r="DZN6"/>
      <c r="DZO6"/>
      <c r="DZP6"/>
      <c r="DZQ6"/>
      <c r="DZR6"/>
      <c r="DZS6"/>
      <c r="DZT6"/>
      <c r="DZU6"/>
      <c r="DZV6"/>
      <c r="DZW6"/>
      <c r="DZX6"/>
      <c r="DZY6"/>
      <c r="DZZ6"/>
      <c r="EAA6"/>
      <c r="EAB6"/>
      <c r="EAC6"/>
      <c r="EAD6"/>
      <c r="EAE6"/>
      <c r="EAF6"/>
      <c r="EAG6"/>
      <c r="EAH6"/>
      <c r="EAI6"/>
      <c r="EAJ6"/>
      <c r="EAK6"/>
      <c r="EAL6"/>
      <c r="EAM6"/>
      <c r="EAN6"/>
      <c r="EAO6"/>
      <c r="EAP6"/>
      <c r="EAQ6"/>
      <c r="EAR6"/>
      <c r="EAS6"/>
      <c r="EAT6"/>
      <c r="EAU6"/>
      <c r="EAV6"/>
      <c r="EAW6"/>
      <c r="EAX6"/>
      <c r="EAY6"/>
      <c r="EAZ6"/>
      <c r="EBA6"/>
      <c r="EBB6"/>
      <c r="EBC6"/>
      <c r="EBD6"/>
      <c r="EBE6"/>
      <c r="EBF6"/>
      <c r="EBG6"/>
      <c r="EBH6"/>
      <c r="EBI6"/>
      <c r="EBJ6"/>
      <c r="EBK6"/>
      <c r="EBL6"/>
      <c r="EBM6"/>
      <c r="EBN6"/>
      <c r="EBO6"/>
      <c r="EBP6"/>
      <c r="EBQ6"/>
      <c r="EBR6"/>
      <c r="EBS6"/>
      <c r="EBT6"/>
      <c r="EBU6"/>
      <c r="EBV6"/>
      <c r="EBW6"/>
      <c r="EBX6"/>
      <c r="EBY6"/>
      <c r="EBZ6"/>
      <c r="ECA6"/>
      <c r="ECB6"/>
      <c r="ECC6"/>
      <c r="ECD6"/>
      <c r="ECE6"/>
      <c r="ECF6"/>
      <c r="ECG6"/>
      <c r="ECH6"/>
      <c r="ECI6"/>
      <c r="ECJ6"/>
      <c r="ECK6"/>
      <c r="ECL6"/>
      <c r="ECM6"/>
      <c r="ECN6"/>
      <c r="ECO6"/>
      <c r="ECP6"/>
      <c r="ECQ6"/>
      <c r="ECR6"/>
      <c r="ECS6"/>
      <c r="ECT6"/>
      <c r="ECU6"/>
      <c r="ECV6"/>
      <c r="ECW6"/>
      <c r="ECX6"/>
      <c r="ECY6"/>
      <c r="ECZ6"/>
      <c r="EDA6"/>
      <c r="EDB6"/>
      <c r="EDC6"/>
      <c r="EDD6"/>
      <c r="EDE6"/>
      <c r="EDF6"/>
      <c r="EDG6"/>
      <c r="EDH6"/>
      <c r="EDI6"/>
      <c r="EDJ6"/>
      <c r="EDK6"/>
      <c r="EDL6"/>
      <c r="EDM6"/>
      <c r="EDN6"/>
      <c r="EDO6"/>
      <c r="EDP6"/>
      <c r="EDQ6"/>
      <c r="EDR6"/>
      <c r="EDS6"/>
      <c r="EDT6"/>
      <c r="EDU6"/>
      <c r="EDV6"/>
      <c r="EDW6"/>
      <c r="EDX6"/>
      <c r="EDY6"/>
      <c r="EDZ6"/>
      <c r="EEA6"/>
      <c r="EEB6"/>
      <c r="EEC6"/>
      <c r="EED6"/>
      <c r="EEE6"/>
      <c r="EEF6"/>
      <c r="EEG6"/>
      <c r="EEH6"/>
      <c r="EEI6"/>
      <c r="EEJ6"/>
      <c r="EEK6"/>
      <c r="EEL6"/>
      <c r="EEM6"/>
      <c r="EEN6"/>
      <c r="EEO6"/>
      <c r="EEP6"/>
      <c r="EEQ6"/>
      <c r="EER6"/>
      <c r="EES6"/>
      <c r="EET6"/>
      <c r="EEU6"/>
      <c r="EEV6"/>
      <c r="EEW6"/>
      <c r="EEX6"/>
      <c r="EEY6"/>
      <c r="EEZ6"/>
      <c r="EFA6"/>
      <c r="EFB6"/>
      <c r="EFC6"/>
      <c r="EFD6"/>
      <c r="EFE6"/>
      <c r="EFF6"/>
      <c r="EFG6"/>
      <c r="EFH6"/>
      <c r="EFI6"/>
      <c r="EFJ6"/>
      <c r="EFK6"/>
      <c r="EFL6"/>
      <c r="EFM6"/>
      <c r="EFN6"/>
      <c r="EFO6"/>
      <c r="EFP6"/>
      <c r="EFQ6"/>
      <c r="EFR6"/>
      <c r="EFS6"/>
      <c r="EFT6"/>
      <c r="EFU6"/>
      <c r="EFV6"/>
      <c r="EFW6"/>
      <c r="EFX6"/>
      <c r="EFY6"/>
      <c r="EFZ6"/>
      <c r="EGA6"/>
      <c r="EGB6"/>
      <c r="EGC6"/>
      <c r="EGD6"/>
      <c r="EGE6"/>
      <c r="EGF6"/>
      <c r="EGG6"/>
      <c r="EGH6"/>
      <c r="EGI6"/>
      <c r="EGJ6"/>
      <c r="EGK6"/>
      <c r="EGL6"/>
      <c r="EGM6"/>
      <c r="EGN6"/>
      <c r="EGO6"/>
      <c r="EGP6"/>
      <c r="EGQ6"/>
      <c r="EGR6"/>
      <c r="EGS6"/>
      <c r="EGT6"/>
      <c r="EGU6"/>
      <c r="EGV6"/>
      <c r="EGW6"/>
      <c r="EGX6"/>
      <c r="EGY6"/>
      <c r="EGZ6"/>
      <c r="EHA6"/>
      <c r="EHB6"/>
      <c r="EHC6"/>
      <c r="EHD6"/>
      <c r="EHE6"/>
      <c r="EHF6"/>
      <c r="EHG6"/>
      <c r="EHH6"/>
      <c r="EHI6"/>
      <c r="EHJ6"/>
      <c r="EHK6"/>
      <c r="EHL6"/>
      <c r="EHM6"/>
      <c r="EHN6"/>
      <c r="EHO6"/>
      <c r="EHP6"/>
      <c r="EHQ6"/>
      <c r="EHR6"/>
      <c r="EHS6"/>
      <c r="EHT6"/>
      <c r="EHU6"/>
      <c r="EHV6"/>
      <c r="EHW6"/>
      <c r="EHX6"/>
      <c r="EHY6"/>
      <c r="EHZ6"/>
      <c r="EIA6"/>
      <c r="EIB6"/>
      <c r="EIC6"/>
      <c r="EID6"/>
      <c r="EIE6"/>
      <c r="EIF6"/>
      <c r="EIG6"/>
      <c r="EIH6"/>
      <c r="EII6"/>
      <c r="EIJ6"/>
      <c r="EIK6"/>
      <c r="EIL6"/>
      <c r="EIM6"/>
      <c r="EIN6"/>
      <c r="EIO6"/>
      <c r="EIP6"/>
      <c r="EIQ6"/>
      <c r="EIR6"/>
      <c r="EIS6"/>
      <c r="EIT6"/>
      <c r="EIU6"/>
      <c r="EIV6"/>
      <c r="EIW6"/>
      <c r="EIX6"/>
      <c r="EIY6"/>
      <c r="EIZ6"/>
      <c r="EJA6"/>
      <c r="EJB6"/>
      <c r="EJC6"/>
      <c r="EJD6"/>
      <c r="EJE6"/>
      <c r="EJF6"/>
      <c r="EJG6"/>
      <c r="EJH6"/>
      <c r="EJI6"/>
      <c r="EJJ6"/>
      <c r="EJK6"/>
      <c r="EJL6"/>
      <c r="EJM6"/>
      <c r="EJN6"/>
      <c r="EJO6"/>
      <c r="EJP6"/>
      <c r="EJQ6"/>
      <c r="EJR6"/>
      <c r="EJS6"/>
      <c r="EJT6"/>
      <c r="EJU6"/>
      <c r="EJV6"/>
      <c r="EJW6"/>
      <c r="EJX6"/>
      <c r="EJY6"/>
      <c r="EJZ6"/>
      <c r="EKA6"/>
      <c r="EKB6"/>
      <c r="EKC6"/>
      <c r="EKD6"/>
      <c r="EKE6"/>
      <c r="EKF6"/>
      <c r="EKG6"/>
      <c r="EKH6"/>
      <c r="EKI6"/>
      <c r="EKJ6"/>
      <c r="EKK6"/>
      <c r="EKL6"/>
      <c r="EKM6"/>
      <c r="EKN6"/>
      <c r="EKO6"/>
      <c r="EKP6"/>
      <c r="EKQ6"/>
      <c r="EKR6"/>
      <c r="EKS6"/>
      <c r="EKT6"/>
      <c r="EKU6"/>
      <c r="EKV6"/>
      <c r="EKW6"/>
      <c r="EKX6"/>
      <c r="EKY6"/>
      <c r="EKZ6"/>
      <c r="ELA6"/>
      <c r="ELB6"/>
      <c r="ELC6"/>
      <c r="ELD6"/>
      <c r="ELE6"/>
      <c r="ELF6"/>
      <c r="ELG6"/>
      <c r="ELH6"/>
      <c r="ELI6"/>
      <c r="ELJ6"/>
      <c r="ELK6"/>
      <c r="ELL6"/>
      <c r="ELM6"/>
      <c r="ELN6"/>
      <c r="ELO6"/>
      <c r="ELP6"/>
      <c r="ELQ6"/>
      <c r="ELR6"/>
      <c r="ELS6"/>
      <c r="ELT6"/>
      <c r="ELU6"/>
      <c r="ELV6"/>
      <c r="ELW6"/>
      <c r="ELX6"/>
      <c r="ELY6"/>
      <c r="ELZ6"/>
      <c r="EMA6"/>
      <c r="EMB6"/>
      <c r="EMC6"/>
      <c r="EMD6"/>
      <c r="EME6"/>
      <c r="EMF6"/>
      <c r="EMG6"/>
      <c r="EMH6"/>
      <c r="EMI6"/>
      <c r="EMJ6"/>
      <c r="EMK6"/>
      <c r="EML6"/>
      <c r="EMM6"/>
      <c r="EMN6"/>
      <c r="EMO6"/>
      <c r="EMP6"/>
      <c r="EMQ6"/>
      <c r="EMR6"/>
      <c r="EMS6"/>
      <c r="EMT6"/>
      <c r="EMU6"/>
      <c r="EMV6"/>
      <c r="EMW6"/>
      <c r="EMX6"/>
      <c r="EMY6"/>
      <c r="EMZ6"/>
      <c r="ENA6"/>
      <c r="ENB6"/>
      <c r="ENC6"/>
      <c r="END6"/>
      <c r="ENE6"/>
      <c r="ENF6"/>
      <c r="ENG6"/>
      <c r="ENH6"/>
      <c r="ENI6"/>
      <c r="ENJ6"/>
      <c r="ENK6"/>
      <c r="ENL6"/>
      <c r="ENM6"/>
      <c r="ENN6"/>
      <c r="ENO6"/>
      <c r="ENP6"/>
      <c r="ENQ6"/>
      <c r="ENR6"/>
      <c r="ENS6"/>
      <c r="ENT6"/>
      <c r="ENU6"/>
      <c r="ENV6"/>
      <c r="ENW6"/>
      <c r="ENX6"/>
      <c r="ENY6"/>
      <c r="ENZ6"/>
      <c r="EOA6"/>
      <c r="EOB6"/>
      <c r="EOC6"/>
      <c r="EOD6"/>
      <c r="EOE6"/>
      <c r="EOF6"/>
      <c r="EOG6"/>
      <c r="EOH6"/>
      <c r="EOI6"/>
      <c r="EOJ6"/>
      <c r="EOK6"/>
      <c r="EOL6"/>
      <c r="EOM6"/>
      <c r="EON6"/>
      <c r="EOO6"/>
      <c r="EOP6"/>
      <c r="EOQ6"/>
      <c r="EOR6"/>
      <c r="EOS6"/>
      <c r="EOT6"/>
      <c r="EOU6"/>
      <c r="EOV6"/>
      <c r="EOW6"/>
      <c r="EOX6"/>
      <c r="EOY6"/>
      <c r="EOZ6"/>
      <c r="EPA6"/>
      <c r="EPB6"/>
      <c r="EPC6"/>
      <c r="EPD6"/>
      <c r="EPE6"/>
      <c r="EPF6"/>
      <c r="EPG6"/>
      <c r="EPH6"/>
      <c r="EPI6"/>
      <c r="EPJ6"/>
      <c r="EPK6"/>
      <c r="EPL6"/>
      <c r="EPM6"/>
      <c r="EPN6"/>
      <c r="EPO6"/>
      <c r="EPP6"/>
      <c r="EPQ6"/>
      <c r="EPR6"/>
      <c r="EPS6"/>
      <c r="EPT6"/>
      <c r="EPU6"/>
      <c r="EPV6"/>
      <c r="EPW6"/>
      <c r="EPX6"/>
      <c r="EPY6"/>
      <c r="EPZ6"/>
      <c r="EQA6"/>
      <c r="EQB6"/>
      <c r="EQC6"/>
      <c r="EQD6"/>
      <c r="EQE6"/>
      <c r="EQF6"/>
      <c r="EQG6"/>
      <c r="EQH6"/>
      <c r="EQI6"/>
      <c r="EQJ6"/>
      <c r="EQK6"/>
      <c r="EQL6"/>
      <c r="EQM6"/>
      <c r="EQN6"/>
      <c r="EQO6"/>
      <c r="EQP6"/>
      <c r="EQQ6"/>
      <c r="EQR6"/>
      <c r="EQS6"/>
      <c r="EQT6"/>
      <c r="EQU6"/>
      <c r="EQV6"/>
      <c r="EQW6"/>
      <c r="EQX6"/>
      <c r="EQY6"/>
      <c r="EQZ6"/>
      <c r="ERA6"/>
      <c r="ERB6"/>
      <c r="ERC6"/>
      <c r="ERD6"/>
      <c r="ERE6"/>
      <c r="ERF6"/>
      <c r="ERG6"/>
      <c r="ERH6"/>
      <c r="ERI6"/>
      <c r="ERJ6"/>
      <c r="ERK6"/>
      <c r="ERL6"/>
      <c r="ERM6"/>
      <c r="ERN6"/>
      <c r="ERO6"/>
      <c r="ERP6"/>
      <c r="ERQ6"/>
      <c r="ERR6"/>
      <c r="ERS6"/>
      <c r="ERT6"/>
      <c r="ERU6"/>
      <c r="ERV6"/>
      <c r="ERW6"/>
      <c r="ERX6"/>
      <c r="ERY6"/>
      <c r="ERZ6"/>
      <c r="ESA6"/>
      <c r="ESB6"/>
      <c r="ESC6"/>
      <c r="ESD6"/>
      <c r="ESE6"/>
      <c r="ESF6"/>
      <c r="ESG6"/>
      <c r="ESH6"/>
      <c r="ESI6"/>
      <c r="ESJ6"/>
      <c r="ESK6"/>
      <c r="ESL6"/>
      <c r="ESM6"/>
      <c r="ESN6"/>
      <c r="ESO6"/>
      <c r="ESP6"/>
      <c r="ESQ6"/>
      <c r="ESR6"/>
      <c r="ESS6"/>
      <c r="EST6"/>
      <c r="ESU6"/>
      <c r="ESV6"/>
      <c r="ESW6"/>
      <c r="ESX6"/>
      <c r="ESY6"/>
      <c r="ESZ6"/>
      <c r="ETA6"/>
      <c r="ETB6"/>
      <c r="ETC6"/>
      <c r="ETD6"/>
      <c r="ETE6"/>
      <c r="ETF6"/>
      <c r="ETG6"/>
      <c r="ETH6"/>
      <c r="ETI6"/>
      <c r="ETJ6"/>
      <c r="ETK6"/>
      <c r="ETL6"/>
      <c r="ETM6"/>
      <c r="ETN6"/>
      <c r="ETO6"/>
      <c r="ETP6"/>
      <c r="ETQ6"/>
      <c r="ETR6"/>
      <c r="ETS6"/>
      <c r="ETT6"/>
      <c r="ETU6"/>
      <c r="ETV6"/>
      <c r="ETW6"/>
      <c r="ETX6"/>
      <c r="ETY6"/>
      <c r="ETZ6"/>
      <c r="EUA6"/>
      <c r="EUB6"/>
      <c r="EUC6"/>
      <c r="EUD6"/>
      <c r="EUE6"/>
      <c r="EUF6"/>
      <c r="EUG6"/>
      <c r="EUH6"/>
      <c r="EUI6"/>
      <c r="EUJ6"/>
      <c r="EUK6"/>
      <c r="EUL6"/>
      <c r="EUM6"/>
      <c r="EUN6"/>
      <c r="EUO6"/>
      <c r="EUP6"/>
      <c r="EUQ6"/>
      <c r="EUR6"/>
      <c r="EUS6"/>
      <c r="EUT6"/>
      <c r="EUU6"/>
      <c r="EUV6"/>
      <c r="EUW6"/>
      <c r="EUX6"/>
      <c r="EUY6"/>
      <c r="EUZ6"/>
      <c r="EVA6"/>
      <c r="EVB6"/>
      <c r="EVC6"/>
      <c r="EVD6"/>
      <c r="EVE6"/>
      <c r="EVF6"/>
      <c r="EVG6"/>
      <c r="EVH6"/>
      <c r="EVI6"/>
      <c r="EVJ6"/>
      <c r="EVK6"/>
      <c r="EVL6"/>
      <c r="EVM6"/>
      <c r="EVN6"/>
      <c r="EVO6"/>
      <c r="EVP6"/>
      <c r="EVQ6"/>
      <c r="EVR6"/>
      <c r="EVS6"/>
      <c r="EVT6"/>
      <c r="EVU6"/>
      <c r="EVV6"/>
      <c r="EVW6"/>
      <c r="EVX6"/>
      <c r="EVY6"/>
      <c r="EVZ6"/>
      <c r="EWA6"/>
      <c r="EWB6"/>
      <c r="EWC6"/>
      <c r="EWD6"/>
      <c r="EWE6"/>
      <c r="EWF6"/>
      <c r="EWG6"/>
      <c r="EWH6"/>
      <c r="EWI6"/>
      <c r="EWJ6"/>
      <c r="EWK6"/>
      <c r="EWL6"/>
      <c r="EWM6"/>
      <c r="EWN6"/>
      <c r="EWO6"/>
      <c r="EWP6"/>
      <c r="EWQ6"/>
      <c r="EWR6"/>
      <c r="EWS6"/>
      <c r="EWT6"/>
      <c r="EWU6"/>
      <c r="EWV6"/>
      <c r="EWW6"/>
      <c r="EWX6"/>
      <c r="EWY6"/>
      <c r="EWZ6"/>
      <c r="EXA6"/>
      <c r="EXB6"/>
      <c r="EXC6"/>
      <c r="EXD6"/>
      <c r="EXE6"/>
      <c r="EXF6"/>
      <c r="EXG6"/>
      <c r="EXH6"/>
      <c r="EXI6"/>
      <c r="EXJ6"/>
      <c r="EXK6"/>
      <c r="EXL6"/>
      <c r="EXM6"/>
      <c r="EXN6"/>
      <c r="EXO6"/>
      <c r="EXP6"/>
      <c r="EXQ6"/>
      <c r="EXR6"/>
      <c r="EXS6"/>
      <c r="EXT6"/>
      <c r="EXU6"/>
      <c r="EXV6"/>
      <c r="EXW6"/>
      <c r="EXX6"/>
      <c r="EXY6"/>
      <c r="EXZ6"/>
      <c r="EYA6"/>
      <c r="EYB6"/>
      <c r="EYC6"/>
      <c r="EYD6"/>
      <c r="EYE6"/>
      <c r="EYF6"/>
      <c r="EYG6"/>
      <c r="EYH6"/>
      <c r="EYI6"/>
      <c r="EYJ6"/>
      <c r="EYK6"/>
      <c r="EYL6"/>
      <c r="EYM6"/>
      <c r="EYN6"/>
      <c r="EYO6"/>
      <c r="EYP6"/>
      <c r="EYQ6"/>
      <c r="EYR6"/>
      <c r="EYS6"/>
      <c r="EYT6"/>
      <c r="EYU6"/>
      <c r="EYV6"/>
      <c r="EYW6"/>
      <c r="EYX6"/>
      <c r="EYY6"/>
      <c r="EYZ6"/>
      <c r="EZA6"/>
      <c r="EZB6"/>
      <c r="EZC6"/>
      <c r="EZD6"/>
      <c r="EZE6"/>
      <c r="EZF6"/>
      <c r="EZG6"/>
      <c r="EZH6"/>
      <c r="EZI6"/>
      <c r="EZJ6"/>
      <c r="EZK6"/>
      <c r="EZL6"/>
      <c r="EZM6"/>
      <c r="EZN6"/>
      <c r="EZO6"/>
      <c r="EZP6"/>
      <c r="EZQ6"/>
      <c r="EZR6"/>
      <c r="EZS6"/>
      <c r="EZT6"/>
      <c r="EZU6"/>
      <c r="EZV6"/>
      <c r="EZW6"/>
      <c r="EZX6"/>
      <c r="EZY6"/>
      <c r="EZZ6"/>
      <c r="FAA6"/>
      <c r="FAB6"/>
      <c r="FAC6"/>
      <c r="FAD6"/>
      <c r="FAE6"/>
      <c r="FAF6"/>
      <c r="FAG6"/>
      <c r="FAH6"/>
      <c r="FAI6"/>
      <c r="FAJ6"/>
      <c r="FAK6"/>
      <c r="FAL6"/>
      <c r="FAM6"/>
      <c r="FAN6"/>
      <c r="FAO6"/>
      <c r="FAP6"/>
      <c r="FAQ6"/>
      <c r="FAR6"/>
      <c r="FAS6"/>
      <c r="FAT6"/>
      <c r="FAU6"/>
      <c r="FAV6"/>
      <c r="FAW6"/>
      <c r="FAX6"/>
      <c r="FAY6"/>
      <c r="FAZ6"/>
      <c r="FBA6"/>
      <c r="FBB6"/>
      <c r="FBC6"/>
      <c r="FBD6"/>
      <c r="FBE6"/>
      <c r="FBF6"/>
      <c r="FBG6"/>
      <c r="FBH6"/>
      <c r="FBI6"/>
      <c r="FBJ6"/>
      <c r="FBK6"/>
      <c r="FBL6"/>
      <c r="FBM6"/>
      <c r="FBN6"/>
      <c r="FBO6"/>
      <c r="FBP6"/>
      <c r="FBQ6"/>
      <c r="FBR6"/>
      <c r="FBS6"/>
      <c r="FBT6"/>
      <c r="FBU6"/>
      <c r="FBV6"/>
      <c r="FBW6"/>
      <c r="FBX6"/>
      <c r="FBY6"/>
      <c r="FBZ6"/>
      <c r="FCA6"/>
      <c r="FCB6"/>
      <c r="FCC6"/>
      <c r="FCD6"/>
      <c r="FCE6"/>
      <c r="FCF6"/>
      <c r="FCG6"/>
      <c r="FCH6"/>
      <c r="FCI6"/>
      <c r="FCJ6"/>
      <c r="FCK6"/>
      <c r="FCL6"/>
      <c r="FCM6"/>
      <c r="FCN6"/>
      <c r="FCO6"/>
      <c r="FCP6"/>
      <c r="FCQ6"/>
      <c r="FCR6"/>
      <c r="FCS6"/>
      <c r="FCT6"/>
      <c r="FCU6"/>
      <c r="FCV6"/>
      <c r="FCW6"/>
      <c r="FCX6"/>
      <c r="FCY6"/>
      <c r="FCZ6"/>
      <c r="FDA6"/>
      <c r="FDB6"/>
      <c r="FDC6"/>
      <c r="FDD6"/>
      <c r="FDE6"/>
      <c r="FDF6"/>
      <c r="FDG6"/>
      <c r="FDH6"/>
      <c r="FDI6"/>
      <c r="FDJ6"/>
      <c r="FDK6"/>
      <c r="FDL6"/>
      <c r="FDM6"/>
      <c r="FDN6"/>
      <c r="FDO6"/>
      <c r="FDP6"/>
      <c r="FDQ6"/>
      <c r="FDR6"/>
      <c r="FDS6"/>
      <c r="FDT6"/>
      <c r="FDU6"/>
      <c r="FDV6"/>
      <c r="FDW6"/>
      <c r="FDX6"/>
      <c r="FDY6"/>
      <c r="FDZ6"/>
      <c r="FEA6"/>
      <c r="FEB6"/>
      <c r="FEC6"/>
      <c r="FED6"/>
      <c r="FEE6"/>
      <c r="FEF6"/>
      <c r="FEG6"/>
      <c r="FEH6"/>
      <c r="FEI6"/>
      <c r="FEJ6"/>
      <c r="FEK6"/>
      <c r="FEL6"/>
      <c r="FEM6"/>
      <c r="FEN6"/>
      <c r="FEO6"/>
      <c r="FEP6"/>
      <c r="FEQ6"/>
      <c r="FER6"/>
      <c r="FES6"/>
      <c r="FET6"/>
      <c r="FEU6"/>
      <c r="FEV6"/>
      <c r="FEW6"/>
      <c r="FEX6"/>
      <c r="FEY6"/>
      <c r="FEZ6"/>
      <c r="FFA6"/>
      <c r="FFB6"/>
      <c r="FFC6"/>
      <c r="FFD6"/>
      <c r="FFE6"/>
      <c r="FFF6"/>
      <c r="FFG6"/>
      <c r="FFH6"/>
      <c r="FFI6"/>
      <c r="FFJ6"/>
      <c r="FFK6"/>
      <c r="FFL6"/>
      <c r="FFM6"/>
      <c r="FFN6"/>
      <c r="FFO6"/>
      <c r="FFP6"/>
      <c r="FFQ6"/>
      <c r="FFR6"/>
      <c r="FFS6"/>
      <c r="FFT6"/>
      <c r="FFU6"/>
      <c r="FFV6"/>
      <c r="FFW6"/>
      <c r="FFX6"/>
      <c r="FFY6"/>
      <c r="FFZ6"/>
      <c r="FGA6"/>
      <c r="FGB6"/>
      <c r="FGC6"/>
      <c r="FGD6"/>
      <c r="FGE6"/>
      <c r="FGF6"/>
      <c r="FGG6"/>
      <c r="FGH6"/>
      <c r="FGI6"/>
      <c r="FGJ6"/>
      <c r="FGK6"/>
      <c r="FGL6"/>
      <c r="FGM6"/>
      <c r="FGN6"/>
      <c r="FGO6"/>
      <c r="FGP6"/>
      <c r="FGQ6"/>
      <c r="FGR6"/>
      <c r="FGS6"/>
      <c r="FGT6"/>
      <c r="FGU6"/>
      <c r="FGV6"/>
      <c r="FGW6"/>
      <c r="FGX6"/>
      <c r="FGY6"/>
      <c r="FGZ6"/>
      <c r="FHA6"/>
      <c r="FHB6"/>
      <c r="FHC6"/>
      <c r="FHD6"/>
      <c r="FHE6"/>
      <c r="FHF6"/>
      <c r="FHG6"/>
      <c r="FHH6"/>
      <c r="FHI6"/>
      <c r="FHJ6"/>
      <c r="FHK6"/>
      <c r="FHL6"/>
      <c r="FHM6"/>
      <c r="FHN6"/>
      <c r="FHO6"/>
      <c r="FHP6"/>
      <c r="FHQ6"/>
      <c r="FHR6"/>
      <c r="FHS6"/>
      <c r="FHT6"/>
      <c r="FHU6"/>
      <c r="FHV6"/>
      <c r="FHW6"/>
      <c r="FHX6"/>
      <c r="FHY6"/>
      <c r="FHZ6"/>
      <c r="FIA6"/>
      <c r="FIB6"/>
      <c r="FIC6"/>
      <c r="FID6"/>
      <c r="FIE6"/>
      <c r="FIF6"/>
      <c r="FIG6"/>
      <c r="FIH6"/>
      <c r="FII6"/>
      <c r="FIJ6"/>
      <c r="FIK6"/>
      <c r="FIL6"/>
      <c r="FIM6"/>
      <c r="FIN6"/>
      <c r="FIO6"/>
      <c r="FIP6"/>
      <c r="FIQ6"/>
      <c r="FIR6"/>
      <c r="FIS6"/>
      <c r="FIT6"/>
      <c r="FIU6"/>
      <c r="FIV6"/>
      <c r="FIW6"/>
      <c r="FIX6"/>
      <c r="FIY6"/>
      <c r="FIZ6"/>
      <c r="FJA6"/>
      <c r="FJB6"/>
      <c r="FJC6"/>
      <c r="FJD6"/>
      <c r="FJE6"/>
      <c r="FJF6"/>
      <c r="FJG6"/>
      <c r="FJH6"/>
      <c r="FJI6"/>
      <c r="FJJ6"/>
      <c r="FJK6"/>
      <c r="FJL6"/>
      <c r="FJM6"/>
      <c r="FJN6"/>
      <c r="FJO6"/>
      <c r="FJP6"/>
      <c r="FJQ6"/>
      <c r="FJR6"/>
      <c r="FJS6"/>
      <c r="FJT6"/>
      <c r="FJU6"/>
      <c r="FJV6"/>
      <c r="FJW6"/>
      <c r="FJX6"/>
      <c r="FJY6"/>
      <c r="FJZ6"/>
      <c r="FKA6"/>
      <c r="FKB6"/>
      <c r="FKC6"/>
      <c r="FKD6"/>
      <c r="FKE6"/>
      <c r="FKF6"/>
      <c r="FKG6"/>
      <c r="FKH6"/>
      <c r="FKI6"/>
      <c r="FKJ6"/>
      <c r="FKK6"/>
      <c r="FKL6"/>
      <c r="FKM6"/>
      <c r="FKN6"/>
      <c r="FKO6"/>
      <c r="FKP6"/>
      <c r="FKQ6"/>
      <c r="FKR6"/>
      <c r="FKS6"/>
      <c r="FKT6"/>
      <c r="FKU6"/>
      <c r="FKV6"/>
      <c r="FKW6"/>
      <c r="FKX6"/>
      <c r="FKY6"/>
      <c r="FKZ6"/>
      <c r="FLA6"/>
      <c r="FLB6"/>
      <c r="FLC6"/>
      <c r="FLD6"/>
      <c r="FLE6"/>
      <c r="FLF6"/>
      <c r="FLG6"/>
      <c r="FLH6"/>
      <c r="FLI6"/>
      <c r="FLJ6"/>
      <c r="FLK6"/>
      <c r="FLL6"/>
      <c r="FLM6"/>
      <c r="FLN6"/>
      <c r="FLO6"/>
      <c r="FLP6"/>
      <c r="FLQ6"/>
      <c r="FLR6"/>
      <c r="FLS6"/>
      <c r="FLT6"/>
      <c r="FLU6"/>
      <c r="FLV6"/>
      <c r="FLW6"/>
      <c r="FLX6"/>
      <c r="FLY6"/>
      <c r="FLZ6"/>
      <c r="FMA6"/>
      <c r="FMB6"/>
      <c r="FMC6"/>
      <c r="FMD6"/>
      <c r="FME6"/>
      <c r="FMF6"/>
      <c r="FMG6"/>
      <c r="FMH6"/>
      <c r="FMI6"/>
      <c r="FMJ6"/>
      <c r="FMK6"/>
      <c r="FML6"/>
      <c r="FMM6"/>
      <c r="FMN6"/>
      <c r="FMO6"/>
      <c r="FMP6"/>
      <c r="FMQ6"/>
      <c r="FMR6"/>
      <c r="FMS6"/>
      <c r="FMT6"/>
      <c r="FMU6"/>
      <c r="FMV6"/>
      <c r="FMW6"/>
      <c r="FMX6"/>
      <c r="FMY6"/>
      <c r="FMZ6"/>
      <c r="FNA6"/>
      <c r="FNB6"/>
      <c r="FNC6"/>
      <c r="FND6"/>
      <c r="FNE6"/>
      <c r="FNF6"/>
      <c r="FNG6"/>
      <c r="FNH6"/>
      <c r="FNI6"/>
      <c r="FNJ6"/>
      <c r="FNK6"/>
      <c r="FNL6"/>
      <c r="FNM6"/>
      <c r="FNN6"/>
      <c r="FNO6"/>
      <c r="FNP6"/>
      <c r="FNQ6"/>
      <c r="FNR6"/>
      <c r="FNS6"/>
      <c r="FNT6"/>
      <c r="FNU6"/>
      <c r="FNV6"/>
      <c r="FNW6"/>
      <c r="FNX6"/>
      <c r="FNY6"/>
      <c r="FNZ6"/>
      <c r="FOA6"/>
      <c r="FOB6"/>
      <c r="FOC6"/>
      <c r="FOD6"/>
      <c r="FOE6"/>
      <c r="FOF6"/>
      <c r="FOG6"/>
      <c r="FOH6"/>
      <c r="FOI6"/>
      <c r="FOJ6"/>
      <c r="FOK6"/>
      <c r="FOL6"/>
      <c r="FOM6"/>
      <c r="FON6"/>
      <c r="FOO6"/>
      <c r="FOP6"/>
      <c r="FOQ6"/>
      <c r="FOR6"/>
      <c r="FOS6"/>
      <c r="FOT6"/>
      <c r="FOU6"/>
      <c r="FOV6"/>
      <c r="FOW6"/>
      <c r="FOX6"/>
      <c r="FOY6"/>
      <c r="FOZ6"/>
      <c r="FPA6"/>
      <c r="FPB6"/>
      <c r="FPC6"/>
      <c r="FPD6"/>
      <c r="FPE6"/>
      <c r="FPF6"/>
      <c r="FPG6"/>
      <c r="FPH6"/>
      <c r="FPI6"/>
      <c r="FPJ6"/>
      <c r="FPK6"/>
      <c r="FPL6"/>
      <c r="FPM6"/>
      <c r="FPN6"/>
      <c r="FPO6"/>
      <c r="FPP6"/>
      <c r="FPQ6"/>
      <c r="FPR6"/>
      <c r="FPS6"/>
      <c r="FPT6"/>
      <c r="FPU6"/>
      <c r="FPV6"/>
      <c r="FPW6"/>
      <c r="FPX6"/>
      <c r="FPY6"/>
      <c r="FPZ6"/>
      <c r="FQA6"/>
      <c r="FQB6"/>
      <c r="FQC6"/>
      <c r="FQD6"/>
      <c r="FQE6"/>
      <c r="FQF6"/>
      <c r="FQG6"/>
      <c r="FQH6"/>
      <c r="FQI6"/>
      <c r="FQJ6"/>
      <c r="FQK6"/>
      <c r="FQL6"/>
      <c r="FQM6"/>
      <c r="FQN6"/>
      <c r="FQO6"/>
      <c r="FQP6"/>
      <c r="FQQ6"/>
      <c r="FQR6"/>
      <c r="FQS6"/>
      <c r="FQT6"/>
      <c r="FQU6"/>
      <c r="FQV6"/>
      <c r="FQW6"/>
      <c r="FQX6"/>
      <c r="FQY6"/>
      <c r="FQZ6"/>
      <c r="FRA6"/>
      <c r="FRB6"/>
      <c r="FRC6"/>
      <c r="FRD6"/>
      <c r="FRE6"/>
      <c r="FRF6"/>
      <c r="FRG6"/>
      <c r="FRH6"/>
      <c r="FRI6"/>
      <c r="FRJ6"/>
      <c r="FRK6"/>
      <c r="FRL6"/>
      <c r="FRM6"/>
      <c r="FRN6"/>
      <c r="FRO6"/>
      <c r="FRP6"/>
      <c r="FRQ6"/>
      <c r="FRR6"/>
      <c r="FRS6"/>
      <c r="FRT6"/>
      <c r="FRU6"/>
      <c r="FRV6"/>
      <c r="FRW6"/>
      <c r="FRX6"/>
      <c r="FRY6"/>
      <c r="FRZ6"/>
      <c r="FSA6"/>
      <c r="FSB6"/>
      <c r="FSC6"/>
      <c r="FSD6"/>
      <c r="FSE6"/>
      <c r="FSF6"/>
      <c r="FSG6"/>
      <c r="FSH6"/>
      <c r="FSI6"/>
      <c r="FSJ6"/>
      <c r="FSK6"/>
      <c r="FSL6"/>
      <c r="FSM6"/>
      <c r="FSN6"/>
      <c r="FSO6"/>
      <c r="FSP6"/>
      <c r="FSQ6"/>
      <c r="FSR6"/>
      <c r="FSS6"/>
      <c r="FST6"/>
      <c r="FSU6"/>
      <c r="FSV6"/>
      <c r="FSW6"/>
      <c r="FSX6"/>
      <c r="FSY6"/>
      <c r="FSZ6"/>
      <c r="FTA6"/>
      <c r="FTB6"/>
      <c r="FTC6"/>
      <c r="FTD6"/>
      <c r="FTE6"/>
      <c r="FTF6"/>
      <c r="FTG6"/>
      <c r="FTH6"/>
      <c r="FTI6"/>
      <c r="FTJ6"/>
      <c r="FTK6"/>
      <c r="FTL6"/>
      <c r="FTM6"/>
      <c r="FTN6"/>
      <c r="FTO6"/>
      <c r="FTP6"/>
      <c r="FTQ6"/>
      <c r="FTR6"/>
      <c r="FTS6"/>
      <c r="FTT6"/>
      <c r="FTU6"/>
      <c r="FTV6"/>
      <c r="FTW6"/>
      <c r="FTX6"/>
      <c r="FTY6"/>
      <c r="FTZ6"/>
      <c r="FUA6"/>
      <c r="FUB6"/>
      <c r="FUC6"/>
      <c r="FUD6"/>
      <c r="FUE6"/>
      <c r="FUF6"/>
      <c r="FUG6"/>
      <c r="FUH6"/>
      <c r="FUI6"/>
      <c r="FUJ6"/>
      <c r="FUK6"/>
      <c r="FUL6"/>
      <c r="FUM6"/>
      <c r="FUN6"/>
      <c r="FUO6"/>
      <c r="FUP6"/>
      <c r="FUQ6"/>
      <c r="FUR6"/>
      <c r="FUS6"/>
      <c r="FUT6"/>
      <c r="FUU6"/>
      <c r="FUV6"/>
      <c r="FUW6"/>
      <c r="FUX6"/>
      <c r="FUY6"/>
      <c r="FUZ6"/>
      <c r="FVA6"/>
      <c r="FVB6"/>
      <c r="FVC6"/>
      <c r="FVD6"/>
      <c r="FVE6"/>
      <c r="FVF6"/>
      <c r="FVG6"/>
      <c r="FVH6"/>
      <c r="FVI6"/>
      <c r="FVJ6"/>
      <c r="FVK6"/>
      <c r="FVL6"/>
      <c r="FVM6"/>
      <c r="FVN6"/>
      <c r="FVO6"/>
      <c r="FVP6"/>
      <c r="FVQ6"/>
      <c r="FVR6"/>
      <c r="FVS6"/>
      <c r="FVT6"/>
      <c r="FVU6"/>
      <c r="FVV6"/>
      <c r="FVW6"/>
      <c r="FVX6"/>
      <c r="FVY6"/>
      <c r="FVZ6"/>
      <c r="FWA6"/>
      <c r="FWB6"/>
      <c r="FWC6"/>
      <c r="FWD6"/>
      <c r="FWE6"/>
      <c r="FWF6"/>
      <c r="FWG6"/>
      <c r="FWH6"/>
      <c r="FWI6"/>
      <c r="FWJ6"/>
      <c r="FWK6"/>
      <c r="FWL6"/>
      <c r="FWM6"/>
      <c r="FWN6"/>
      <c r="FWO6"/>
      <c r="FWP6"/>
      <c r="FWQ6"/>
      <c r="FWR6"/>
      <c r="FWS6"/>
      <c r="FWT6"/>
      <c r="FWU6"/>
      <c r="FWV6"/>
      <c r="FWW6"/>
      <c r="FWX6"/>
      <c r="FWY6"/>
      <c r="FWZ6"/>
      <c r="FXA6"/>
      <c r="FXB6"/>
      <c r="FXC6"/>
      <c r="FXD6"/>
      <c r="FXE6"/>
      <c r="FXF6"/>
      <c r="FXG6"/>
      <c r="FXH6"/>
      <c r="FXI6"/>
      <c r="FXJ6"/>
      <c r="FXK6"/>
      <c r="FXL6"/>
      <c r="FXM6"/>
      <c r="FXN6"/>
      <c r="FXO6"/>
      <c r="FXP6"/>
      <c r="FXQ6"/>
      <c r="FXR6"/>
      <c r="FXS6"/>
      <c r="FXT6"/>
      <c r="FXU6"/>
      <c r="FXV6"/>
      <c r="FXW6"/>
      <c r="FXX6"/>
      <c r="FXY6"/>
      <c r="FXZ6"/>
      <c r="FYA6"/>
      <c r="FYB6"/>
      <c r="FYC6"/>
      <c r="FYD6"/>
      <c r="FYE6"/>
      <c r="FYF6"/>
      <c r="FYG6"/>
      <c r="FYH6"/>
      <c r="FYI6"/>
      <c r="FYJ6"/>
      <c r="FYK6"/>
      <c r="FYL6"/>
      <c r="FYM6"/>
      <c r="FYN6"/>
      <c r="FYO6"/>
      <c r="FYP6"/>
      <c r="FYQ6"/>
      <c r="FYR6"/>
      <c r="FYS6"/>
      <c r="FYT6"/>
      <c r="FYU6"/>
      <c r="FYV6"/>
      <c r="FYW6"/>
      <c r="FYX6"/>
      <c r="FYY6"/>
      <c r="FYZ6"/>
      <c r="FZA6"/>
      <c r="FZB6"/>
      <c r="FZC6"/>
      <c r="FZD6"/>
      <c r="FZE6"/>
      <c r="FZF6"/>
      <c r="FZG6"/>
      <c r="FZH6"/>
      <c r="FZI6"/>
      <c r="FZJ6"/>
      <c r="FZK6"/>
      <c r="FZL6"/>
      <c r="FZM6"/>
      <c r="FZN6"/>
      <c r="FZO6"/>
      <c r="FZP6"/>
      <c r="FZQ6"/>
      <c r="FZR6"/>
      <c r="FZS6"/>
      <c r="FZT6"/>
      <c r="FZU6"/>
      <c r="FZV6"/>
      <c r="FZW6"/>
      <c r="FZX6"/>
      <c r="FZY6"/>
      <c r="FZZ6"/>
      <c r="GAA6"/>
      <c r="GAB6"/>
      <c r="GAC6"/>
      <c r="GAD6"/>
      <c r="GAE6"/>
      <c r="GAF6"/>
      <c r="GAG6"/>
      <c r="GAH6"/>
      <c r="GAI6"/>
      <c r="GAJ6"/>
      <c r="GAK6"/>
      <c r="GAL6"/>
      <c r="GAM6"/>
      <c r="GAN6"/>
      <c r="GAO6"/>
      <c r="GAP6"/>
      <c r="GAQ6"/>
      <c r="GAR6"/>
      <c r="GAS6"/>
      <c r="GAT6"/>
      <c r="GAU6"/>
      <c r="GAV6"/>
      <c r="GAW6"/>
      <c r="GAX6"/>
      <c r="GAY6"/>
      <c r="GAZ6"/>
      <c r="GBA6"/>
      <c r="GBB6"/>
      <c r="GBC6"/>
      <c r="GBD6"/>
      <c r="GBE6"/>
      <c r="GBF6"/>
      <c r="GBG6"/>
      <c r="GBH6"/>
      <c r="GBI6"/>
      <c r="GBJ6"/>
      <c r="GBK6"/>
      <c r="GBL6"/>
      <c r="GBM6"/>
      <c r="GBN6"/>
      <c r="GBO6"/>
      <c r="GBP6"/>
      <c r="GBQ6"/>
      <c r="GBR6"/>
      <c r="GBS6"/>
      <c r="GBT6"/>
      <c r="GBU6"/>
      <c r="GBV6"/>
      <c r="GBW6"/>
      <c r="GBX6"/>
      <c r="GBY6"/>
      <c r="GBZ6"/>
      <c r="GCA6"/>
      <c r="GCB6"/>
      <c r="GCC6"/>
      <c r="GCD6"/>
      <c r="GCE6"/>
      <c r="GCF6"/>
      <c r="GCG6"/>
      <c r="GCH6"/>
      <c r="GCI6"/>
      <c r="GCJ6"/>
      <c r="GCK6"/>
      <c r="GCL6"/>
      <c r="GCM6"/>
      <c r="GCN6"/>
      <c r="GCO6"/>
      <c r="GCP6"/>
      <c r="GCQ6"/>
      <c r="GCR6"/>
      <c r="GCS6"/>
      <c r="GCT6"/>
      <c r="GCU6"/>
      <c r="GCV6"/>
      <c r="GCW6"/>
      <c r="GCX6"/>
      <c r="GCY6"/>
      <c r="GCZ6"/>
      <c r="GDA6"/>
      <c r="GDB6"/>
      <c r="GDC6"/>
      <c r="GDD6"/>
      <c r="GDE6"/>
      <c r="GDF6"/>
      <c r="GDG6"/>
      <c r="GDH6"/>
      <c r="GDI6"/>
      <c r="GDJ6"/>
      <c r="GDK6"/>
      <c r="GDL6"/>
      <c r="GDM6"/>
      <c r="GDN6"/>
      <c r="GDO6"/>
      <c r="GDP6"/>
      <c r="GDQ6"/>
      <c r="GDR6"/>
      <c r="GDS6"/>
      <c r="GDT6"/>
      <c r="GDU6"/>
      <c r="GDV6"/>
      <c r="GDW6"/>
      <c r="GDX6"/>
      <c r="GDY6"/>
      <c r="GDZ6"/>
      <c r="GEA6"/>
      <c r="GEB6"/>
      <c r="GEC6"/>
      <c r="GED6"/>
      <c r="GEE6"/>
      <c r="GEF6"/>
      <c r="GEG6"/>
      <c r="GEH6"/>
      <c r="GEI6"/>
      <c r="GEJ6"/>
      <c r="GEK6"/>
      <c r="GEL6"/>
      <c r="GEM6"/>
      <c r="GEN6"/>
      <c r="GEO6"/>
      <c r="GEP6"/>
      <c r="GEQ6"/>
      <c r="GER6"/>
      <c r="GES6"/>
      <c r="GET6"/>
      <c r="GEU6"/>
      <c r="GEV6"/>
      <c r="GEW6"/>
      <c r="GEX6"/>
      <c r="GEY6"/>
      <c r="GEZ6"/>
      <c r="GFA6"/>
      <c r="GFB6"/>
      <c r="GFC6"/>
      <c r="GFD6"/>
      <c r="GFE6"/>
      <c r="GFF6"/>
      <c r="GFG6"/>
      <c r="GFH6"/>
      <c r="GFI6"/>
      <c r="GFJ6"/>
      <c r="GFK6"/>
      <c r="GFL6"/>
      <c r="GFM6"/>
      <c r="GFN6"/>
      <c r="GFO6"/>
      <c r="GFP6"/>
      <c r="GFQ6"/>
      <c r="GFR6"/>
      <c r="GFS6"/>
      <c r="GFT6"/>
      <c r="GFU6"/>
      <c r="GFV6"/>
      <c r="GFW6"/>
      <c r="GFX6"/>
      <c r="GFY6"/>
      <c r="GFZ6"/>
      <c r="GGA6"/>
      <c r="GGB6"/>
      <c r="GGC6"/>
      <c r="GGD6"/>
      <c r="GGE6"/>
      <c r="GGF6"/>
      <c r="GGG6"/>
      <c r="GGH6"/>
      <c r="GGI6"/>
      <c r="GGJ6"/>
      <c r="GGK6"/>
      <c r="GGL6"/>
      <c r="GGM6"/>
      <c r="GGN6"/>
      <c r="GGO6"/>
      <c r="GGP6"/>
      <c r="GGQ6"/>
      <c r="GGR6"/>
      <c r="GGS6"/>
      <c r="GGT6"/>
      <c r="GGU6"/>
      <c r="GGV6"/>
      <c r="GGW6"/>
      <c r="GGX6"/>
      <c r="GGY6"/>
      <c r="GGZ6"/>
      <c r="GHA6"/>
      <c r="GHB6"/>
      <c r="GHC6"/>
      <c r="GHD6"/>
      <c r="GHE6"/>
      <c r="GHF6"/>
      <c r="GHG6"/>
      <c r="GHH6"/>
      <c r="GHI6"/>
      <c r="GHJ6"/>
      <c r="GHK6"/>
      <c r="GHL6"/>
      <c r="GHM6"/>
      <c r="GHN6"/>
      <c r="GHO6"/>
      <c r="GHP6"/>
      <c r="GHQ6"/>
      <c r="GHR6"/>
      <c r="GHS6"/>
      <c r="GHT6"/>
      <c r="GHU6"/>
      <c r="GHV6"/>
      <c r="GHW6"/>
      <c r="GHX6"/>
      <c r="GHY6"/>
      <c r="GHZ6"/>
      <c r="GIA6"/>
      <c r="GIB6"/>
      <c r="GIC6"/>
      <c r="GID6"/>
      <c r="GIE6"/>
      <c r="GIF6"/>
      <c r="GIG6"/>
      <c r="GIH6"/>
      <c r="GII6"/>
      <c r="GIJ6"/>
      <c r="GIK6"/>
      <c r="GIL6"/>
      <c r="GIM6"/>
      <c r="GIN6"/>
      <c r="GIO6"/>
      <c r="GIP6"/>
      <c r="GIQ6"/>
      <c r="GIR6"/>
      <c r="GIS6"/>
      <c r="GIT6"/>
      <c r="GIU6"/>
      <c r="GIV6"/>
      <c r="GIW6"/>
      <c r="GIX6"/>
      <c r="GIY6"/>
      <c r="GIZ6"/>
      <c r="GJA6"/>
      <c r="GJB6"/>
      <c r="GJC6"/>
      <c r="GJD6"/>
      <c r="GJE6"/>
      <c r="GJF6"/>
      <c r="GJG6"/>
      <c r="GJH6"/>
      <c r="GJI6"/>
      <c r="GJJ6"/>
      <c r="GJK6"/>
      <c r="GJL6"/>
      <c r="GJM6"/>
      <c r="GJN6"/>
      <c r="GJO6"/>
      <c r="GJP6"/>
      <c r="GJQ6"/>
      <c r="GJR6"/>
      <c r="GJS6"/>
      <c r="GJT6"/>
      <c r="GJU6"/>
      <c r="GJV6"/>
      <c r="GJW6"/>
      <c r="GJX6"/>
      <c r="GJY6"/>
      <c r="GJZ6"/>
      <c r="GKA6"/>
      <c r="GKB6"/>
      <c r="GKC6"/>
      <c r="GKD6"/>
      <c r="GKE6"/>
      <c r="GKF6"/>
      <c r="GKG6"/>
      <c r="GKH6"/>
      <c r="GKI6"/>
      <c r="GKJ6"/>
      <c r="GKK6"/>
      <c r="GKL6"/>
      <c r="GKM6"/>
      <c r="GKN6"/>
      <c r="GKO6"/>
      <c r="GKP6"/>
      <c r="GKQ6"/>
      <c r="GKR6"/>
      <c r="GKS6"/>
      <c r="GKT6"/>
      <c r="GKU6"/>
      <c r="GKV6"/>
      <c r="GKW6"/>
      <c r="GKX6"/>
      <c r="GKY6"/>
      <c r="GKZ6"/>
      <c r="GLA6"/>
      <c r="GLB6"/>
      <c r="GLC6"/>
      <c r="GLD6"/>
      <c r="GLE6"/>
      <c r="GLF6"/>
      <c r="GLG6"/>
      <c r="GLH6"/>
      <c r="GLI6"/>
      <c r="GLJ6"/>
      <c r="GLK6"/>
      <c r="GLL6"/>
      <c r="GLM6"/>
      <c r="GLN6"/>
      <c r="GLO6"/>
      <c r="GLP6"/>
      <c r="GLQ6"/>
      <c r="GLR6"/>
      <c r="GLS6"/>
      <c r="GLT6"/>
      <c r="GLU6"/>
      <c r="GLV6"/>
      <c r="GLW6"/>
      <c r="GLX6"/>
      <c r="GLY6"/>
      <c r="GLZ6"/>
      <c r="GMA6"/>
      <c r="GMB6"/>
      <c r="GMC6"/>
      <c r="GMD6"/>
      <c r="GME6"/>
      <c r="GMF6"/>
      <c r="GMG6"/>
      <c r="GMH6"/>
      <c r="GMI6"/>
      <c r="GMJ6"/>
      <c r="GMK6"/>
      <c r="GML6"/>
      <c r="GMM6"/>
      <c r="GMN6"/>
      <c r="GMO6"/>
      <c r="GMP6"/>
      <c r="GMQ6"/>
      <c r="GMR6"/>
      <c r="GMS6"/>
      <c r="GMT6"/>
      <c r="GMU6"/>
      <c r="GMV6"/>
      <c r="GMW6"/>
      <c r="GMX6"/>
      <c r="GMY6"/>
      <c r="GMZ6"/>
      <c r="GNA6"/>
      <c r="GNB6"/>
      <c r="GNC6"/>
      <c r="GND6"/>
      <c r="GNE6"/>
      <c r="GNF6"/>
      <c r="GNG6"/>
      <c r="GNH6"/>
      <c r="GNI6"/>
      <c r="GNJ6"/>
      <c r="GNK6"/>
      <c r="GNL6"/>
      <c r="GNM6"/>
      <c r="GNN6"/>
      <c r="GNO6"/>
      <c r="GNP6"/>
      <c r="GNQ6"/>
      <c r="GNR6"/>
      <c r="GNS6"/>
      <c r="GNT6"/>
      <c r="GNU6"/>
      <c r="GNV6"/>
      <c r="GNW6"/>
      <c r="GNX6"/>
      <c r="GNY6"/>
      <c r="GNZ6"/>
      <c r="GOA6"/>
      <c r="GOB6"/>
      <c r="GOC6"/>
      <c r="GOD6"/>
      <c r="GOE6"/>
      <c r="GOF6"/>
      <c r="GOG6"/>
      <c r="GOH6"/>
      <c r="GOI6"/>
      <c r="GOJ6"/>
      <c r="GOK6"/>
      <c r="GOL6"/>
      <c r="GOM6"/>
      <c r="GON6"/>
      <c r="GOO6"/>
      <c r="GOP6"/>
      <c r="GOQ6"/>
      <c r="GOR6"/>
      <c r="GOS6"/>
      <c r="GOT6"/>
      <c r="GOU6"/>
      <c r="GOV6"/>
      <c r="GOW6"/>
      <c r="GOX6"/>
      <c r="GOY6"/>
      <c r="GOZ6"/>
      <c r="GPA6"/>
      <c r="GPB6"/>
      <c r="GPC6"/>
      <c r="GPD6"/>
      <c r="GPE6"/>
      <c r="GPF6"/>
      <c r="GPG6"/>
      <c r="GPH6"/>
      <c r="GPI6"/>
      <c r="GPJ6"/>
      <c r="GPK6"/>
      <c r="GPL6"/>
      <c r="GPM6"/>
      <c r="GPN6"/>
      <c r="GPO6"/>
      <c r="GPP6"/>
      <c r="GPQ6"/>
      <c r="GPR6"/>
      <c r="GPS6"/>
      <c r="GPT6"/>
      <c r="GPU6"/>
      <c r="GPV6"/>
      <c r="GPW6"/>
      <c r="GPX6"/>
      <c r="GPY6"/>
      <c r="GPZ6"/>
      <c r="GQA6"/>
      <c r="GQB6"/>
      <c r="GQC6"/>
      <c r="GQD6"/>
      <c r="GQE6"/>
      <c r="GQF6"/>
      <c r="GQG6"/>
      <c r="GQH6"/>
      <c r="GQI6"/>
      <c r="GQJ6"/>
      <c r="GQK6"/>
      <c r="GQL6"/>
      <c r="GQM6"/>
      <c r="GQN6"/>
      <c r="GQO6"/>
      <c r="GQP6"/>
      <c r="GQQ6"/>
      <c r="GQR6"/>
      <c r="GQS6"/>
      <c r="GQT6"/>
      <c r="GQU6"/>
      <c r="GQV6"/>
      <c r="GQW6"/>
      <c r="GQX6"/>
      <c r="GQY6"/>
      <c r="GQZ6"/>
      <c r="GRA6"/>
      <c r="GRB6"/>
      <c r="GRC6"/>
      <c r="GRD6"/>
      <c r="GRE6"/>
      <c r="GRF6"/>
      <c r="GRG6"/>
      <c r="GRH6"/>
      <c r="GRI6"/>
      <c r="GRJ6"/>
      <c r="GRK6"/>
      <c r="GRL6"/>
      <c r="GRM6"/>
      <c r="GRN6"/>
      <c r="GRO6"/>
      <c r="GRP6"/>
      <c r="GRQ6"/>
      <c r="GRR6"/>
      <c r="GRS6"/>
      <c r="GRT6"/>
      <c r="GRU6"/>
      <c r="GRV6"/>
      <c r="GRW6"/>
      <c r="GRX6"/>
      <c r="GRY6"/>
      <c r="GRZ6"/>
      <c r="GSA6"/>
      <c r="GSB6"/>
      <c r="GSC6"/>
      <c r="GSD6"/>
      <c r="GSE6"/>
      <c r="GSF6"/>
      <c r="GSG6"/>
      <c r="GSH6"/>
      <c r="GSI6"/>
      <c r="GSJ6"/>
      <c r="GSK6"/>
      <c r="GSL6"/>
      <c r="GSM6"/>
      <c r="GSN6"/>
      <c r="GSO6"/>
      <c r="GSP6"/>
      <c r="GSQ6"/>
      <c r="GSR6"/>
      <c r="GSS6"/>
      <c r="GST6"/>
      <c r="GSU6"/>
      <c r="GSV6"/>
      <c r="GSW6"/>
      <c r="GSX6"/>
      <c r="GSY6"/>
      <c r="GSZ6"/>
      <c r="GTA6"/>
      <c r="GTB6"/>
      <c r="GTC6"/>
      <c r="GTD6"/>
      <c r="GTE6"/>
      <c r="GTF6"/>
      <c r="GTG6"/>
      <c r="GTH6"/>
      <c r="GTI6"/>
      <c r="GTJ6"/>
      <c r="GTK6"/>
      <c r="GTL6"/>
      <c r="GTM6"/>
      <c r="GTN6"/>
      <c r="GTO6"/>
      <c r="GTP6"/>
      <c r="GTQ6"/>
      <c r="GTR6"/>
      <c r="GTS6"/>
      <c r="GTT6"/>
      <c r="GTU6"/>
      <c r="GTV6"/>
      <c r="GTW6"/>
      <c r="GTX6"/>
      <c r="GTY6"/>
      <c r="GTZ6"/>
      <c r="GUA6"/>
      <c r="GUB6"/>
      <c r="GUC6"/>
      <c r="GUD6"/>
      <c r="GUE6"/>
      <c r="GUF6"/>
      <c r="GUG6"/>
      <c r="GUH6"/>
      <c r="GUI6"/>
      <c r="GUJ6"/>
      <c r="GUK6"/>
      <c r="GUL6"/>
      <c r="GUM6"/>
      <c r="GUN6"/>
      <c r="GUO6"/>
      <c r="GUP6"/>
      <c r="GUQ6"/>
      <c r="GUR6"/>
      <c r="GUS6"/>
      <c r="GUT6"/>
      <c r="GUU6"/>
      <c r="GUV6"/>
      <c r="GUW6"/>
      <c r="GUX6"/>
      <c r="GUY6"/>
      <c r="GUZ6"/>
      <c r="GVA6"/>
      <c r="GVB6"/>
      <c r="GVC6"/>
      <c r="GVD6"/>
      <c r="GVE6"/>
      <c r="GVF6"/>
      <c r="GVG6"/>
      <c r="GVH6"/>
      <c r="GVI6"/>
      <c r="GVJ6"/>
      <c r="GVK6"/>
      <c r="GVL6"/>
      <c r="GVM6"/>
      <c r="GVN6"/>
      <c r="GVO6"/>
      <c r="GVP6"/>
      <c r="GVQ6"/>
      <c r="GVR6"/>
      <c r="GVS6"/>
      <c r="GVT6"/>
      <c r="GVU6"/>
      <c r="GVV6"/>
      <c r="GVW6"/>
      <c r="GVX6"/>
      <c r="GVY6"/>
      <c r="GVZ6"/>
      <c r="GWA6"/>
      <c r="GWB6"/>
      <c r="GWC6"/>
      <c r="GWD6"/>
      <c r="GWE6"/>
      <c r="GWF6"/>
      <c r="GWG6"/>
      <c r="GWH6"/>
      <c r="GWI6"/>
      <c r="GWJ6"/>
      <c r="GWK6"/>
      <c r="GWL6"/>
      <c r="GWM6"/>
      <c r="GWN6"/>
      <c r="GWO6"/>
      <c r="GWP6"/>
      <c r="GWQ6"/>
      <c r="GWR6"/>
      <c r="GWS6"/>
      <c r="GWT6"/>
      <c r="GWU6"/>
      <c r="GWV6"/>
      <c r="GWW6"/>
      <c r="GWX6"/>
      <c r="GWY6"/>
      <c r="GWZ6"/>
      <c r="GXA6"/>
      <c r="GXB6"/>
      <c r="GXC6"/>
      <c r="GXD6"/>
      <c r="GXE6"/>
      <c r="GXF6"/>
      <c r="GXG6"/>
      <c r="GXH6"/>
      <c r="GXI6"/>
      <c r="GXJ6"/>
      <c r="GXK6"/>
      <c r="GXL6"/>
      <c r="GXM6"/>
      <c r="GXN6"/>
      <c r="GXO6"/>
      <c r="GXP6"/>
      <c r="GXQ6"/>
      <c r="GXR6"/>
      <c r="GXS6"/>
      <c r="GXT6"/>
      <c r="GXU6"/>
      <c r="GXV6"/>
      <c r="GXW6"/>
      <c r="GXX6"/>
      <c r="GXY6"/>
      <c r="GXZ6"/>
      <c r="GYA6"/>
      <c r="GYB6"/>
      <c r="GYC6"/>
      <c r="GYD6"/>
      <c r="GYE6"/>
      <c r="GYF6"/>
      <c r="GYG6"/>
      <c r="GYH6"/>
      <c r="GYI6"/>
      <c r="GYJ6"/>
      <c r="GYK6"/>
      <c r="GYL6"/>
      <c r="GYM6"/>
      <c r="GYN6"/>
      <c r="GYO6"/>
      <c r="GYP6"/>
      <c r="GYQ6"/>
      <c r="GYR6"/>
      <c r="GYS6"/>
      <c r="GYT6"/>
      <c r="GYU6"/>
      <c r="GYV6"/>
      <c r="GYW6"/>
      <c r="GYX6"/>
      <c r="GYY6"/>
      <c r="GYZ6"/>
      <c r="GZA6"/>
      <c r="GZB6"/>
      <c r="GZC6"/>
      <c r="GZD6"/>
      <c r="GZE6"/>
      <c r="GZF6"/>
      <c r="GZG6"/>
      <c r="GZH6"/>
      <c r="GZI6"/>
      <c r="GZJ6"/>
      <c r="GZK6"/>
      <c r="GZL6"/>
      <c r="GZM6"/>
      <c r="GZN6"/>
      <c r="GZO6"/>
      <c r="GZP6"/>
      <c r="GZQ6"/>
      <c r="GZR6"/>
      <c r="GZS6"/>
      <c r="GZT6"/>
      <c r="GZU6"/>
      <c r="GZV6"/>
      <c r="GZW6"/>
      <c r="GZX6"/>
      <c r="GZY6"/>
      <c r="GZZ6"/>
      <c r="HAA6"/>
      <c r="HAB6"/>
      <c r="HAC6"/>
      <c r="HAD6"/>
      <c r="HAE6"/>
      <c r="HAF6"/>
      <c r="HAG6"/>
      <c r="HAH6"/>
      <c r="HAI6"/>
      <c r="HAJ6"/>
      <c r="HAK6"/>
      <c r="HAL6"/>
      <c r="HAM6"/>
      <c r="HAN6"/>
      <c r="HAO6"/>
      <c r="HAP6"/>
      <c r="HAQ6"/>
      <c r="HAR6"/>
      <c r="HAS6"/>
      <c r="HAT6"/>
      <c r="HAU6"/>
      <c r="HAV6"/>
      <c r="HAW6"/>
      <c r="HAX6"/>
      <c r="HAY6"/>
      <c r="HAZ6"/>
      <c r="HBA6"/>
      <c r="HBB6"/>
      <c r="HBC6"/>
      <c r="HBD6"/>
      <c r="HBE6"/>
      <c r="HBF6"/>
      <c r="HBG6"/>
      <c r="HBH6"/>
      <c r="HBI6"/>
      <c r="HBJ6"/>
      <c r="HBK6"/>
      <c r="HBL6"/>
      <c r="HBM6"/>
      <c r="HBN6"/>
      <c r="HBO6"/>
      <c r="HBP6"/>
      <c r="HBQ6"/>
      <c r="HBR6"/>
      <c r="HBS6"/>
      <c r="HBT6"/>
      <c r="HBU6"/>
      <c r="HBV6"/>
      <c r="HBW6"/>
      <c r="HBX6"/>
      <c r="HBY6"/>
      <c r="HBZ6"/>
      <c r="HCA6"/>
      <c r="HCB6"/>
      <c r="HCC6"/>
      <c r="HCD6"/>
      <c r="HCE6"/>
      <c r="HCF6"/>
      <c r="HCG6"/>
      <c r="HCH6"/>
      <c r="HCI6"/>
      <c r="HCJ6"/>
      <c r="HCK6"/>
      <c r="HCL6"/>
      <c r="HCM6"/>
      <c r="HCN6"/>
      <c r="HCO6"/>
      <c r="HCP6"/>
      <c r="HCQ6"/>
      <c r="HCR6"/>
      <c r="HCS6"/>
      <c r="HCT6"/>
      <c r="HCU6"/>
      <c r="HCV6"/>
      <c r="HCW6"/>
      <c r="HCX6"/>
      <c r="HCY6"/>
      <c r="HCZ6"/>
      <c r="HDA6"/>
      <c r="HDB6"/>
      <c r="HDC6"/>
      <c r="HDD6"/>
      <c r="HDE6"/>
      <c r="HDF6"/>
      <c r="HDG6"/>
      <c r="HDH6"/>
      <c r="HDI6"/>
      <c r="HDJ6"/>
      <c r="HDK6"/>
      <c r="HDL6"/>
      <c r="HDM6"/>
      <c r="HDN6"/>
      <c r="HDO6"/>
      <c r="HDP6"/>
      <c r="HDQ6"/>
      <c r="HDR6"/>
      <c r="HDS6"/>
      <c r="HDT6"/>
      <c r="HDU6"/>
      <c r="HDV6"/>
      <c r="HDW6"/>
      <c r="HDX6"/>
      <c r="HDY6"/>
      <c r="HDZ6"/>
      <c r="HEA6"/>
      <c r="HEB6"/>
      <c r="HEC6"/>
      <c r="HED6"/>
      <c r="HEE6"/>
      <c r="HEF6"/>
      <c r="HEG6"/>
      <c r="HEH6"/>
      <c r="HEI6"/>
      <c r="HEJ6"/>
      <c r="HEK6"/>
      <c r="HEL6"/>
      <c r="HEM6"/>
      <c r="HEN6"/>
      <c r="HEO6"/>
      <c r="HEP6"/>
      <c r="HEQ6"/>
      <c r="HER6"/>
      <c r="HES6"/>
      <c r="HET6"/>
      <c r="HEU6"/>
      <c r="HEV6"/>
      <c r="HEW6"/>
      <c r="HEX6"/>
      <c r="HEY6"/>
      <c r="HEZ6"/>
      <c r="HFA6"/>
      <c r="HFB6"/>
      <c r="HFC6"/>
      <c r="HFD6"/>
      <c r="HFE6"/>
      <c r="HFF6"/>
      <c r="HFG6"/>
      <c r="HFH6"/>
      <c r="HFI6"/>
      <c r="HFJ6"/>
      <c r="HFK6"/>
      <c r="HFL6"/>
      <c r="HFM6"/>
      <c r="HFN6"/>
      <c r="HFO6"/>
      <c r="HFP6"/>
      <c r="HFQ6"/>
      <c r="HFR6"/>
      <c r="HFS6"/>
      <c r="HFT6"/>
      <c r="HFU6"/>
      <c r="HFV6"/>
      <c r="HFW6"/>
      <c r="HFX6"/>
      <c r="HFY6"/>
      <c r="HFZ6"/>
      <c r="HGA6"/>
      <c r="HGB6"/>
      <c r="HGC6"/>
      <c r="HGD6"/>
      <c r="HGE6"/>
      <c r="HGF6"/>
      <c r="HGG6"/>
      <c r="HGH6"/>
      <c r="HGI6"/>
      <c r="HGJ6"/>
      <c r="HGK6"/>
      <c r="HGL6"/>
      <c r="HGM6"/>
      <c r="HGN6"/>
      <c r="HGO6"/>
      <c r="HGP6"/>
      <c r="HGQ6"/>
      <c r="HGR6"/>
      <c r="HGS6"/>
      <c r="HGT6"/>
      <c r="HGU6"/>
      <c r="HGV6"/>
      <c r="HGW6"/>
      <c r="HGX6"/>
      <c r="HGY6"/>
      <c r="HGZ6"/>
      <c r="HHA6"/>
      <c r="HHB6"/>
      <c r="HHC6"/>
      <c r="HHD6"/>
      <c r="HHE6"/>
      <c r="HHF6"/>
      <c r="HHG6"/>
      <c r="HHH6"/>
      <c r="HHI6"/>
      <c r="HHJ6"/>
      <c r="HHK6"/>
      <c r="HHL6"/>
      <c r="HHM6"/>
      <c r="HHN6"/>
      <c r="HHO6"/>
      <c r="HHP6"/>
      <c r="HHQ6"/>
      <c r="HHR6"/>
      <c r="HHS6"/>
      <c r="HHT6"/>
      <c r="HHU6"/>
      <c r="HHV6"/>
      <c r="HHW6"/>
      <c r="HHX6"/>
      <c r="HHY6"/>
      <c r="HHZ6"/>
      <c r="HIA6"/>
      <c r="HIB6"/>
      <c r="HIC6"/>
      <c r="HID6"/>
      <c r="HIE6"/>
      <c r="HIF6"/>
      <c r="HIG6"/>
      <c r="HIH6"/>
      <c r="HII6"/>
      <c r="HIJ6"/>
      <c r="HIK6"/>
      <c r="HIL6"/>
      <c r="HIM6"/>
      <c r="HIN6"/>
      <c r="HIO6"/>
      <c r="HIP6"/>
      <c r="HIQ6"/>
      <c r="HIR6"/>
      <c r="HIS6"/>
      <c r="HIT6"/>
      <c r="HIU6"/>
      <c r="HIV6"/>
      <c r="HIW6"/>
      <c r="HIX6"/>
      <c r="HIY6"/>
      <c r="HIZ6"/>
      <c r="HJA6"/>
      <c r="HJB6"/>
      <c r="HJC6"/>
      <c r="HJD6"/>
      <c r="HJE6"/>
      <c r="HJF6"/>
      <c r="HJG6"/>
      <c r="HJH6"/>
      <c r="HJI6"/>
      <c r="HJJ6"/>
      <c r="HJK6"/>
      <c r="HJL6"/>
      <c r="HJM6"/>
      <c r="HJN6"/>
      <c r="HJO6"/>
      <c r="HJP6"/>
      <c r="HJQ6"/>
      <c r="HJR6"/>
      <c r="HJS6"/>
      <c r="HJT6"/>
      <c r="HJU6"/>
      <c r="HJV6"/>
      <c r="HJW6"/>
      <c r="HJX6"/>
      <c r="HJY6"/>
      <c r="HJZ6"/>
      <c r="HKA6"/>
      <c r="HKB6"/>
      <c r="HKC6"/>
      <c r="HKD6"/>
      <c r="HKE6"/>
      <c r="HKF6"/>
      <c r="HKG6"/>
      <c r="HKH6"/>
      <c r="HKI6"/>
      <c r="HKJ6"/>
      <c r="HKK6"/>
      <c r="HKL6"/>
      <c r="HKM6"/>
      <c r="HKN6"/>
      <c r="HKO6"/>
      <c r="HKP6"/>
      <c r="HKQ6"/>
      <c r="HKR6"/>
      <c r="HKS6"/>
      <c r="HKT6"/>
      <c r="HKU6"/>
      <c r="HKV6"/>
      <c r="HKW6"/>
      <c r="HKX6"/>
      <c r="HKY6"/>
      <c r="HKZ6"/>
      <c r="HLA6"/>
      <c r="HLB6"/>
      <c r="HLC6"/>
      <c r="HLD6"/>
      <c r="HLE6"/>
      <c r="HLF6"/>
      <c r="HLG6"/>
      <c r="HLH6"/>
      <c r="HLI6"/>
      <c r="HLJ6"/>
      <c r="HLK6"/>
      <c r="HLL6"/>
      <c r="HLM6"/>
      <c r="HLN6"/>
      <c r="HLO6"/>
      <c r="HLP6"/>
      <c r="HLQ6"/>
      <c r="HLR6"/>
      <c r="HLS6"/>
      <c r="HLT6"/>
      <c r="HLU6"/>
      <c r="HLV6"/>
      <c r="HLW6"/>
      <c r="HLX6"/>
      <c r="HLY6"/>
      <c r="HLZ6"/>
      <c r="HMA6"/>
      <c r="HMB6"/>
      <c r="HMC6"/>
      <c r="HMD6"/>
      <c r="HME6"/>
      <c r="HMF6"/>
      <c r="HMG6"/>
      <c r="HMH6"/>
      <c r="HMI6"/>
      <c r="HMJ6"/>
      <c r="HMK6"/>
      <c r="HML6"/>
      <c r="HMM6"/>
      <c r="HMN6"/>
      <c r="HMO6"/>
      <c r="HMP6"/>
      <c r="HMQ6"/>
      <c r="HMR6"/>
      <c r="HMS6"/>
      <c r="HMT6"/>
      <c r="HMU6"/>
      <c r="HMV6"/>
      <c r="HMW6"/>
      <c r="HMX6"/>
      <c r="HMY6"/>
      <c r="HMZ6"/>
      <c r="HNA6"/>
      <c r="HNB6"/>
      <c r="HNC6"/>
      <c r="HND6"/>
      <c r="HNE6"/>
      <c r="HNF6"/>
      <c r="HNG6"/>
      <c r="HNH6"/>
      <c r="HNI6"/>
      <c r="HNJ6"/>
      <c r="HNK6"/>
      <c r="HNL6"/>
      <c r="HNM6"/>
      <c r="HNN6"/>
      <c r="HNO6"/>
      <c r="HNP6"/>
      <c r="HNQ6"/>
      <c r="HNR6"/>
      <c r="HNS6"/>
      <c r="HNT6"/>
      <c r="HNU6"/>
      <c r="HNV6"/>
      <c r="HNW6"/>
      <c r="HNX6"/>
      <c r="HNY6"/>
      <c r="HNZ6"/>
      <c r="HOA6"/>
      <c r="HOB6"/>
      <c r="HOC6"/>
      <c r="HOD6"/>
      <c r="HOE6"/>
      <c r="HOF6"/>
      <c r="HOG6"/>
      <c r="HOH6"/>
      <c r="HOI6"/>
      <c r="HOJ6"/>
      <c r="HOK6"/>
      <c r="HOL6"/>
      <c r="HOM6"/>
      <c r="HON6"/>
      <c r="HOO6"/>
      <c r="HOP6"/>
      <c r="HOQ6"/>
      <c r="HOR6"/>
      <c r="HOS6"/>
      <c r="HOT6"/>
      <c r="HOU6"/>
      <c r="HOV6"/>
      <c r="HOW6"/>
      <c r="HOX6"/>
      <c r="HOY6"/>
      <c r="HOZ6"/>
      <c r="HPA6"/>
      <c r="HPB6"/>
      <c r="HPC6"/>
      <c r="HPD6"/>
      <c r="HPE6"/>
      <c r="HPF6"/>
      <c r="HPG6"/>
      <c r="HPH6"/>
      <c r="HPI6"/>
      <c r="HPJ6"/>
      <c r="HPK6"/>
      <c r="HPL6"/>
      <c r="HPM6"/>
      <c r="HPN6"/>
      <c r="HPO6"/>
      <c r="HPP6"/>
      <c r="HPQ6"/>
      <c r="HPR6"/>
      <c r="HPS6"/>
      <c r="HPT6"/>
      <c r="HPU6"/>
      <c r="HPV6"/>
      <c r="HPW6"/>
      <c r="HPX6"/>
      <c r="HPY6"/>
      <c r="HPZ6"/>
      <c r="HQA6"/>
      <c r="HQB6"/>
      <c r="HQC6"/>
      <c r="HQD6"/>
      <c r="HQE6"/>
      <c r="HQF6"/>
      <c r="HQG6"/>
      <c r="HQH6"/>
      <c r="HQI6"/>
      <c r="HQJ6"/>
      <c r="HQK6"/>
      <c r="HQL6"/>
      <c r="HQM6"/>
      <c r="HQN6"/>
      <c r="HQO6"/>
      <c r="HQP6"/>
      <c r="HQQ6"/>
      <c r="HQR6"/>
      <c r="HQS6"/>
      <c r="HQT6"/>
      <c r="HQU6"/>
      <c r="HQV6"/>
      <c r="HQW6"/>
      <c r="HQX6"/>
      <c r="HQY6"/>
      <c r="HQZ6"/>
      <c r="HRA6"/>
      <c r="HRB6"/>
      <c r="HRC6"/>
      <c r="HRD6"/>
      <c r="HRE6"/>
      <c r="HRF6"/>
      <c r="HRG6"/>
      <c r="HRH6"/>
      <c r="HRI6"/>
      <c r="HRJ6"/>
      <c r="HRK6"/>
      <c r="HRL6"/>
      <c r="HRM6"/>
      <c r="HRN6"/>
      <c r="HRO6"/>
      <c r="HRP6"/>
      <c r="HRQ6"/>
      <c r="HRR6"/>
      <c r="HRS6"/>
      <c r="HRT6"/>
      <c r="HRU6"/>
      <c r="HRV6"/>
      <c r="HRW6"/>
      <c r="HRX6"/>
      <c r="HRY6"/>
      <c r="HRZ6"/>
      <c r="HSA6"/>
      <c r="HSB6"/>
      <c r="HSC6"/>
      <c r="HSD6"/>
      <c r="HSE6"/>
      <c r="HSF6"/>
      <c r="HSG6"/>
      <c r="HSH6"/>
      <c r="HSI6"/>
      <c r="HSJ6"/>
      <c r="HSK6"/>
      <c r="HSL6"/>
      <c r="HSM6"/>
      <c r="HSN6"/>
      <c r="HSO6"/>
      <c r="HSP6"/>
      <c r="HSQ6"/>
      <c r="HSR6"/>
      <c r="HSS6"/>
      <c r="HST6"/>
      <c r="HSU6"/>
      <c r="HSV6"/>
      <c r="HSW6"/>
      <c r="HSX6"/>
      <c r="HSY6"/>
      <c r="HSZ6"/>
      <c r="HTA6"/>
      <c r="HTB6"/>
      <c r="HTC6"/>
      <c r="HTD6"/>
      <c r="HTE6"/>
      <c r="HTF6"/>
      <c r="HTG6"/>
      <c r="HTH6"/>
      <c r="HTI6"/>
      <c r="HTJ6"/>
      <c r="HTK6"/>
      <c r="HTL6"/>
      <c r="HTM6"/>
      <c r="HTN6"/>
      <c r="HTO6"/>
      <c r="HTP6"/>
      <c r="HTQ6"/>
      <c r="HTR6"/>
      <c r="HTS6"/>
      <c r="HTT6"/>
      <c r="HTU6"/>
      <c r="HTV6"/>
      <c r="HTW6"/>
      <c r="HTX6"/>
      <c r="HTY6"/>
      <c r="HTZ6"/>
      <c r="HUA6"/>
      <c r="HUB6"/>
      <c r="HUC6"/>
      <c r="HUD6"/>
      <c r="HUE6"/>
      <c r="HUF6"/>
      <c r="HUG6"/>
      <c r="HUH6"/>
      <c r="HUI6"/>
      <c r="HUJ6"/>
      <c r="HUK6"/>
      <c r="HUL6"/>
      <c r="HUM6"/>
      <c r="HUN6"/>
      <c r="HUO6"/>
      <c r="HUP6"/>
      <c r="HUQ6"/>
      <c r="HUR6"/>
      <c r="HUS6"/>
      <c r="HUT6"/>
      <c r="HUU6"/>
      <c r="HUV6"/>
      <c r="HUW6"/>
      <c r="HUX6"/>
      <c r="HUY6"/>
      <c r="HUZ6"/>
      <c r="HVA6"/>
      <c r="HVB6"/>
      <c r="HVC6"/>
      <c r="HVD6"/>
      <c r="HVE6"/>
      <c r="HVF6"/>
      <c r="HVG6"/>
      <c r="HVH6"/>
      <c r="HVI6"/>
      <c r="HVJ6"/>
      <c r="HVK6"/>
      <c r="HVL6"/>
      <c r="HVM6"/>
      <c r="HVN6"/>
      <c r="HVO6"/>
      <c r="HVP6"/>
      <c r="HVQ6"/>
      <c r="HVR6"/>
      <c r="HVS6"/>
      <c r="HVT6"/>
      <c r="HVU6"/>
      <c r="HVV6"/>
      <c r="HVW6"/>
      <c r="HVX6"/>
      <c r="HVY6"/>
      <c r="HVZ6"/>
      <c r="HWA6"/>
      <c r="HWB6"/>
      <c r="HWC6"/>
      <c r="HWD6"/>
      <c r="HWE6"/>
      <c r="HWF6"/>
      <c r="HWG6"/>
      <c r="HWH6"/>
      <c r="HWI6"/>
      <c r="HWJ6"/>
      <c r="HWK6"/>
      <c r="HWL6"/>
      <c r="HWM6"/>
      <c r="HWN6"/>
      <c r="HWO6"/>
      <c r="HWP6"/>
      <c r="HWQ6"/>
      <c r="HWR6"/>
      <c r="HWS6"/>
      <c r="HWT6"/>
      <c r="HWU6"/>
      <c r="HWV6"/>
      <c r="HWW6"/>
      <c r="HWX6"/>
      <c r="HWY6"/>
      <c r="HWZ6"/>
      <c r="HXA6"/>
      <c r="HXB6"/>
      <c r="HXC6"/>
      <c r="HXD6"/>
      <c r="HXE6"/>
      <c r="HXF6"/>
      <c r="HXG6"/>
      <c r="HXH6"/>
      <c r="HXI6"/>
      <c r="HXJ6"/>
      <c r="HXK6"/>
      <c r="HXL6"/>
      <c r="HXM6"/>
      <c r="HXN6"/>
      <c r="HXO6"/>
      <c r="HXP6"/>
      <c r="HXQ6"/>
      <c r="HXR6"/>
      <c r="HXS6"/>
      <c r="HXT6"/>
      <c r="HXU6"/>
      <c r="HXV6"/>
      <c r="HXW6"/>
      <c r="HXX6"/>
      <c r="HXY6"/>
      <c r="HXZ6"/>
      <c r="HYA6"/>
      <c r="HYB6"/>
      <c r="HYC6"/>
      <c r="HYD6"/>
      <c r="HYE6"/>
      <c r="HYF6"/>
      <c r="HYG6"/>
      <c r="HYH6"/>
      <c r="HYI6"/>
      <c r="HYJ6"/>
      <c r="HYK6"/>
      <c r="HYL6"/>
      <c r="HYM6"/>
      <c r="HYN6"/>
      <c r="HYO6"/>
      <c r="HYP6"/>
      <c r="HYQ6"/>
      <c r="HYR6"/>
      <c r="HYS6"/>
      <c r="HYT6"/>
      <c r="HYU6"/>
      <c r="HYV6"/>
      <c r="HYW6"/>
      <c r="HYX6"/>
      <c r="HYY6"/>
      <c r="HYZ6"/>
      <c r="HZA6"/>
      <c r="HZB6"/>
      <c r="HZC6"/>
      <c r="HZD6"/>
      <c r="HZE6"/>
      <c r="HZF6"/>
      <c r="HZG6"/>
      <c r="HZH6"/>
      <c r="HZI6"/>
      <c r="HZJ6"/>
      <c r="HZK6"/>
      <c r="HZL6"/>
      <c r="HZM6"/>
      <c r="HZN6"/>
      <c r="HZO6"/>
      <c r="HZP6"/>
      <c r="HZQ6"/>
      <c r="HZR6"/>
      <c r="HZS6"/>
      <c r="HZT6"/>
      <c r="HZU6"/>
      <c r="HZV6"/>
      <c r="HZW6"/>
      <c r="HZX6"/>
      <c r="HZY6"/>
      <c r="HZZ6"/>
      <c r="IAA6"/>
      <c r="IAB6"/>
      <c r="IAC6"/>
      <c r="IAD6"/>
      <c r="IAE6"/>
      <c r="IAF6"/>
      <c r="IAG6"/>
      <c r="IAH6"/>
      <c r="IAI6"/>
      <c r="IAJ6"/>
      <c r="IAK6"/>
      <c r="IAL6"/>
      <c r="IAM6"/>
      <c r="IAN6"/>
      <c r="IAO6"/>
      <c r="IAP6"/>
      <c r="IAQ6"/>
      <c r="IAR6"/>
      <c r="IAS6"/>
      <c r="IAT6"/>
      <c r="IAU6"/>
      <c r="IAV6"/>
      <c r="IAW6"/>
      <c r="IAX6"/>
      <c r="IAY6"/>
      <c r="IAZ6"/>
      <c r="IBA6"/>
      <c r="IBB6"/>
      <c r="IBC6"/>
      <c r="IBD6"/>
      <c r="IBE6"/>
      <c r="IBF6"/>
      <c r="IBG6"/>
      <c r="IBH6"/>
      <c r="IBI6"/>
      <c r="IBJ6"/>
      <c r="IBK6"/>
      <c r="IBL6"/>
      <c r="IBM6"/>
      <c r="IBN6"/>
      <c r="IBO6"/>
      <c r="IBP6"/>
      <c r="IBQ6"/>
      <c r="IBR6"/>
      <c r="IBS6"/>
      <c r="IBT6"/>
      <c r="IBU6"/>
      <c r="IBV6"/>
      <c r="IBW6"/>
      <c r="IBX6"/>
      <c r="IBY6"/>
      <c r="IBZ6"/>
      <c r="ICA6"/>
      <c r="ICB6"/>
      <c r="ICC6"/>
      <c r="ICD6"/>
      <c r="ICE6"/>
      <c r="ICF6"/>
      <c r="ICG6"/>
      <c r="ICH6"/>
      <c r="ICI6"/>
      <c r="ICJ6"/>
      <c r="ICK6"/>
      <c r="ICL6"/>
      <c r="ICM6"/>
      <c r="ICN6"/>
      <c r="ICO6"/>
      <c r="ICP6"/>
      <c r="ICQ6"/>
      <c r="ICR6"/>
      <c r="ICS6"/>
      <c r="ICT6"/>
      <c r="ICU6"/>
      <c r="ICV6"/>
      <c r="ICW6"/>
      <c r="ICX6"/>
      <c r="ICY6"/>
      <c r="ICZ6"/>
      <c r="IDA6"/>
      <c r="IDB6"/>
      <c r="IDC6"/>
      <c r="IDD6"/>
      <c r="IDE6"/>
      <c r="IDF6"/>
      <c r="IDG6"/>
      <c r="IDH6"/>
      <c r="IDI6"/>
      <c r="IDJ6"/>
      <c r="IDK6"/>
      <c r="IDL6"/>
      <c r="IDM6"/>
      <c r="IDN6"/>
      <c r="IDO6"/>
      <c r="IDP6"/>
      <c r="IDQ6"/>
      <c r="IDR6"/>
      <c r="IDS6"/>
      <c r="IDT6"/>
      <c r="IDU6"/>
      <c r="IDV6"/>
      <c r="IDW6"/>
      <c r="IDX6"/>
      <c r="IDY6"/>
      <c r="IDZ6"/>
      <c r="IEA6"/>
      <c r="IEB6"/>
      <c r="IEC6"/>
      <c r="IED6"/>
      <c r="IEE6"/>
      <c r="IEF6"/>
      <c r="IEG6"/>
      <c r="IEH6"/>
      <c r="IEI6"/>
      <c r="IEJ6"/>
      <c r="IEK6"/>
      <c r="IEL6"/>
      <c r="IEM6"/>
      <c r="IEN6"/>
      <c r="IEO6"/>
      <c r="IEP6"/>
      <c r="IEQ6"/>
      <c r="IER6"/>
      <c r="IES6"/>
      <c r="IET6"/>
      <c r="IEU6"/>
      <c r="IEV6"/>
      <c r="IEW6"/>
      <c r="IEX6"/>
      <c r="IEY6"/>
      <c r="IEZ6"/>
      <c r="IFA6"/>
      <c r="IFB6"/>
      <c r="IFC6"/>
      <c r="IFD6"/>
      <c r="IFE6"/>
      <c r="IFF6"/>
      <c r="IFG6"/>
      <c r="IFH6"/>
      <c r="IFI6"/>
      <c r="IFJ6"/>
      <c r="IFK6"/>
      <c r="IFL6"/>
      <c r="IFM6"/>
      <c r="IFN6"/>
      <c r="IFO6"/>
      <c r="IFP6"/>
      <c r="IFQ6"/>
      <c r="IFR6"/>
      <c r="IFS6"/>
      <c r="IFT6"/>
      <c r="IFU6"/>
      <c r="IFV6"/>
      <c r="IFW6"/>
      <c r="IFX6"/>
      <c r="IFY6"/>
      <c r="IFZ6"/>
      <c r="IGA6"/>
      <c r="IGB6"/>
      <c r="IGC6"/>
      <c r="IGD6"/>
      <c r="IGE6"/>
      <c r="IGF6"/>
      <c r="IGG6"/>
      <c r="IGH6"/>
      <c r="IGI6"/>
      <c r="IGJ6"/>
      <c r="IGK6"/>
      <c r="IGL6"/>
      <c r="IGM6"/>
      <c r="IGN6"/>
      <c r="IGO6"/>
      <c r="IGP6"/>
      <c r="IGQ6"/>
      <c r="IGR6"/>
      <c r="IGS6"/>
      <c r="IGT6"/>
      <c r="IGU6"/>
      <c r="IGV6"/>
      <c r="IGW6"/>
      <c r="IGX6"/>
      <c r="IGY6"/>
      <c r="IGZ6"/>
      <c r="IHA6"/>
      <c r="IHB6"/>
      <c r="IHC6"/>
      <c r="IHD6"/>
      <c r="IHE6"/>
      <c r="IHF6"/>
      <c r="IHG6"/>
      <c r="IHH6"/>
      <c r="IHI6"/>
      <c r="IHJ6"/>
      <c r="IHK6"/>
      <c r="IHL6"/>
      <c r="IHM6"/>
      <c r="IHN6"/>
      <c r="IHO6"/>
      <c r="IHP6"/>
      <c r="IHQ6"/>
      <c r="IHR6"/>
      <c r="IHS6"/>
      <c r="IHT6"/>
      <c r="IHU6"/>
      <c r="IHV6"/>
      <c r="IHW6"/>
      <c r="IHX6"/>
      <c r="IHY6"/>
      <c r="IHZ6"/>
      <c r="IIA6"/>
      <c r="IIB6"/>
      <c r="IIC6"/>
      <c r="IID6"/>
      <c r="IIE6"/>
      <c r="IIF6"/>
      <c r="IIG6"/>
      <c r="IIH6"/>
      <c r="III6"/>
      <c r="IIJ6"/>
      <c r="IIK6"/>
      <c r="IIL6"/>
      <c r="IIM6"/>
      <c r="IIN6"/>
      <c r="IIO6"/>
      <c r="IIP6"/>
      <c r="IIQ6"/>
      <c r="IIR6"/>
      <c r="IIS6"/>
      <c r="IIT6"/>
      <c r="IIU6"/>
      <c r="IIV6"/>
      <c r="IIW6"/>
      <c r="IIX6"/>
      <c r="IIY6"/>
      <c r="IIZ6"/>
      <c r="IJA6"/>
      <c r="IJB6"/>
      <c r="IJC6"/>
      <c r="IJD6"/>
      <c r="IJE6"/>
      <c r="IJF6"/>
      <c r="IJG6"/>
      <c r="IJH6"/>
      <c r="IJI6"/>
      <c r="IJJ6"/>
      <c r="IJK6"/>
      <c r="IJL6"/>
      <c r="IJM6"/>
      <c r="IJN6"/>
      <c r="IJO6"/>
      <c r="IJP6"/>
      <c r="IJQ6"/>
      <c r="IJR6"/>
      <c r="IJS6"/>
      <c r="IJT6"/>
      <c r="IJU6"/>
      <c r="IJV6"/>
      <c r="IJW6"/>
      <c r="IJX6"/>
      <c r="IJY6"/>
      <c r="IJZ6"/>
      <c r="IKA6"/>
      <c r="IKB6"/>
      <c r="IKC6"/>
      <c r="IKD6"/>
      <c r="IKE6"/>
      <c r="IKF6"/>
      <c r="IKG6"/>
      <c r="IKH6"/>
      <c r="IKI6"/>
      <c r="IKJ6"/>
      <c r="IKK6"/>
      <c r="IKL6"/>
      <c r="IKM6"/>
      <c r="IKN6"/>
      <c r="IKO6"/>
      <c r="IKP6"/>
      <c r="IKQ6"/>
      <c r="IKR6"/>
      <c r="IKS6"/>
      <c r="IKT6"/>
      <c r="IKU6"/>
      <c r="IKV6"/>
      <c r="IKW6"/>
      <c r="IKX6"/>
      <c r="IKY6"/>
      <c r="IKZ6"/>
      <c r="ILA6"/>
      <c r="ILB6"/>
      <c r="ILC6"/>
      <c r="ILD6"/>
      <c r="ILE6"/>
      <c r="ILF6"/>
      <c r="ILG6"/>
      <c r="ILH6"/>
      <c r="ILI6"/>
      <c r="ILJ6"/>
      <c r="ILK6"/>
      <c r="ILL6"/>
      <c r="ILM6"/>
      <c r="ILN6"/>
      <c r="ILO6"/>
      <c r="ILP6"/>
      <c r="ILQ6"/>
      <c r="ILR6"/>
      <c r="ILS6"/>
      <c r="ILT6"/>
      <c r="ILU6"/>
      <c r="ILV6"/>
      <c r="ILW6"/>
      <c r="ILX6"/>
      <c r="ILY6"/>
      <c r="ILZ6"/>
      <c r="IMA6"/>
      <c r="IMB6"/>
      <c r="IMC6"/>
      <c r="IMD6"/>
      <c r="IME6"/>
      <c r="IMF6"/>
      <c r="IMG6"/>
      <c r="IMH6"/>
      <c r="IMI6"/>
      <c r="IMJ6"/>
      <c r="IMK6"/>
      <c r="IML6"/>
      <c r="IMM6"/>
      <c r="IMN6"/>
      <c r="IMO6"/>
      <c r="IMP6"/>
      <c r="IMQ6"/>
      <c r="IMR6"/>
      <c r="IMS6"/>
      <c r="IMT6"/>
      <c r="IMU6"/>
      <c r="IMV6"/>
      <c r="IMW6"/>
      <c r="IMX6"/>
      <c r="IMY6"/>
      <c r="IMZ6"/>
      <c r="INA6"/>
      <c r="INB6"/>
      <c r="INC6"/>
      <c r="IND6"/>
      <c r="INE6"/>
      <c r="INF6"/>
      <c r="ING6"/>
      <c r="INH6"/>
      <c r="INI6"/>
      <c r="INJ6"/>
      <c r="INK6"/>
      <c r="INL6"/>
      <c r="INM6"/>
      <c r="INN6"/>
      <c r="INO6"/>
      <c r="INP6"/>
      <c r="INQ6"/>
      <c r="INR6"/>
      <c r="INS6"/>
      <c r="INT6"/>
      <c r="INU6"/>
      <c r="INV6"/>
      <c r="INW6"/>
      <c r="INX6"/>
      <c r="INY6"/>
      <c r="INZ6"/>
      <c r="IOA6"/>
      <c r="IOB6"/>
      <c r="IOC6"/>
      <c r="IOD6"/>
      <c r="IOE6"/>
      <c r="IOF6"/>
      <c r="IOG6"/>
      <c r="IOH6"/>
      <c r="IOI6"/>
      <c r="IOJ6"/>
      <c r="IOK6"/>
      <c r="IOL6"/>
      <c r="IOM6"/>
      <c r="ION6"/>
      <c r="IOO6"/>
      <c r="IOP6"/>
      <c r="IOQ6"/>
      <c r="IOR6"/>
      <c r="IOS6"/>
      <c r="IOT6"/>
      <c r="IOU6"/>
      <c r="IOV6"/>
      <c r="IOW6"/>
      <c r="IOX6"/>
      <c r="IOY6"/>
      <c r="IOZ6"/>
      <c r="IPA6"/>
      <c r="IPB6"/>
      <c r="IPC6"/>
      <c r="IPD6"/>
      <c r="IPE6"/>
      <c r="IPF6"/>
      <c r="IPG6"/>
      <c r="IPH6"/>
      <c r="IPI6"/>
      <c r="IPJ6"/>
      <c r="IPK6"/>
      <c r="IPL6"/>
      <c r="IPM6"/>
      <c r="IPN6"/>
      <c r="IPO6"/>
      <c r="IPP6"/>
      <c r="IPQ6"/>
      <c r="IPR6"/>
      <c r="IPS6"/>
      <c r="IPT6"/>
      <c r="IPU6"/>
      <c r="IPV6"/>
      <c r="IPW6"/>
      <c r="IPX6"/>
      <c r="IPY6"/>
      <c r="IPZ6"/>
      <c r="IQA6"/>
      <c r="IQB6"/>
      <c r="IQC6"/>
      <c r="IQD6"/>
      <c r="IQE6"/>
      <c r="IQF6"/>
      <c r="IQG6"/>
      <c r="IQH6"/>
      <c r="IQI6"/>
      <c r="IQJ6"/>
      <c r="IQK6"/>
      <c r="IQL6"/>
      <c r="IQM6"/>
      <c r="IQN6"/>
      <c r="IQO6"/>
      <c r="IQP6"/>
      <c r="IQQ6"/>
      <c r="IQR6"/>
      <c r="IQS6"/>
      <c r="IQT6"/>
      <c r="IQU6"/>
      <c r="IQV6"/>
      <c r="IQW6"/>
      <c r="IQX6"/>
      <c r="IQY6"/>
      <c r="IQZ6"/>
      <c r="IRA6"/>
      <c r="IRB6"/>
      <c r="IRC6"/>
      <c r="IRD6"/>
      <c r="IRE6"/>
      <c r="IRF6"/>
      <c r="IRG6"/>
      <c r="IRH6"/>
      <c r="IRI6"/>
      <c r="IRJ6"/>
      <c r="IRK6"/>
      <c r="IRL6"/>
      <c r="IRM6"/>
      <c r="IRN6"/>
      <c r="IRO6"/>
      <c r="IRP6"/>
      <c r="IRQ6"/>
      <c r="IRR6"/>
      <c r="IRS6"/>
      <c r="IRT6"/>
      <c r="IRU6"/>
      <c r="IRV6"/>
      <c r="IRW6"/>
      <c r="IRX6"/>
      <c r="IRY6"/>
      <c r="IRZ6"/>
      <c r="ISA6"/>
      <c r="ISB6"/>
      <c r="ISC6"/>
      <c r="ISD6"/>
      <c r="ISE6"/>
      <c r="ISF6"/>
      <c r="ISG6"/>
      <c r="ISH6"/>
      <c r="ISI6"/>
      <c r="ISJ6"/>
      <c r="ISK6"/>
      <c r="ISL6"/>
      <c r="ISM6"/>
      <c r="ISN6"/>
      <c r="ISO6"/>
      <c r="ISP6"/>
      <c r="ISQ6"/>
      <c r="ISR6"/>
      <c r="ISS6"/>
      <c r="IST6"/>
      <c r="ISU6"/>
      <c r="ISV6"/>
      <c r="ISW6"/>
      <c r="ISX6"/>
      <c r="ISY6"/>
      <c r="ISZ6"/>
      <c r="ITA6"/>
      <c r="ITB6"/>
      <c r="ITC6"/>
      <c r="ITD6"/>
      <c r="ITE6"/>
      <c r="ITF6"/>
      <c r="ITG6"/>
      <c r="ITH6"/>
      <c r="ITI6"/>
      <c r="ITJ6"/>
      <c r="ITK6"/>
      <c r="ITL6"/>
      <c r="ITM6"/>
      <c r="ITN6"/>
      <c r="ITO6"/>
      <c r="ITP6"/>
      <c r="ITQ6"/>
      <c r="ITR6"/>
      <c r="ITS6"/>
      <c r="ITT6"/>
      <c r="ITU6"/>
      <c r="ITV6"/>
      <c r="ITW6"/>
      <c r="ITX6"/>
      <c r="ITY6"/>
      <c r="ITZ6"/>
      <c r="IUA6"/>
      <c r="IUB6"/>
      <c r="IUC6"/>
      <c r="IUD6"/>
      <c r="IUE6"/>
      <c r="IUF6"/>
      <c r="IUG6"/>
      <c r="IUH6"/>
      <c r="IUI6"/>
      <c r="IUJ6"/>
      <c r="IUK6"/>
      <c r="IUL6"/>
      <c r="IUM6"/>
      <c r="IUN6"/>
      <c r="IUO6"/>
      <c r="IUP6"/>
      <c r="IUQ6"/>
      <c r="IUR6"/>
      <c r="IUS6"/>
      <c r="IUT6"/>
      <c r="IUU6"/>
      <c r="IUV6"/>
      <c r="IUW6"/>
      <c r="IUX6"/>
      <c r="IUY6"/>
      <c r="IUZ6"/>
      <c r="IVA6"/>
      <c r="IVB6"/>
      <c r="IVC6"/>
      <c r="IVD6"/>
      <c r="IVE6"/>
      <c r="IVF6"/>
      <c r="IVG6"/>
      <c r="IVH6"/>
      <c r="IVI6"/>
      <c r="IVJ6"/>
      <c r="IVK6"/>
      <c r="IVL6"/>
      <c r="IVM6"/>
      <c r="IVN6"/>
      <c r="IVO6"/>
      <c r="IVP6"/>
      <c r="IVQ6"/>
      <c r="IVR6"/>
      <c r="IVS6"/>
      <c r="IVT6"/>
      <c r="IVU6"/>
      <c r="IVV6"/>
      <c r="IVW6"/>
      <c r="IVX6"/>
      <c r="IVY6"/>
      <c r="IVZ6"/>
      <c r="IWA6"/>
      <c r="IWB6"/>
      <c r="IWC6"/>
      <c r="IWD6"/>
      <c r="IWE6"/>
      <c r="IWF6"/>
      <c r="IWG6"/>
      <c r="IWH6"/>
      <c r="IWI6"/>
      <c r="IWJ6"/>
      <c r="IWK6"/>
      <c r="IWL6"/>
      <c r="IWM6"/>
      <c r="IWN6"/>
      <c r="IWO6"/>
      <c r="IWP6"/>
      <c r="IWQ6"/>
      <c r="IWR6"/>
      <c r="IWS6"/>
      <c r="IWT6"/>
      <c r="IWU6"/>
      <c r="IWV6"/>
      <c r="IWW6"/>
      <c r="IWX6"/>
      <c r="IWY6"/>
      <c r="IWZ6"/>
      <c r="IXA6"/>
      <c r="IXB6"/>
      <c r="IXC6"/>
      <c r="IXD6"/>
      <c r="IXE6"/>
      <c r="IXF6"/>
      <c r="IXG6"/>
      <c r="IXH6"/>
      <c r="IXI6"/>
      <c r="IXJ6"/>
      <c r="IXK6"/>
      <c r="IXL6"/>
      <c r="IXM6"/>
      <c r="IXN6"/>
      <c r="IXO6"/>
      <c r="IXP6"/>
      <c r="IXQ6"/>
      <c r="IXR6"/>
      <c r="IXS6"/>
      <c r="IXT6"/>
      <c r="IXU6"/>
      <c r="IXV6"/>
      <c r="IXW6"/>
      <c r="IXX6"/>
      <c r="IXY6"/>
      <c r="IXZ6"/>
      <c r="IYA6"/>
      <c r="IYB6"/>
      <c r="IYC6"/>
      <c r="IYD6"/>
      <c r="IYE6"/>
      <c r="IYF6"/>
      <c r="IYG6"/>
      <c r="IYH6"/>
      <c r="IYI6"/>
      <c r="IYJ6"/>
      <c r="IYK6"/>
      <c r="IYL6"/>
      <c r="IYM6"/>
      <c r="IYN6"/>
      <c r="IYO6"/>
      <c r="IYP6"/>
      <c r="IYQ6"/>
      <c r="IYR6"/>
      <c r="IYS6"/>
      <c r="IYT6"/>
      <c r="IYU6"/>
      <c r="IYV6"/>
      <c r="IYW6"/>
      <c r="IYX6"/>
      <c r="IYY6"/>
      <c r="IYZ6"/>
      <c r="IZA6"/>
      <c r="IZB6"/>
      <c r="IZC6"/>
      <c r="IZD6"/>
      <c r="IZE6"/>
      <c r="IZF6"/>
      <c r="IZG6"/>
      <c r="IZH6"/>
      <c r="IZI6"/>
      <c r="IZJ6"/>
      <c r="IZK6"/>
      <c r="IZL6"/>
      <c r="IZM6"/>
      <c r="IZN6"/>
      <c r="IZO6"/>
      <c r="IZP6"/>
      <c r="IZQ6"/>
      <c r="IZR6"/>
      <c r="IZS6"/>
      <c r="IZT6"/>
      <c r="IZU6"/>
      <c r="IZV6"/>
      <c r="IZW6"/>
      <c r="IZX6"/>
      <c r="IZY6"/>
      <c r="IZZ6"/>
      <c r="JAA6"/>
      <c r="JAB6"/>
      <c r="JAC6"/>
      <c r="JAD6"/>
      <c r="JAE6"/>
      <c r="JAF6"/>
      <c r="JAG6"/>
      <c r="JAH6"/>
      <c r="JAI6"/>
      <c r="JAJ6"/>
      <c r="JAK6"/>
      <c r="JAL6"/>
      <c r="JAM6"/>
      <c r="JAN6"/>
      <c r="JAO6"/>
      <c r="JAP6"/>
      <c r="JAQ6"/>
      <c r="JAR6"/>
      <c r="JAS6"/>
      <c r="JAT6"/>
      <c r="JAU6"/>
      <c r="JAV6"/>
      <c r="JAW6"/>
      <c r="JAX6"/>
      <c r="JAY6"/>
      <c r="JAZ6"/>
      <c r="JBA6"/>
      <c r="JBB6"/>
      <c r="JBC6"/>
      <c r="JBD6"/>
      <c r="JBE6"/>
      <c r="JBF6"/>
      <c r="JBG6"/>
      <c r="JBH6"/>
      <c r="JBI6"/>
      <c r="JBJ6"/>
      <c r="JBK6"/>
      <c r="JBL6"/>
      <c r="JBM6"/>
      <c r="JBN6"/>
      <c r="JBO6"/>
      <c r="JBP6"/>
      <c r="JBQ6"/>
      <c r="JBR6"/>
      <c r="JBS6"/>
      <c r="JBT6"/>
      <c r="JBU6"/>
      <c r="JBV6"/>
      <c r="JBW6"/>
      <c r="JBX6"/>
      <c r="JBY6"/>
      <c r="JBZ6"/>
      <c r="JCA6"/>
      <c r="JCB6"/>
      <c r="JCC6"/>
      <c r="JCD6"/>
      <c r="JCE6"/>
      <c r="JCF6"/>
      <c r="JCG6"/>
      <c r="JCH6"/>
      <c r="JCI6"/>
      <c r="JCJ6"/>
      <c r="JCK6"/>
      <c r="JCL6"/>
      <c r="JCM6"/>
      <c r="JCN6"/>
      <c r="JCO6"/>
      <c r="JCP6"/>
      <c r="JCQ6"/>
      <c r="JCR6"/>
      <c r="JCS6"/>
      <c r="JCT6"/>
      <c r="JCU6"/>
      <c r="JCV6"/>
      <c r="JCW6"/>
      <c r="JCX6"/>
      <c r="JCY6"/>
      <c r="JCZ6"/>
      <c r="JDA6"/>
      <c r="JDB6"/>
      <c r="JDC6"/>
      <c r="JDD6"/>
      <c r="JDE6"/>
      <c r="JDF6"/>
      <c r="JDG6"/>
      <c r="JDH6"/>
      <c r="JDI6"/>
      <c r="JDJ6"/>
      <c r="JDK6"/>
      <c r="JDL6"/>
      <c r="JDM6"/>
      <c r="JDN6"/>
      <c r="JDO6"/>
      <c r="JDP6"/>
      <c r="JDQ6"/>
      <c r="JDR6"/>
      <c r="JDS6"/>
      <c r="JDT6"/>
      <c r="JDU6"/>
      <c r="JDV6"/>
      <c r="JDW6"/>
      <c r="JDX6"/>
      <c r="JDY6"/>
      <c r="JDZ6"/>
      <c r="JEA6"/>
      <c r="JEB6"/>
      <c r="JEC6"/>
      <c r="JED6"/>
      <c r="JEE6"/>
      <c r="JEF6"/>
      <c r="JEG6"/>
      <c r="JEH6"/>
      <c r="JEI6"/>
      <c r="JEJ6"/>
      <c r="JEK6"/>
      <c r="JEL6"/>
      <c r="JEM6"/>
      <c r="JEN6"/>
      <c r="JEO6"/>
      <c r="JEP6"/>
      <c r="JEQ6"/>
      <c r="JER6"/>
      <c r="JES6"/>
      <c r="JET6"/>
      <c r="JEU6"/>
      <c r="JEV6"/>
      <c r="JEW6"/>
      <c r="JEX6"/>
      <c r="JEY6"/>
      <c r="JEZ6"/>
      <c r="JFA6"/>
      <c r="JFB6"/>
      <c r="JFC6"/>
      <c r="JFD6"/>
      <c r="JFE6"/>
      <c r="JFF6"/>
      <c r="JFG6"/>
      <c r="JFH6"/>
      <c r="JFI6"/>
      <c r="JFJ6"/>
      <c r="JFK6"/>
      <c r="JFL6"/>
      <c r="JFM6"/>
      <c r="JFN6"/>
      <c r="JFO6"/>
      <c r="JFP6"/>
      <c r="JFQ6"/>
      <c r="JFR6"/>
      <c r="JFS6"/>
      <c r="JFT6"/>
      <c r="JFU6"/>
      <c r="JFV6"/>
      <c r="JFW6"/>
      <c r="JFX6"/>
      <c r="JFY6"/>
      <c r="JFZ6"/>
      <c r="JGA6"/>
      <c r="JGB6"/>
      <c r="JGC6"/>
      <c r="JGD6"/>
      <c r="JGE6"/>
      <c r="JGF6"/>
      <c r="JGG6"/>
      <c r="JGH6"/>
      <c r="JGI6"/>
      <c r="JGJ6"/>
      <c r="JGK6"/>
      <c r="JGL6"/>
      <c r="JGM6"/>
      <c r="JGN6"/>
      <c r="JGO6"/>
      <c r="JGP6"/>
      <c r="JGQ6"/>
      <c r="JGR6"/>
      <c r="JGS6"/>
      <c r="JGT6"/>
      <c r="JGU6"/>
      <c r="JGV6"/>
      <c r="JGW6"/>
      <c r="JGX6"/>
      <c r="JGY6"/>
      <c r="JGZ6"/>
      <c r="JHA6"/>
      <c r="JHB6"/>
      <c r="JHC6"/>
      <c r="JHD6"/>
      <c r="JHE6"/>
      <c r="JHF6"/>
      <c r="JHG6"/>
      <c r="JHH6"/>
      <c r="JHI6"/>
      <c r="JHJ6"/>
      <c r="JHK6"/>
      <c r="JHL6"/>
      <c r="JHM6"/>
      <c r="JHN6"/>
      <c r="JHO6"/>
      <c r="JHP6"/>
      <c r="JHQ6"/>
      <c r="JHR6"/>
      <c r="JHS6"/>
      <c r="JHT6"/>
      <c r="JHU6"/>
      <c r="JHV6"/>
      <c r="JHW6"/>
      <c r="JHX6"/>
      <c r="JHY6"/>
      <c r="JHZ6"/>
      <c r="JIA6"/>
      <c r="JIB6"/>
      <c r="JIC6"/>
      <c r="JID6"/>
      <c r="JIE6"/>
      <c r="JIF6"/>
      <c r="JIG6"/>
      <c r="JIH6"/>
      <c r="JII6"/>
      <c r="JIJ6"/>
      <c r="JIK6"/>
      <c r="JIL6"/>
      <c r="JIM6"/>
      <c r="JIN6"/>
      <c r="JIO6"/>
      <c r="JIP6"/>
      <c r="JIQ6"/>
      <c r="JIR6"/>
      <c r="JIS6"/>
      <c r="JIT6"/>
      <c r="JIU6"/>
      <c r="JIV6"/>
      <c r="JIW6"/>
      <c r="JIX6"/>
      <c r="JIY6"/>
      <c r="JIZ6"/>
      <c r="JJA6"/>
      <c r="JJB6"/>
      <c r="JJC6"/>
      <c r="JJD6"/>
      <c r="JJE6"/>
      <c r="JJF6"/>
      <c r="JJG6"/>
      <c r="JJH6"/>
      <c r="JJI6"/>
      <c r="JJJ6"/>
      <c r="JJK6"/>
      <c r="JJL6"/>
      <c r="JJM6"/>
      <c r="JJN6"/>
      <c r="JJO6"/>
      <c r="JJP6"/>
      <c r="JJQ6"/>
      <c r="JJR6"/>
      <c r="JJS6"/>
      <c r="JJT6"/>
      <c r="JJU6"/>
      <c r="JJV6"/>
      <c r="JJW6"/>
      <c r="JJX6"/>
      <c r="JJY6"/>
      <c r="JJZ6"/>
      <c r="JKA6"/>
      <c r="JKB6"/>
      <c r="JKC6"/>
      <c r="JKD6"/>
      <c r="JKE6"/>
      <c r="JKF6"/>
      <c r="JKG6"/>
      <c r="JKH6"/>
      <c r="JKI6"/>
      <c r="JKJ6"/>
      <c r="JKK6"/>
      <c r="JKL6"/>
      <c r="JKM6"/>
      <c r="JKN6"/>
      <c r="JKO6"/>
      <c r="JKP6"/>
      <c r="JKQ6"/>
      <c r="JKR6"/>
      <c r="JKS6"/>
      <c r="JKT6"/>
      <c r="JKU6"/>
      <c r="JKV6"/>
      <c r="JKW6"/>
      <c r="JKX6"/>
      <c r="JKY6"/>
      <c r="JKZ6"/>
      <c r="JLA6"/>
      <c r="JLB6"/>
      <c r="JLC6"/>
      <c r="JLD6"/>
      <c r="JLE6"/>
      <c r="JLF6"/>
      <c r="JLG6"/>
      <c r="JLH6"/>
      <c r="JLI6"/>
      <c r="JLJ6"/>
      <c r="JLK6"/>
      <c r="JLL6"/>
      <c r="JLM6"/>
      <c r="JLN6"/>
      <c r="JLO6"/>
      <c r="JLP6"/>
      <c r="JLQ6"/>
      <c r="JLR6"/>
      <c r="JLS6"/>
      <c r="JLT6"/>
      <c r="JLU6"/>
      <c r="JLV6"/>
      <c r="JLW6"/>
      <c r="JLX6"/>
      <c r="JLY6"/>
      <c r="JLZ6"/>
      <c r="JMA6"/>
      <c r="JMB6"/>
      <c r="JMC6"/>
      <c r="JMD6"/>
      <c r="JME6"/>
      <c r="JMF6"/>
      <c r="JMG6"/>
      <c r="JMH6"/>
      <c r="JMI6"/>
      <c r="JMJ6"/>
      <c r="JMK6"/>
      <c r="JML6"/>
      <c r="JMM6"/>
      <c r="JMN6"/>
      <c r="JMO6"/>
      <c r="JMP6"/>
      <c r="JMQ6"/>
      <c r="JMR6"/>
      <c r="JMS6"/>
      <c r="JMT6"/>
      <c r="JMU6"/>
      <c r="JMV6"/>
      <c r="JMW6"/>
      <c r="JMX6"/>
      <c r="JMY6"/>
      <c r="JMZ6"/>
      <c r="JNA6"/>
      <c r="JNB6"/>
      <c r="JNC6"/>
      <c r="JND6"/>
      <c r="JNE6"/>
      <c r="JNF6"/>
      <c r="JNG6"/>
      <c r="JNH6"/>
      <c r="JNI6"/>
      <c r="JNJ6"/>
      <c r="JNK6"/>
      <c r="JNL6"/>
      <c r="JNM6"/>
      <c r="JNN6"/>
      <c r="JNO6"/>
      <c r="JNP6"/>
      <c r="JNQ6"/>
      <c r="JNR6"/>
      <c r="JNS6"/>
      <c r="JNT6"/>
      <c r="JNU6"/>
      <c r="JNV6"/>
      <c r="JNW6"/>
      <c r="JNX6"/>
      <c r="JNY6"/>
      <c r="JNZ6"/>
      <c r="JOA6"/>
      <c r="JOB6"/>
      <c r="JOC6"/>
      <c r="JOD6"/>
      <c r="JOE6"/>
      <c r="JOF6"/>
      <c r="JOG6"/>
      <c r="JOH6"/>
      <c r="JOI6"/>
      <c r="JOJ6"/>
      <c r="JOK6"/>
      <c r="JOL6"/>
      <c r="JOM6"/>
      <c r="JON6"/>
      <c r="JOO6"/>
      <c r="JOP6"/>
      <c r="JOQ6"/>
      <c r="JOR6"/>
      <c r="JOS6"/>
      <c r="JOT6"/>
      <c r="JOU6"/>
      <c r="JOV6"/>
      <c r="JOW6"/>
      <c r="JOX6"/>
      <c r="JOY6"/>
      <c r="JOZ6"/>
      <c r="JPA6"/>
      <c r="JPB6"/>
      <c r="JPC6"/>
      <c r="JPD6"/>
      <c r="JPE6"/>
      <c r="JPF6"/>
      <c r="JPG6"/>
      <c r="JPH6"/>
      <c r="JPI6"/>
      <c r="JPJ6"/>
      <c r="JPK6"/>
      <c r="JPL6"/>
      <c r="JPM6"/>
      <c r="JPN6"/>
      <c r="JPO6"/>
      <c r="JPP6"/>
      <c r="JPQ6"/>
      <c r="JPR6"/>
      <c r="JPS6"/>
      <c r="JPT6"/>
      <c r="JPU6"/>
      <c r="JPV6"/>
      <c r="JPW6"/>
      <c r="JPX6"/>
      <c r="JPY6"/>
      <c r="JPZ6"/>
      <c r="JQA6"/>
      <c r="JQB6"/>
      <c r="JQC6"/>
      <c r="JQD6"/>
      <c r="JQE6"/>
      <c r="JQF6"/>
      <c r="JQG6"/>
      <c r="JQH6"/>
      <c r="JQI6"/>
      <c r="JQJ6"/>
      <c r="JQK6"/>
      <c r="JQL6"/>
      <c r="JQM6"/>
      <c r="JQN6"/>
      <c r="JQO6"/>
      <c r="JQP6"/>
      <c r="JQQ6"/>
      <c r="JQR6"/>
      <c r="JQS6"/>
      <c r="JQT6"/>
      <c r="JQU6"/>
      <c r="JQV6"/>
      <c r="JQW6"/>
      <c r="JQX6"/>
      <c r="JQY6"/>
      <c r="JQZ6"/>
      <c r="JRA6"/>
      <c r="JRB6"/>
      <c r="JRC6"/>
      <c r="JRD6"/>
      <c r="JRE6"/>
      <c r="JRF6"/>
      <c r="JRG6"/>
      <c r="JRH6"/>
      <c r="JRI6"/>
      <c r="JRJ6"/>
      <c r="JRK6"/>
      <c r="JRL6"/>
      <c r="JRM6"/>
      <c r="JRN6"/>
      <c r="JRO6"/>
      <c r="JRP6"/>
      <c r="JRQ6"/>
      <c r="JRR6"/>
      <c r="JRS6"/>
      <c r="JRT6"/>
      <c r="JRU6"/>
      <c r="JRV6"/>
      <c r="JRW6"/>
      <c r="JRX6"/>
      <c r="JRY6"/>
      <c r="JRZ6"/>
      <c r="JSA6"/>
      <c r="JSB6"/>
      <c r="JSC6"/>
      <c r="JSD6"/>
      <c r="JSE6"/>
      <c r="JSF6"/>
      <c r="JSG6"/>
      <c r="JSH6"/>
      <c r="JSI6"/>
      <c r="JSJ6"/>
      <c r="JSK6"/>
      <c r="JSL6"/>
      <c r="JSM6"/>
      <c r="JSN6"/>
      <c r="JSO6"/>
      <c r="JSP6"/>
      <c r="JSQ6"/>
      <c r="JSR6"/>
      <c r="JSS6"/>
      <c r="JST6"/>
      <c r="JSU6"/>
      <c r="JSV6"/>
      <c r="JSW6"/>
      <c r="JSX6"/>
      <c r="JSY6"/>
      <c r="JSZ6"/>
      <c r="JTA6"/>
      <c r="JTB6"/>
      <c r="JTC6"/>
      <c r="JTD6"/>
      <c r="JTE6"/>
      <c r="JTF6"/>
      <c r="JTG6"/>
      <c r="JTH6"/>
      <c r="JTI6"/>
      <c r="JTJ6"/>
      <c r="JTK6"/>
      <c r="JTL6"/>
      <c r="JTM6"/>
      <c r="JTN6"/>
      <c r="JTO6"/>
      <c r="JTP6"/>
      <c r="JTQ6"/>
      <c r="JTR6"/>
      <c r="JTS6"/>
      <c r="JTT6"/>
      <c r="JTU6"/>
      <c r="JTV6"/>
      <c r="JTW6"/>
      <c r="JTX6"/>
      <c r="JTY6"/>
      <c r="JTZ6"/>
      <c r="JUA6"/>
      <c r="JUB6"/>
      <c r="JUC6"/>
      <c r="JUD6"/>
      <c r="JUE6"/>
      <c r="JUF6"/>
      <c r="JUG6"/>
      <c r="JUH6"/>
      <c r="JUI6"/>
      <c r="JUJ6"/>
      <c r="JUK6"/>
      <c r="JUL6"/>
      <c r="JUM6"/>
      <c r="JUN6"/>
      <c r="JUO6"/>
      <c r="JUP6"/>
      <c r="JUQ6"/>
      <c r="JUR6"/>
      <c r="JUS6"/>
      <c r="JUT6"/>
      <c r="JUU6"/>
      <c r="JUV6"/>
      <c r="JUW6"/>
      <c r="JUX6"/>
      <c r="JUY6"/>
      <c r="JUZ6"/>
      <c r="JVA6"/>
      <c r="JVB6"/>
      <c r="JVC6"/>
      <c r="JVD6"/>
      <c r="JVE6"/>
      <c r="JVF6"/>
      <c r="JVG6"/>
      <c r="JVH6"/>
      <c r="JVI6"/>
      <c r="JVJ6"/>
      <c r="JVK6"/>
      <c r="JVL6"/>
      <c r="JVM6"/>
      <c r="JVN6"/>
      <c r="JVO6"/>
      <c r="JVP6"/>
      <c r="JVQ6"/>
      <c r="JVR6"/>
      <c r="JVS6"/>
      <c r="JVT6"/>
      <c r="JVU6"/>
      <c r="JVV6"/>
      <c r="JVW6"/>
      <c r="JVX6"/>
      <c r="JVY6"/>
      <c r="JVZ6"/>
      <c r="JWA6"/>
      <c r="JWB6"/>
      <c r="JWC6"/>
      <c r="JWD6"/>
      <c r="JWE6"/>
      <c r="JWF6"/>
      <c r="JWG6"/>
      <c r="JWH6"/>
      <c r="JWI6"/>
      <c r="JWJ6"/>
      <c r="JWK6"/>
      <c r="JWL6"/>
      <c r="JWM6"/>
      <c r="JWN6"/>
      <c r="JWO6"/>
      <c r="JWP6"/>
      <c r="JWQ6"/>
      <c r="JWR6"/>
      <c r="JWS6"/>
      <c r="JWT6"/>
      <c r="JWU6"/>
      <c r="JWV6"/>
      <c r="JWW6"/>
      <c r="JWX6"/>
      <c r="JWY6"/>
      <c r="JWZ6"/>
      <c r="JXA6"/>
      <c r="JXB6"/>
      <c r="JXC6"/>
      <c r="JXD6"/>
      <c r="JXE6"/>
      <c r="JXF6"/>
      <c r="JXG6"/>
      <c r="JXH6"/>
      <c r="JXI6"/>
      <c r="JXJ6"/>
      <c r="JXK6"/>
      <c r="JXL6"/>
      <c r="JXM6"/>
      <c r="JXN6"/>
      <c r="JXO6"/>
      <c r="JXP6"/>
      <c r="JXQ6"/>
      <c r="JXR6"/>
      <c r="JXS6"/>
      <c r="JXT6"/>
      <c r="JXU6"/>
      <c r="JXV6"/>
      <c r="JXW6"/>
      <c r="JXX6"/>
      <c r="JXY6"/>
      <c r="JXZ6"/>
      <c r="JYA6"/>
      <c r="JYB6"/>
      <c r="JYC6"/>
      <c r="JYD6"/>
      <c r="JYE6"/>
      <c r="JYF6"/>
      <c r="JYG6"/>
      <c r="JYH6"/>
      <c r="JYI6"/>
      <c r="JYJ6"/>
      <c r="JYK6"/>
      <c r="JYL6"/>
      <c r="JYM6"/>
      <c r="JYN6"/>
      <c r="JYO6"/>
      <c r="JYP6"/>
      <c r="JYQ6"/>
      <c r="JYR6"/>
      <c r="JYS6"/>
      <c r="JYT6"/>
      <c r="JYU6"/>
      <c r="JYV6"/>
      <c r="JYW6"/>
      <c r="JYX6"/>
      <c r="JYY6"/>
      <c r="JYZ6"/>
      <c r="JZA6"/>
      <c r="JZB6"/>
      <c r="JZC6"/>
      <c r="JZD6"/>
      <c r="JZE6"/>
      <c r="JZF6"/>
      <c r="JZG6"/>
      <c r="JZH6"/>
      <c r="JZI6"/>
      <c r="JZJ6"/>
      <c r="JZK6"/>
      <c r="JZL6"/>
      <c r="JZM6"/>
      <c r="JZN6"/>
      <c r="JZO6"/>
      <c r="JZP6"/>
      <c r="JZQ6"/>
      <c r="JZR6"/>
      <c r="JZS6"/>
      <c r="JZT6"/>
      <c r="JZU6"/>
      <c r="JZV6"/>
      <c r="JZW6"/>
      <c r="JZX6"/>
      <c r="JZY6"/>
      <c r="JZZ6"/>
      <c r="KAA6"/>
      <c r="KAB6"/>
      <c r="KAC6"/>
      <c r="KAD6"/>
      <c r="KAE6"/>
      <c r="KAF6"/>
      <c r="KAG6"/>
      <c r="KAH6"/>
      <c r="KAI6"/>
      <c r="KAJ6"/>
      <c r="KAK6"/>
      <c r="KAL6"/>
      <c r="KAM6"/>
      <c r="KAN6"/>
      <c r="KAO6"/>
      <c r="KAP6"/>
      <c r="KAQ6"/>
      <c r="KAR6"/>
      <c r="KAS6"/>
      <c r="KAT6"/>
      <c r="KAU6"/>
      <c r="KAV6"/>
      <c r="KAW6"/>
      <c r="KAX6"/>
      <c r="KAY6"/>
      <c r="KAZ6"/>
      <c r="KBA6"/>
      <c r="KBB6"/>
      <c r="KBC6"/>
      <c r="KBD6"/>
      <c r="KBE6"/>
      <c r="KBF6"/>
      <c r="KBG6"/>
      <c r="KBH6"/>
      <c r="KBI6"/>
      <c r="KBJ6"/>
      <c r="KBK6"/>
      <c r="KBL6"/>
      <c r="KBM6"/>
      <c r="KBN6"/>
      <c r="KBO6"/>
      <c r="KBP6"/>
      <c r="KBQ6"/>
      <c r="KBR6"/>
      <c r="KBS6"/>
      <c r="KBT6"/>
      <c r="KBU6"/>
      <c r="KBV6"/>
      <c r="KBW6"/>
      <c r="KBX6"/>
      <c r="KBY6"/>
      <c r="KBZ6"/>
      <c r="KCA6"/>
      <c r="KCB6"/>
      <c r="KCC6"/>
      <c r="KCD6"/>
      <c r="KCE6"/>
      <c r="KCF6"/>
      <c r="KCG6"/>
      <c r="KCH6"/>
      <c r="KCI6"/>
      <c r="KCJ6"/>
      <c r="KCK6"/>
      <c r="KCL6"/>
      <c r="KCM6"/>
      <c r="KCN6"/>
      <c r="KCO6"/>
      <c r="KCP6"/>
      <c r="KCQ6"/>
      <c r="KCR6"/>
      <c r="KCS6"/>
      <c r="KCT6"/>
      <c r="KCU6"/>
      <c r="KCV6"/>
      <c r="KCW6"/>
      <c r="KCX6"/>
      <c r="KCY6"/>
      <c r="KCZ6"/>
      <c r="KDA6"/>
      <c r="KDB6"/>
      <c r="KDC6"/>
      <c r="KDD6"/>
      <c r="KDE6"/>
      <c r="KDF6"/>
      <c r="KDG6"/>
      <c r="KDH6"/>
      <c r="KDI6"/>
      <c r="KDJ6"/>
      <c r="KDK6"/>
      <c r="KDL6"/>
      <c r="KDM6"/>
      <c r="KDN6"/>
      <c r="KDO6"/>
      <c r="KDP6"/>
      <c r="KDQ6"/>
      <c r="KDR6"/>
      <c r="KDS6"/>
      <c r="KDT6"/>
      <c r="KDU6"/>
      <c r="KDV6"/>
      <c r="KDW6"/>
      <c r="KDX6"/>
      <c r="KDY6"/>
      <c r="KDZ6"/>
      <c r="KEA6"/>
      <c r="KEB6"/>
      <c r="KEC6"/>
      <c r="KED6"/>
      <c r="KEE6"/>
      <c r="KEF6"/>
      <c r="KEG6"/>
      <c r="KEH6"/>
      <c r="KEI6"/>
      <c r="KEJ6"/>
      <c r="KEK6"/>
      <c r="KEL6"/>
      <c r="KEM6"/>
      <c r="KEN6"/>
      <c r="KEO6"/>
      <c r="KEP6"/>
      <c r="KEQ6"/>
      <c r="KER6"/>
      <c r="KES6"/>
      <c r="KET6"/>
      <c r="KEU6"/>
      <c r="KEV6"/>
      <c r="KEW6"/>
      <c r="KEX6"/>
      <c r="KEY6"/>
      <c r="KEZ6"/>
      <c r="KFA6"/>
      <c r="KFB6"/>
      <c r="KFC6"/>
      <c r="KFD6"/>
      <c r="KFE6"/>
      <c r="KFF6"/>
      <c r="KFG6"/>
      <c r="KFH6"/>
      <c r="KFI6"/>
      <c r="KFJ6"/>
      <c r="KFK6"/>
      <c r="KFL6"/>
      <c r="KFM6"/>
      <c r="KFN6"/>
      <c r="KFO6"/>
      <c r="KFP6"/>
      <c r="KFQ6"/>
      <c r="KFR6"/>
      <c r="KFS6"/>
      <c r="KFT6"/>
      <c r="KFU6"/>
      <c r="KFV6"/>
      <c r="KFW6"/>
      <c r="KFX6"/>
      <c r="KFY6"/>
      <c r="KFZ6"/>
      <c r="KGA6"/>
      <c r="KGB6"/>
      <c r="KGC6"/>
      <c r="KGD6"/>
      <c r="KGE6"/>
      <c r="KGF6"/>
      <c r="KGG6"/>
      <c r="KGH6"/>
      <c r="KGI6"/>
      <c r="KGJ6"/>
      <c r="KGK6"/>
      <c r="KGL6"/>
      <c r="KGM6"/>
      <c r="KGN6"/>
      <c r="KGO6"/>
      <c r="KGP6"/>
      <c r="KGQ6"/>
      <c r="KGR6"/>
      <c r="KGS6"/>
      <c r="KGT6"/>
      <c r="KGU6"/>
      <c r="KGV6"/>
      <c r="KGW6"/>
      <c r="KGX6"/>
      <c r="KGY6"/>
      <c r="KGZ6"/>
      <c r="KHA6"/>
      <c r="KHB6"/>
      <c r="KHC6"/>
      <c r="KHD6"/>
      <c r="KHE6"/>
      <c r="KHF6"/>
      <c r="KHG6"/>
      <c r="KHH6"/>
      <c r="KHI6"/>
      <c r="KHJ6"/>
      <c r="KHK6"/>
      <c r="KHL6"/>
      <c r="KHM6"/>
      <c r="KHN6"/>
      <c r="KHO6"/>
      <c r="KHP6"/>
      <c r="KHQ6"/>
      <c r="KHR6"/>
      <c r="KHS6"/>
      <c r="KHT6"/>
      <c r="KHU6"/>
      <c r="KHV6"/>
      <c r="KHW6"/>
      <c r="KHX6"/>
      <c r="KHY6"/>
      <c r="KHZ6"/>
      <c r="KIA6"/>
      <c r="KIB6"/>
      <c r="KIC6"/>
      <c r="KID6"/>
      <c r="KIE6"/>
      <c r="KIF6"/>
      <c r="KIG6"/>
      <c r="KIH6"/>
      <c r="KII6"/>
      <c r="KIJ6"/>
      <c r="KIK6"/>
      <c r="KIL6"/>
      <c r="KIM6"/>
      <c r="KIN6"/>
      <c r="KIO6"/>
      <c r="KIP6"/>
      <c r="KIQ6"/>
      <c r="KIR6"/>
      <c r="KIS6"/>
      <c r="KIT6"/>
      <c r="KIU6"/>
      <c r="KIV6"/>
      <c r="KIW6"/>
      <c r="KIX6"/>
      <c r="KIY6"/>
      <c r="KIZ6"/>
      <c r="KJA6"/>
      <c r="KJB6"/>
      <c r="KJC6"/>
      <c r="KJD6"/>
      <c r="KJE6"/>
      <c r="KJF6"/>
      <c r="KJG6"/>
      <c r="KJH6"/>
      <c r="KJI6"/>
      <c r="KJJ6"/>
      <c r="KJK6"/>
      <c r="KJL6"/>
      <c r="KJM6"/>
      <c r="KJN6"/>
      <c r="KJO6"/>
      <c r="KJP6"/>
      <c r="KJQ6"/>
      <c r="KJR6"/>
      <c r="KJS6"/>
      <c r="KJT6"/>
      <c r="KJU6"/>
      <c r="KJV6"/>
      <c r="KJW6"/>
      <c r="KJX6"/>
      <c r="KJY6"/>
      <c r="KJZ6"/>
      <c r="KKA6"/>
      <c r="KKB6"/>
      <c r="KKC6"/>
      <c r="KKD6"/>
      <c r="KKE6"/>
      <c r="KKF6"/>
      <c r="KKG6"/>
      <c r="KKH6"/>
      <c r="KKI6"/>
      <c r="KKJ6"/>
      <c r="KKK6"/>
      <c r="KKL6"/>
      <c r="KKM6"/>
      <c r="KKN6"/>
      <c r="KKO6"/>
      <c r="KKP6"/>
      <c r="KKQ6"/>
      <c r="KKR6"/>
      <c r="KKS6"/>
      <c r="KKT6"/>
      <c r="KKU6"/>
      <c r="KKV6"/>
      <c r="KKW6"/>
      <c r="KKX6"/>
      <c r="KKY6"/>
      <c r="KKZ6"/>
      <c r="KLA6"/>
      <c r="KLB6"/>
      <c r="KLC6"/>
      <c r="KLD6"/>
      <c r="KLE6"/>
      <c r="KLF6"/>
      <c r="KLG6"/>
      <c r="KLH6"/>
      <c r="KLI6"/>
      <c r="KLJ6"/>
      <c r="KLK6"/>
      <c r="KLL6"/>
      <c r="KLM6"/>
      <c r="KLN6"/>
      <c r="KLO6"/>
      <c r="KLP6"/>
      <c r="KLQ6"/>
      <c r="KLR6"/>
      <c r="KLS6"/>
      <c r="KLT6"/>
      <c r="KLU6"/>
      <c r="KLV6"/>
      <c r="KLW6"/>
      <c r="KLX6"/>
      <c r="KLY6"/>
      <c r="KLZ6"/>
      <c r="KMA6"/>
      <c r="KMB6"/>
      <c r="KMC6"/>
      <c r="KMD6"/>
      <c r="KME6"/>
      <c r="KMF6"/>
      <c r="KMG6"/>
      <c r="KMH6"/>
      <c r="KMI6"/>
      <c r="KMJ6"/>
      <c r="KMK6"/>
      <c r="KML6"/>
      <c r="KMM6"/>
      <c r="KMN6"/>
      <c r="KMO6"/>
      <c r="KMP6"/>
      <c r="KMQ6"/>
      <c r="KMR6"/>
      <c r="KMS6"/>
      <c r="KMT6"/>
      <c r="KMU6"/>
      <c r="KMV6"/>
      <c r="KMW6"/>
      <c r="KMX6"/>
      <c r="KMY6"/>
      <c r="KMZ6"/>
      <c r="KNA6"/>
      <c r="KNB6"/>
      <c r="KNC6"/>
      <c r="KND6"/>
      <c r="KNE6"/>
      <c r="KNF6"/>
      <c r="KNG6"/>
      <c r="KNH6"/>
      <c r="KNI6"/>
      <c r="KNJ6"/>
      <c r="KNK6"/>
      <c r="KNL6"/>
      <c r="KNM6"/>
      <c r="KNN6"/>
      <c r="KNO6"/>
      <c r="KNP6"/>
      <c r="KNQ6"/>
      <c r="KNR6"/>
      <c r="KNS6"/>
      <c r="KNT6"/>
      <c r="KNU6"/>
      <c r="KNV6"/>
      <c r="KNW6"/>
      <c r="KNX6"/>
      <c r="KNY6"/>
      <c r="KNZ6"/>
      <c r="KOA6"/>
      <c r="KOB6"/>
      <c r="KOC6"/>
      <c r="KOD6"/>
      <c r="KOE6"/>
      <c r="KOF6"/>
      <c r="KOG6"/>
      <c r="KOH6"/>
      <c r="KOI6"/>
      <c r="KOJ6"/>
      <c r="KOK6"/>
      <c r="KOL6"/>
      <c r="KOM6"/>
      <c r="KON6"/>
      <c r="KOO6"/>
      <c r="KOP6"/>
      <c r="KOQ6"/>
      <c r="KOR6"/>
      <c r="KOS6"/>
      <c r="KOT6"/>
      <c r="KOU6"/>
      <c r="KOV6"/>
      <c r="KOW6"/>
      <c r="KOX6"/>
      <c r="KOY6"/>
      <c r="KOZ6"/>
      <c r="KPA6"/>
      <c r="KPB6"/>
      <c r="KPC6"/>
      <c r="KPD6"/>
      <c r="KPE6"/>
      <c r="KPF6"/>
      <c r="KPG6"/>
      <c r="KPH6"/>
      <c r="KPI6"/>
      <c r="KPJ6"/>
      <c r="KPK6"/>
      <c r="KPL6"/>
      <c r="KPM6"/>
      <c r="KPN6"/>
      <c r="KPO6"/>
      <c r="KPP6"/>
      <c r="KPQ6"/>
      <c r="KPR6"/>
      <c r="KPS6"/>
      <c r="KPT6"/>
      <c r="KPU6"/>
      <c r="KPV6"/>
      <c r="KPW6"/>
      <c r="KPX6"/>
      <c r="KPY6"/>
      <c r="KPZ6"/>
      <c r="KQA6"/>
      <c r="KQB6"/>
      <c r="KQC6"/>
      <c r="KQD6"/>
      <c r="KQE6"/>
      <c r="KQF6"/>
      <c r="KQG6"/>
      <c r="KQH6"/>
      <c r="KQI6"/>
      <c r="KQJ6"/>
      <c r="KQK6"/>
      <c r="KQL6"/>
      <c r="KQM6"/>
      <c r="KQN6"/>
      <c r="KQO6"/>
      <c r="KQP6"/>
      <c r="KQQ6"/>
      <c r="KQR6"/>
      <c r="KQS6"/>
      <c r="KQT6"/>
      <c r="KQU6"/>
      <c r="KQV6"/>
      <c r="KQW6"/>
      <c r="KQX6"/>
      <c r="KQY6"/>
      <c r="KQZ6"/>
      <c r="KRA6"/>
      <c r="KRB6"/>
      <c r="KRC6"/>
      <c r="KRD6"/>
      <c r="KRE6"/>
      <c r="KRF6"/>
      <c r="KRG6"/>
      <c r="KRH6"/>
      <c r="KRI6"/>
      <c r="KRJ6"/>
      <c r="KRK6"/>
      <c r="KRL6"/>
      <c r="KRM6"/>
      <c r="KRN6"/>
      <c r="KRO6"/>
      <c r="KRP6"/>
      <c r="KRQ6"/>
      <c r="KRR6"/>
      <c r="KRS6"/>
      <c r="KRT6"/>
      <c r="KRU6"/>
      <c r="KRV6"/>
      <c r="KRW6"/>
      <c r="KRX6"/>
      <c r="KRY6"/>
      <c r="KRZ6"/>
      <c r="KSA6"/>
      <c r="KSB6"/>
      <c r="KSC6"/>
      <c r="KSD6"/>
      <c r="KSE6"/>
      <c r="KSF6"/>
      <c r="KSG6"/>
      <c r="KSH6"/>
      <c r="KSI6"/>
      <c r="KSJ6"/>
      <c r="KSK6"/>
      <c r="KSL6"/>
      <c r="KSM6"/>
      <c r="KSN6"/>
      <c r="KSO6"/>
      <c r="KSP6"/>
      <c r="KSQ6"/>
      <c r="KSR6"/>
      <c r="KSS6"/>
      <c r="KST6"/>
      <c r="KSU6"/>
      <c r="KSV6"/>
      <c r="KSW6"/>
      <c r="KSX6"/>
      <c r="KSY6"/>
      <c r="KSZ6"/>
      <c r="KTA6"/>
      <c r="KTB6"/>
      <c r="KTC6"/>
      <c r="KTD6"/>
      <c r="KTE6"/>
      <c r="KTF6"/>
      <c r="KTG6"/>
      <c r="KTH6"/>
      <c r="KTI6"/>
      <c r="KTJ6"/>
      <c r="KTK6"/>
      <c r="KTL6"/>
      <c r="KTM6"/>
      <c r="KTN6"/>
      <c r="KTO6"/>
      <c r="KTP6"/>
      <c r="KTQ6"/>
      <c r="KTR6"/>
      <c r="KTS6"/>
      <c r="KTT6"/>
      <c r="KTU6"/>
      <c r="KTV6"/>
      <c r="KTW6"/>
      <c r="KTX6"/>
      <c r="KTY6"/>
      <c r="KTZ6"/>
      <c r="KUA6"/>
      <c r="KUB6"/>
      <c r="KUC6"/>
      <c r="KUD6"/>
      <c r="KUE6"/>
      <c r="KUF6"/>
      <c r="KUG6"/>
      <c r="KUH6"/>
      <c r="KUI6"/>
      <c r="KUJ6"/>
      <c r="KUK6"/>
      <c r="KUL6"/>
      <c r="KUM6"/>
      <c r="KUN6"/>
      <c r="KUO6"/>
      <c r="KUP6"/>
      <c r="KUQ6"/>
      <c r="KUR6"/>
      <c r="KUS6"/>
      <c r="KUT6"/>
      <c r="KUU6"/>
      <c r="KUV6"/>
      <c r="KUW6"/>
      <c r="KUX6"/>
      <c r="KUY6"/>
      <c r="KUZ6"/>
      <c r="KVA6"/>
      <c r="KVB6"/>
      <c r="KVC6"/>
      <c r="KVD6"/>
      <c r="KVE6"/>
      <c r="KVF6"/>
      <c r="KVG6"/>
      <c r="KVH6"/>
      <c r="KVI6"/>
      <c r="KVJ6"/>
      <c r="KVK6"/>
      <c r="KVL6"/>
      <c r="KVM6"/>
      <c r="KVN6"/>
      <c r="KVO6"/>
      <c r="KVP6"/>
      <c r="KVQ6"/>
      <c r="KVR6"/>
      <c r="KVS6"/>
      <c r="KVT6"/>
      <c r="KVU6"/>
      <c r="KVV6"/>
      <c r="KVW6"/>
      <c r="KVX6"/>
      <c r="KVY6"/>
      <c r="KVZ6"/>
      <c r="KWA6"/>
      <c r="KWB6"/>
      <c r="KWC6"/>
      <c r="KWD6"/>
      <c r="KWE6"/>
      <c r="KWF6"/>
      <c r="KWG6"/>
      <c r="KWH6"/>
      <c r="KWI6"/>
      <c r="KWJ6"/>
      <c r="KWK6"/>
      <c r="KWL6"/>
      <c r="KWM6"/>
      <c r="KWN6"/>
      <c r="KWO6"/>
      <c r="KWP6"/>
      <c r="KWQ6"/>
      <c r="KWR6"/>
      <c r="KWS6"/>
      <c r="KWT6"/>
      <c r="KWU6"/>
      <c r="KWV6"/>
      <c r="KWW6"/>
      <c r="KWX6"/>
      <c r="KWY6"/>
      <c r="KWZ6"/>
      <c r="KXA6"/>
      <c r="KXB6"/>
      <c r="KXC6"/>
      <c r="KXD6"/>
      <c r="KXE6"/>
      <c r="KXF6"/>
      <c r="KXG6"/>
      <c r="KXH6"/>
      <c r="KXI6"/>
      <c r="KXJ6"/>
      <c r="KXK6"/>
      <c r="KXL6"/>
      <c r="KXM6"/>
      <c r="KXN6"/>
      <c r="KXO6"/>
      <c r="KXP6"/>
      <c r="KXQ6"/>
      <c r="KXR6"/>
      <c r="KXS6"/>
      <c r="KXT6"/>
      <c r="KXU6"/>
      <c r="KXV6"/>
      <c r="KXW6"/>
      <c r="KXX6"/>
      <c r="KXY6"/>
      <c r="KXZ6"/>
      <c r="KYA6"/>
      <c r="KYB6"/>
      <c r="KYC6"/>
      <c r="KYD6"/>
      <c r="KYE6"/>
      <c r="KYF6"/>
      <c r="KYG6"/>
      <c r="KYH6"/>
      <c r="KYI6"/>
      <c r="KYJ6"/>
      <c r="KYK6"/>
      <c r="KYL6"/>
      <c r="KYM6"/>
      <c r="KYN6"/>
      <c r="KYO6"/>
      <c r="KYP6"/>
      <c r="KYQ6"/>
      <c r="KYR6"/>
      <c r="KYS6"/>
      <c r="KYT6"/>
      <c r="KYU6"/>
      <c r="KYV6"/>
      <c r="KYW6"/>
      <c r="KYX6"/>
      <c r="KYY6"/>
      <c r="KYZ6"/>
      <c r="KZA6"/>
      <c r="KZB6"/>
      <c r="KZC6"/>
      <c r="KZD6"/>
      <c r="KZE6"/>
      <c r="KZF6"/>
      <c r="KZG6"/>
      <c r="KZH6"/>
      <c r="KZI6"/>
      <c r="KZJ6"/>
      <c r="KZK6"/>
      <c r="KZL6"/>
      <c r="KZM6"/>
      <c r="KZN6"/>
      <c r="KZO6"/>
      <c r="KZP6"/>
      <c r="KZQ6"/>
      <c r="KZR6"/>
      <c r="KZS6"/>
      <c r="KZT6"/>
      <c r="KZU6"/>
      <c r="KZV6"/>
      <c r="KZW6"/>
      <c r="KZX6"/>
      <c r="KZY6"/>
      <c r="KZZ6"/>
      <c r="LAA6"/>
      <c r="LAB6"/>
      <c r="LAC6"/>
      <c r="LAD6"/>
      <c r="LAE6"/>
      <c r="LAF6"/>
      <c r="LAG6"/>
      <c r="LAH6"/>
      <c r="LAI6"/>
      <c r="LAJ6"/>
      <c r="LAK6"/>
      <c r="LAL6"/>
      <c r="LAM6"/>
      <c r="LAN6"/>
      <c r="LAO6"/>
      <c r="LAP6"/>
      <c r="LAQ6"/>
      <c r="LAR6"/>
      <c r="LAS6"/>
      <c r="LAT6"/>
      <c r="LAU6"/>
      <c r="LAV6"/>
      <c r="LAW6"/>
      <c r="LAX6"/>
      <c r="LAY6"/>
      <c r="LAZ6"/>
      <c r="LBA6"/>
      <c r="LBB6"/>
      <c r="LBC6"/>
      <c r="LBD6"/>
      <c r="LBE6"/>
      <c r="LBF6"/>
      <c r="LBG6"/>
      <c r="LBH6"/>
      <c r="LBI6"/>
      <c r="LBJ6"/>
      <c r="LBK6"/>
      <c r="LBL6"/>
      <c r="LBM6"/>
      <c r="LBN6"/>
      <c r="LBO6"/>
      <c r="LBP6"/>
      <c r="LBQ6"/>
      <c r="LBR6"/>
      <c r="LBS6"/>
      <c r="LBT6"/>
      <c r="LBU6"/>
      <c r="LBV6"/>
      <c r="LBW6"/>
      <c r="LBX6"/>
      <c r="LBY6"/>
      <c r="LBZ6"/>
      <c r="LCA6"/>
      <c r="LCB6"/>
      <c r="LCC6"/>
      <c r="LCD6"/>
      <c r="LCE6"/>
      <c r="LCF6"/>
      <c r="LCG6"/>
      <c r="LCH6"/>
      <c r="LCI6"/>
      <c r="LCJ6"/>
      <c r="LCK6"/>
      <c r="LCL6"/>
      <c r="LCM6"/>
      <c r="LCN6"/>
      <c r="LCO6"/>
      <c r="LCP6"/>
      <c r="LCQ6"/>
      <c r="LCR6"/>
      <c r="LCS6"/>
      <c r="LCT6"/>
      <c r="LCU6"/>
      <c r="LCV6"/>
      <c r="LCW6"/>
      <c r="LCX6"/>
      <c r="LCY6"/>
      <c r="LCZ6"/>
      <c r="LDA6"/>
      <c r="LDB6"/>
      <c r="LDC6"/>
      <c r="LDD6"/>
      <c r="LDE6"/>
      <c r="LDF6"/>
      <c r="LDG6"/>
      <c r="LDH6"/>
      <c r="LDI6"/>
      <c r="LDJ6"/>
      <c r="LDK6"/>
      <c r="LDL6"/>
      <c r="LDM6"/>
      <c r="LDN6"/>
      <c r="LDO6"/>
      <c r="LDP6"/>
      <c r="LDQ6"/>
      <c r="LDR6"/>
      <c r="LDS6"/>
      <c r="LDT6"/>
      <c r="LDU6"/>
      <c r="LDV6"/>
      <c r="LDW6"/>
      <c r="LDX6"/>
      <c r="LDY6"/>
      <c r="LDZ6"/>
      <c r="LEA6"/>
      <c r="LEB6"/>
      <c r="LEC6"/>
      <c r="LED6"/>
      <c r="LEE6"/>
      <c r="LEF6"/>
      <c r="LEG6"/>
      <c r="LEH6"/>
      <c r="LEI6"/>
      <c r="LEJ6"/>
      <c r="LEK6"/>
      <c r="LEL6"/>
      <c r="LEM6"/>
      <c r="LEN6"/>
      <c r="LEO6"/>
      <c r="LEP6"/>
      <c r="LEQ6"/>
      <c r="LER6"/>
      <c r="LES6"/>
      <c r="LET6"/>
      <c r="LEU6"/>
      <c r="LEV6"/>
      <c r="LEW6"/>
      <c r="LEX6"/>
      <c r="LEY6"/>
      <c r="LEZ6"/>
      <c r="LFA6"/>
      <c r="LFB6"/>
      <c r="LFC6"/>
      <c r="LFD6"/>
      <c r="LFE6"/>
      <c r="LFF6"/>
      <c r="LFG6"/>
      <c r="LFH6"/>
      <c r="LFI6"/>
      <c r="LFJ6"/>
      <c r="LFK6"/>
      <c r="LFL6"/>
      <c r="LFM6"/>
      <c r="LFN6"/>
      <c r="LFO6"/>
      <c r="LFP6"/>
      <c r="LFQ6"/>
      <c r="LFR6"/>
      <c r="LFS6"/>
      <c r="LFT6"/>
      <c r="LFU6"/>
      <c r="LFV6"/>
      <c r="LFW6"/>
      <c r="LFX6"/>
      <c r="LFY6"/>
      <c r="LFZ6"/>
      <c r="LGA6"/>
      <c r="LGB6"/>
      <c r="LGC6"/>
      <c r="LGD6"/>
      <c r="LGE6"/>
      <c r="LGF6"/>
      <c r="LGG6"/>
      <c r="LGH6"/>
      <c r="LGI6"/>
      <c r="LGJ6"/>
      <c r="LGK6"/>
      <c r="LGL6"/>
      <c r="LGM6"/>
      <c r="LGN6"/>
      <c r="LGO6"/>
      <c r="LGP6"/>
      <c r="LGQ6"/>
      <c r="LGR6"/>
      <c r="LGS6"/>
      <c r="LGT6"/>
      <c r="LGU6"/>
      <c r="LGV6"/>
      <c r="LGW6"/>
      <c r="LGX6"/>
      <c r="LGY6"/>
      <c r="LGZ6"/>
      <c r="LHA6"/>
      <c r="LHB6"/>
      <c r="LHC6"/>
      <c r="LHD6"/>
      <c r="LHE6"/>
      <c r="LHF6"/>
      <c r="LHG6"/>
      <c r="LHH6"/>
      <c r="LHI6"/>
      <c r="LHJ6"/>
      <c r="LHK6"/>
      <c r="LHL6"/>
      <c r="LHM6"/>
      <c r="LHN6"/>
      <c r="LHO6"/>
      <c r="LHP6"/>
      <c r="LHQ6"/>
      <c r="LHR6"/>
      <c r="LHS6"/>
      <c r="LHT6"/>
      <c r="LHU6"/>
      <c r="LHV6"/>
      <c r="LHW6"/>
      <c r="LHX6"/>
      <c r="LHY6"/>
      <c r="LHZ6"/>
      <c r="LIA6"/>
      <c r="LIB6"/>
      <c r="LIC6"/>
      <c r="LID6"/>
      <c r="LIE6"/>
      <c r="LIF6"/>
      <c r="LIG6"/>
      <c r="LIH6"/>
      <c r="LII6"/>
      <c r="LIJ6"/>
      <c r="LIK6"/>
      <c r="LIL6"/>
      <c r="LIM6"/>
      <c r="LIN6"/>
      <c r="LIO6"/>
      <c r="LIP6"/>
      <c r="LIQ6"/>
      <c r="LIR6"/>
      <c r="LIS6"/>
      <c r="LIT6"/>
      <c r="LIU6"/>
      <c r="LIV6"/>
      <c r="LIW6"/>
      <c r="LIX6"/>
      <c r="LIY6"/>
      <c r="LIZ6"/>
      <c r="LJA6"/>
      <c r="LJB6"/>
      <c r="LJC6"/>
      <c r="LJD6"/>
      <c r="LJE6"/>
      <c r="LJF6"/>
      <c r="LJG6"/>
      <c r="LJH6"/>
      <c r="LJI6"/>
      <c r="LJJ6"/>
      <c r="LJK6"/>
      <c r="LJL6"/>
      <c r="LJM6"/>
      <c r="LJN6"/>
      <c r="LJO6"/>
      <c r="LJP6"/>
      <c r="LJQ6"/>
      <c r="LJR6"/>
      <c r="LJS6"/>
      <c r="LJT6"/>
      <c r="LJU6"/>
      <c r="LJV6"/>
      <c r="LJW6"/>
      <c r="LJX6"/>
      <c r="LJY6"/>
      <c r="LJZ6"/>
      <c r="LKA6"/>
      <c r="LKB6"/>
      <c r="LKC6"/>
      <c r="LKD6"/>
      <c r="LKE6"/>
      <c r="LKF6"/>
      <c r="LKG6"/>
      <c r="LKH6"/>
      <c r="LKI6"/>
      <c r="LKJ6"/>
      <c r="LKK6"/>
      <c r="LKL6"/>
      <c r="LKM6"/>
      <c r="LKN6"/>
      <c r="LKO6"/>
      <c r="LKP6"/>
      <c r="LKQ6"/>
      <c r="LKR6"/>
      <c r="LKS6"/>
      <c r="LKT6"/>
      <c r="LKU6"/>
      <c r="LKV6"/>
      <c r="LKW6"/>
      <c r="LKX6"/>
      <c r="LKY6"/>
      <c r="LKZ6"/>
      <c r="LLA6"/>
      <c r="LLB6"/>
      <c r="LLC6"/>
      <c r="LLD6"/>
      <c r="LLE6"/>
      <c r="LLF6"/>
      <c r="LLG6"/>
      <c r="LLH6"/>
      <c r="LLI6"/>
      <c r="LLJ6"/>
      <c r="LLK6"/>
      <c r="LLL6"/>
      <c r="LLM6"/>
      <c r="LLN6"/>
      <c r="LLO6"/>
      <c r="LLP6"/>
      <c r="LLQ6"/>
      <c r="LLR6"/>
      <c r="LLS6"/>
      <c r="LLT6"/>
      <c r="LLU6"/>
      <c r="LLV6"/>
      <c r="LLW6"/>
      <c r="LLX6"/>
      <c r="LLY6"/>
      <c r="LLZ6"/>
      <c r="LMA6"/>
      <c r="LMB6"/>
      <c r="LMC6"/>
      <c r="LMD6"/>
      <c r="LME6"/>
      <c r="LMF6"/>
      <c r="LMG6"/>
      <c r="LMH6"/>
      <c r="LMI6"/>
      <c r="LMJ6"/>
      <c r="LMK6"/>
      <c r="LML6"/>
      <c r="LMM6"/>
      <c r="LMN6"/>
      <c r="LMO6"/>
      <c r="LMP6"/>
      <c r="LMQ6"/>
      <c r="LMR6"/>
      <c r="LMS6"/>
      <c r="LMT6"/>
      <c r="LMU6"/>
      <c r="LMV6"/>
      <c r="LMW6"/>
      <c r="LMX6"/>
      <c r="LMY6"/>
      <c r="LMZ6"/>
      <c r="LNA6"/>
      <c r="LNB6"/>
      <c r="LNC6"/>
      <c r="LND6"/>
      <c r="LNE6"/>
      <c r="LNF6"/>
      <c r="LNG6"/>
      <c r="LNH6"/>
      <c r="LNI6"/>
      <c r="LNJ6"/>
      <c r="LNK6"/>
      <c r="LNL6"/>
      <c r="LNM6"/>
      <c r="LNN6"/>
      <c r="LNO6"/>
      <c r="LNP6"/>
      <c r="LNQ6"/>
      <c r="LNR6"/>
      <c r="LNS6"/>
      <c r="LNT6"/>
      <c r="LNU6"/>
      <c r="LNV6"/>
      <c r="LNW6"/>
      <c r="LNX6"/>
      <c r="LNY6"/>
      <c r="LNZ6"/>
      <c r="LOA6"/>
      <c r="LOB6"/>
      <c r="LOC6"/>
      <c r="LOD6"/>
      <c r="LOE6"/>
      <c r="LOF6"/>
      <c r="LOG6"/>
      <c r="LOH6"/>
      <c r="LOI6"/>
      <c r="LOJ6"/>
      <c r="LOK6"/>
      <c r="LOL6"/>
      <c r="LOM6"/>
      <c r="LON6"/>
      <c r="LOO6"/>
      <c r="LOP6"/>
      <c r="LOQ6"/>
      <c r="LOR6"/>
      <c r="LOS6"/>
      <c r="LOT6"/>
      <c r="LOU6"/>
      <c r="LOV6"/>
      <c r="LOW6"/>
      <c r="LOX6"/>
      <c r="LOY6"/>
      <c r="LOZ6"/>
      <c r="LPA6"/>
      <c r="LPB6"/>
      <c r="LPC6"/>
      <c r="LPD6"/>
      <c r="LPE6"/>
      <c r="LPF6"/>
      <c r="LPG6"/>
      <c r="LPH6"/>
      <c r="LPI6"/>
      <c r="LPJ6"/>
      <c r="LPK6"/>
      <c r="LPL6"/>
      <c r="LPM6"/>
      <c r="LPN6"/>
      <c r="LPO6"/>
      <c r="LPP6"/>
      <c r="LPQ6"/>
      <c r="LPR6"/>
      <c r="LPS6"/>
      <c r="LPT6"/>
      <c r="LPU6"/>
      <c r="LPV6"/>
      <c r="LPW6"/>
      <c r="LPX6"/>
      <c r="LPY6"/>
      <c r="LPZ6"/>
      <c r="LQA6"/>
      <c r="LQB6"/>
      <c r="LQC6"/>
      <c r="LQD6"/>
      <c r="LQE6"/>
      <c r="LQF6"/>
      <c r="LQG6"/>
      <c r="LQH6"/>
      <c r="LQI6"/>
      <c r="LQJ6"/>
      <c r="LQK6"/>
      <c r="LQL6"/>
      <c r="LQM6"/>
      <c r="LQN6"/>
      <c r="LQO6"/>
      <c r="LQP6"/>
      <c r="LQQ6"/>
      <c r="LQR6"/>
      <c r="LQS6"/>
      <c r="LQT6"/>
      <c r="LQU6"/>
      <c r="LQV6"/>
      <c r="LQW6"/>
      <c r="LQX6"/>
      <c r="LQY6"/>
      <c r="LQZ6"/>
      <c r="LRA6"/>
      <c r="LRB6"/>
      <c r="LRC6"/>
      <c r="LRD6"/>
      <c r="LRE6"/>
      <c r="LRF6"/>
      <c r="LRG6"/>
      <c r="LRH6"/>
      <c r="LRI6"/>
      <c r="LRJ6"/>
      <c r="LRK6"/>
      <c r="LRL6"/>
      <c r="LRM6"/>
      <c r="LRN6"/>
      <c r="LRO6"/>
      <c r="LRP6"/>
      <c r="LRQ6"/>
      <c r="LRR6"/>
      <c r="LRS6"/>
      <c r="LRT6"/>
      <c r="LRU6"/>
      <c r="LRV6"/>
      <c r="LRW6"/>
      <c r="LRX6"/>
      <c r="LRY6"/>
      <c r="LRZ6"/>
      <c r="LSA6"/>
      <c r="LSB6"/>
      <c r="LSC6"/>
      <c r="LSD6"/>
      <c r="LSE6"/>
      <c r="LSF6"/>
      <c r="LSG6"/>
      <c r="LSH6"/>
      <c r="LSI6"/>
      <c r="LSJ6"/>
      <c r="LSK6"/>
      <c r="LSL6"/>
      <c r="LSM6"/>
      <c r="LSN6"/>
      <c r="LSO6"/>
      <c r="LSP6"/>
      <c r="LSQ6"/>
      <c r="LSR6"/>
      <c r="LSS6"/>
      <c r="LST6"/>
      <c r="LSU6"/>
      <c r="LSV6"/>
      <c r="LSW6"/>
      <c r="LSX6"/>
      <c r="LSY6"/>
      <c r="LSZ6"/>
      <c r="LTA6"/>
      <c r="LTB6"/>
      <c r="LTC6"/>
      <c r="LTD6"/>
      <c r="LTE6"/>
      <c r="LTF6"/>
      <c r="LTG6"/>
      <c r="LTH6"/>
      <c r="LTI6"/>
      <c r="LTJ6"/>
      <c r="LTK6"/>
      <c r="LTL6"/>
      <c r="LTM6"/>
      <c r="LTN6"/>
      <c r="LTO6"/>
      <c r="LTP6"/>
      <c r="LTQ6"/>
      <c r="LTR6"/>
      <c r="LTS6"/>
      <c r="LTT6"/>
      <c r="LTU6"/>
      <c r="LTV6"/>
      <c r="LTW6"/>
      <c r="LTX6"/>
      <c r="LTY6"/>
      <c r="LTZ6"/>
      <c r="LUA6"/>
      <c r="LUB6"/>
      <c r="LUC6"/>
      <c r="LUD6"/>
      <c r="LUE6"/>
      <c r="LUF6"/>
      <c r="LUG6"/>
      <c r="LUH6"/>
      <c r="LUI6"/>
      <c r="LUJ6"/>
      <c r="LUK6"/>
      <c r="LUL6"/>
      <c r="LUM6"/>
      <c r="LUN6"/>
      <c r="LUO6"/>
      <c r="LUP6"/>
      <c r="LUQ6"/>
      <c r="LUR6"/>
      <c r="LUS6"/>
      <c r="LUT6"/>
      <c r="LUU6"/>
      <c r="LUV6"/>
      <c r="LUW6"/>
      <c r="LUX6"/>
      <c r="LUY6"/>
      <c r="LUZ6"/>
      <c r="LVA6"/>
      <c r="LVB6"/>
      <c r="LVC6"/>
      <c r="LVD6"/>
      <c r="LVE6"/>
      <c r="LVF6"/>
      <c r="LVG6"/>
      <c r="LVH6"/>
      <c r="LVI6"/>
      <c r="LVJ6"/>
      <c r="LVK6"/>
      <c r="LVL6"/>
      <c r="LVM6"/>
      <c r="LVN6"/>
      <c r="LVO6"/>
      <c r="LVP6"/>
      <c r="LVQ6"/>
      <c r="LVR6"/>
      <c r="LVS6"/>
      <c r="LVT6"/>
      <c r="LVU6"/>
      <c r="LVV6"/>
      <c r="LVW6"/>
      <c r="LVX6"/>
      <c r="LVY6"/>
      <c r="LVZ6"/>
      <c r="LWA6"/>
      <c r="LWB6"/>
      <c r="LWC6"/>
      <c r="LWD6"/>
      <c r="LWE6"/>
      <c r="LWF6"/>
      <c r="LWG6"/>
      <c r="LWH6"/>
      <c r="LWI6"/>
      <c r="LWJ6"/>
      <c r="LWK6"/>
      <c r="LWL6"/>
      <c r="LWM6"/>
      <c r="LWN6"/>
      <c r="LWO6"/>
      <c r="LWP6"/>
      <c r="LWQ6"/>
      <c r="LWR6"/>
      <c r="LWS6"/>
      <c r="LWT6"/>
      <c r="LWU6"/>
      <c r="LWV6"/>
      <c r="LWW6"/>
      <c r="LWX6"/>
      <c r="LWY6"/>
      <c r="LWZ6"/>
      <c r="LXA6"/>
      <c r="LXB6"/>
      <c r="LXC6"/>
      <c r="LXD6"/>
      <c r="LXE6"/>
      <c r="LXF6"/>
      <c r="LXG6"/>
      <c r="LXH6"/>
      <c r="LXI6"/>
      <c r="LXJ6"/>
      <c r="LXK6"/>
      <c r="LXL6"/>
      <c r="LXM6"/>
      <c r="LXN6"/>
      <c r="LXO6"/>
      <c r="LXP6"/>
      <c r="LXQ6"/>
      <c r="LXR6"/>
      <c r="LXS6"/>
      <c r="LXT6"/>
      <c r="LXU6"/>
      <c r="LXV6"/>
      <c r="LXW6"/>
      <c r="LXX6"/>
      <c r="LXY6"/>
      <c r="LXZ6"/>
      <c r="LYA6"/>
      <c r="LYB6"/>
      <c r="LYC6"/>
      <c r="LYD6"/>
      <c r="LYE6"/>
      <c r="LYF6"/>
      <c r="LYG6"/>
      <c r="LYH6"/>
      <c r="LYI6"/>
      <c r="LYJ6"/>
      <c r="LYK6"/>
      <c r="LYL6"/>
      <c r="LYM6"/>
      <c r="LYN6"/>
      <c r="LYO6"/>
      <c r="LYP6"/>
      <c r="LYQ6"/>
      <c r="LYR6"/>
      <c r="LYS6"/>
      <c r="LYT6"/>
      <c r="LYU6"/>
      <c r="LYV6"/>
      <c r="LYW6"/>
      <c r="LYX6"/>
      <c r="LYY6"/>
      <c r="LYZ6"/>
      <c r="LZA6"/>
      <c r="LZB6"/>
      <c r="LZC6"/>
      <c r="LZD6"/>
      <c r="LZE6"/>
      <c r="LZF6"/>
      <c r="LZG6"/>
      <c r="LZH6"/>
      <c r="LZI6"/>
      <c r="LZJ6"/>
      <c r="LZK6"/>
      <c r="LZL6"/>
      <c r="LZM6"/>
      <c r="LZN6"/>
      <c r="LZO6"/>
      <c r="LZP6"/>
      <c r="LZQ6"/>
      <c r="LZR6"/>
      <c r="LZS6"/>
      <c r="LZT6"/>
      <c r="LZU6"/>
      <c r="LZV6"/>
      <c r="LZW6"/>
      <c r="LZX6"/>
      <c r="LZY6"/>
      <c r="LZZ6"/>
      <c r="MAA6"/>
      <c r="MAB6"/>
      <c r="MAC6"/>
      <c r="MAD6"/>
      <c r="MAE6"/>
      <c r="MAF6"/>
      <c r="MAG6"/>
      <c r="MAH6"/>
      <c r="MAI6"/>
      <c r="MAJ6"/>
      <c r="MAK6"/>
      <c r="MAL6"/>
      <c r="MAM6"/>
      <c r="MAN6"/>
      <c r="MAO6"/>
      <c r="MAP6"/>
      <c r="MAQ6"/>
      <c r="MAR6"/>
      <c r="MAS6"/>
      <c r="MAT6"/>
      <c r="MAU6"/>
      <c r="MAV6"/>
      <c r="MAW6"/>
      <c r="MAX6"/>
      <c r="MAY6"/>
      <c r="MAZ6"/>
      <c r="MBA6"/>
      <c r="MBB6"/>
      <c r="MBC6"/>
      <c r="MBD6"/>
      <c r="MBE6"/>
      <c r="MBF6"/>
      <c r="MBG6"/>
      <c r="MBH6"/>
      <c r="MBI6"/>
      <c r="MBJ6"/>
      <c r="MBK6"/>
      <c r="MBL6"/>
      <c r="MBM6"/>
      <c r="MBN6"/>
      <c r="MBO6"/>
      <c r="MBP6"/>
      <c r="MBQ6"/>
      <c r="MBR6"/>
      <c r="MBS6"/>
      <c r="MBT6"/>
      <c r="MBU6"/>
      <c r="MBV6"/>
      <c r="MBW6"/>
      <c r="MBX6"/>
      <c r="MBY6"/>
      <c r="MBZ6"/>
      <c r="MCA6"/>
      <c r="MCB6"/>
      <c r="MCC6"/>
      <c r="MCD6"/>
      <c r="MCE6"/>
      <c r="MCF6"/>
      <c r="MCG6"/>
      <c r="MCH6"/>
      <c r="MCI6"/>
      <c r="MCJ6"/>
      <c r="MCK6"/>
      <c r="MCL6"/>
      <c r="MCM6"/>
      <c r="MCN6"/>
      <c r="MCO6"/>
      <c r="MCP6"/>
      <c r="MCQ6"/>
      <c r="MCR6"/>
      <c r="MCS6"/>
      <c r="MCT6"/>
      <c r="MCU6"/>
      <c r="MCV6"/>
      <c r="MCW6"/>
      <c r="MCX6"/>
      <c r="MCY6"/>
      <c r="MCZ6"/>
      <c r="MDA6"/>
      <c r="MDB6"/>
      <c r="MDC6"/>
      <c r="MDD6"/>
      <c r="MDE6"/>
      <c r="MDF6"/>
      <c r="MDG6"/>
      <c r="MDH6"/>
      <c r="MDI6"/>
      <c r="MDJ6"/>
      <c r="MDK6"/>
      <c r="MDL6"/>
      <c r="MDM6"/>
      <c r="MDN6"/>
      <c r="MDO6"/>
      <c r="MDP6"/>
      <c r="MDQ6"/>
      <c r="MDR6"/>
      <c r="MDS6"/>
      <c r="MDT6"/>
      <c r="MDU6"/>
      <c r="MDV6"/>
      <c r="MDW6"/>
      <c r="MDX6"/>
      <c r="MDY6"/>
      <c r="MDZ6"/>
      <c r="MEA6"/>
      <c r="MEB6"/>
      <c r="MEC6"/>
      <c r="MED6"/>
      <c r="MEE6"/>
      <c r="MEF6"/>
      <c r="MEG6"/>
      <c r="MEH6"/>
      <c r="MEI6"/>
      <c r="MEJ6"/>
      <c r="MEK6"/>
      <c r="MEL6"/>
      <c r="MEM6"/>
      <c r="MEN6"/>
      <c r="MEO6"/>
      <c r="MEP6"/>
      <c r="MEQ6"/>
      <c r="MER6"/>
      <c r="MES6"/>
      <c r="MET6"/>
      <c r="MEU6"/>
      <c r="MEV6"/>
      <c r="MEW6"/>
      <c r="MEX6"/>
      <c r="MEY6"/>
      <c r="MEZ6"/>
      <c r="MFA6"/>
      <c r="MFB6"/>
      <c r="MFC6"/>
      <c r="MFD6"/>
      <c r="MFE6"/>
      <c r="MFF6"/>
      <c r="MFG6"/>
      <c r="MFH6"/>
      <c r="MFI6"/>
      <c r="MFJ6"/>
      <c r="MFK6"/>
      <c r="MFL6"/>
      <c r="MFM6"/>
      <c r="MFN6"/>
      <c r="MFO6"/>
      <c r="MFP6"/>
      <c r="MFQ6"/>
      <c r="MFR6"/>
      <c r="MFS6"/>
      <c r="MFT6"/>
      <c r="MFU6"/>
      <c r="MFV6"/>
      <c r="MFW6"/>
      <c r="MFX6"/>
      <c r="MFY6"/>
      <c r="MFZ6"/>
      <c r="MGA6"/>
      <c r="MGB6"/>
      <c r="MGC6"/>
      <c r="MGD6"/>
      <c r="MGE6"/>
      <c r="MGF6"/>
      <c r="MGG6"/>
      <c r="MGH6"/>
      <c r="MGI6"/>
      <c r="MGJ6"/>
      <c r="MGK6"/>
      <c r="MGL6"/>
      <c r="MGM6"/>
      <c r="MGN6"/>
      <c r="MGO6"/>
      <c r="MGP6"/>
      <c r="MGQ6"/>
      <c r="MGR6"/>
      <c r="MGS6"/>
      <c r="MGT6"/>
      <c r="MGU6"/>
      <c r="MGV6"/>
      <c r="MGW6"/>
      <c r="MGX6"/>
      <c r="MGY6"/>
      <c r="MGZ6"/>
      <c r="MHA6"/>
      <c r="MHB6"/>
      <c r="MHC6"/>
      <c r="MHD6"/>
      <c r="MHE6"/>
      <c r="MHF6"/>
      <c r="MHG6"/>
      <c r="MHH6"/>
      <c r="MHI6"/>
      <c r="MHJ6"/>
      <c r="MHK6"/>
      <c r="MHL6"/>
      <c r="MHM6"/>
      <c r="MHN6"/>
      <c r="MHO6"/>
      <c r="MHP6"/>
      <c r="MHQ6"/>
      <c r="MHR6"/>
      <c r="MHS6"/>
      <c r="MHT6"/>
      <c r="MHU6"/>
      <c r="MHV6"/>
      <c r="MHW6"/>
      <c r="MHX6"/>
      <c r="MHY6"/>
      <c r="MHZ6"/>
      <c r="MIA6"/>
      <c r="MIB6"/>
      <c r="MIC6"/>
      <c r="MID6"/>
      <c r="MIE6"/>
      <c r="MIF6"/>
      <c r="MIG6"/>
      <c r="MIH6"/>
      <c r="MII6"/>
      <c r="MIJ6"/>
      <c r="MIK6"/>
      <c r="MIL6"/>
      <c r="MIM6"/>
      <c r="MIN6"/>
      <c r="MIO6"/>
      <c r="MIP6"/>
      <c r="MIQ6"/>
      <c r="MIR6"/>
      <c r="MIS6"/>
      <c r="MIT6"/>
      <c r="MIU6"/>
      <c r="MIV6"/>
      <c r="MIW6"/>
      <c r="MIX6"/>
      <c r="MIY6"/>
      <c r="MIZ6"/>
      <c r="MJA6"/>
      <c r="MJB6"/>
      <c r="MJC6"/>
      <c r="MJD6"/>
      <c r="MJE6"/>
      <c r="MJF6"/>
      <c r="MJG6"/>
      <c r="MJH6"/>
      <c r="MJI6"/>
      <c r="MJJ6"/>
      <c r="MJK6"/>
      <c r="MJL6"/>
      <c r="MJM6"/>
      <c r="MJN6"/>
      <c r="MJO6"/>
      <c r="MJP6"/>
      <c r="MJQ6"/>
      <c r="MJR6"/>
      <c r="MJS6"/>
      <c r="MJT6"/>
      <c r="MJU6"/>
      <c r="MJV6"/>
      <c r="MJW6"/>
      <c r="MJX6"/>
      <c r="MJY6"/>
      <c r="MJZ6"/>
      <c r="MKA6"/>
      <c r="MKB6"/>
      <c r="MKC6"/>
      <c r="MKD6"/>
      <c r="MKE6"/>
      <c r="MKF6"/>
      <c r="MKG6"/>
      <c r="MKH6"/>
      <c r="MKI6"/>
      <c r="MKJ6"/>
      <c r="MKK6"/>
      <c r="MKL6"/>
      <c r="MKM6"/>
      <c r="MKN6"/>
      <c r="MKO6"/>
      <c r="MKP6"/>
      <c r="MKQ6"/>
      <c r="MKR6"/>
      <c r="MKS6"/>
      <c r="MKT6"/>
      <c r="MKU6"/>
      <c r="MKV6"/>
      <c r="MKW6"/>
      <c r="MKX6"/>
      <c r="MKY6"/>
      <c r="MKZ6"/>
      <c r="MLA6"/>
      <c r="MLB6"/>
      <c r="MLC6"/>
      <c r="MLD6"/>
      <c r="MLE6"/>
      <c r="MLF6"/>
      <c r="MLG6"/>
      <c r="MLH6"/>
      <c r="MLI6"/>
      <c r="MLJ6"/>
      <c r="MLK6"/>
      <c r="MLL6"/>
      <c r="MLM6"/>
      <c r="MLN6"/>
      <c r="MLO6"/>
      <c r="MLP6"/>
      <c r="MLQ6"/>
      <c r="MLR6"/>
      <c r="MLS6"/>
      <c r="MLT6"/>
      <c r="MLU6"/>
      <c r="MLV6"/>
      <c r="MLW6"/>
      <c r="MLX6"/>
      <c r="MLY6"/>
      <c r="MLZ6"/>
      <c r="MMA6"/>
      <c r="MMB6"/>
      <c r="MMC6"/>
      <c r="MMD6"/>
      <c r="MME6"/>
      <c r="MMF6"/>
      <c r="MMG6"/>
      <c r="MMH6"/>
      <c r="MMI6"/>
      <c r="MMJ6"/>
      <c r="MMK6"/>
      <c r="MML6"/>
      <c r="MMM6"/>
      <c r="MMN6"/>
      <c r="MMO6"/>
      <c r="MMP6"/>
      <c r="MMQ6"/>
      <c r="MMR6"/>
      <c r="MMS6"/>
      <c r="MMT6"/>
      <c r="MMU6"/>
      <c r="MMV6"/>
      <c r="MMW6"/>
      <c r="MMX6"/>
      <c r="MMY6"/>
      <c r="MMZ6"/>
      <c r="MNA6"/>
      <c r="MNB6"/>
      <c r="MNC6"/>
      <c r="MND6"/>
      <c r="MNE6"/>
      <c r="MNF6"/>
      <c r="MNG6"/>
      <c r="MNH6"/>
      <c r="MNI6"/>
      <c r="MNJ6"/>
      <c r="MNK6"/>
      <c r="MNL6"/>
      <c r="MNM6"/>
      <c r="MNN6"/>
      <c r="MNO6"/>
      <c r="MNP6"/>
      <c r="MNQ6"/>
      <c r="MNR6"/>
      <c r="MNS6"/>
      <c r="MNT6"/>
      <c r="MNU6"/>
      <c r="MNV6"/>
      <c r="MNW6"/>
      <c r="MNX6"/>
      <c r="MNY6"/>
      <c r="MNZ6"/>
      <c r="MOA6"/>
      <c r="MOB6"/>
      <c r="MOC6"/>
      <c r="MOD6"/>
      <c r="MOE6"/>
      <c r="MOF6"/>
      <c r="MOG6"/>
      <c r="MOH6"/>
      <c r="MOI6"/>
      <c r="MOJ6"/>
      <c r="MOK6"/>
      <c r="MOL6"/>
      <c r="MOM6"/>
      <c r="MON6"/>
      <c r="MOO6"/>
      <c r="MOP6"/>
      <c r="MOQ6"/>
      <c r="MOR6"/>
      <c r="MOS6"/>
      <c r="MOT6"/>
      <c r="MOU6"/>
      <c r="MOV6"/>
      <c r="MOW6"/>
      <c r="MOX6"/>
      <c r="MOY6"/>
      <c r="MOZ6"/>
      <c r="MPA6"/>
      <c r="MPB6"/>
      <c r="MPC6"/>
      <c r="MPD6"/>
      <c r="MPE6"/>
      <c r="MPF6"/>
      <c r="MPG6"/>
      <c r="MPH6"/>
      <c r="MPI6"/>
      <c r="MPJ6"/>
      <c r="MPK6"/>
      <c r="MPL6"/>
      <c r="MPM6"/>
      <c r="MPN6"/>
      <c r="MPO6"/>
      <c r="MPP6"/>
      <c r="MPQ6"/>
      <c r="MPR6"/>
      <c r="MPS6"/>
      <c r="MPT6"/>
      <c r="MPU6"/>
      <c r="MPV6"/>
      <c r="MPW6"/>
      <c r="MPX6"/>
      <c r="MPY6"/>
      <c r="MPZ6"/>
      <c r="MQA6"/>
      <c r="MQB6"/>
      <c r="MQC6"/>
      <c r="MQD6"/>
      <c r="MQE6"/>
      <c r="MQF6"/>
      <c r="MQG6"/>
      <c r="MQH6"/>
      <c r="MQI6"/>
      <c r="MQJ6"/>
      <c r="MQK6"/>
      <c r="MQL6"/>
      <c r="MQM6"/>
      <c r="MQN6"/>
      <c r="MQO6"/>
      <c r="MQP6"/>
      <c r="MQQ6"/>
      <c r="MQR6"/>
      <c r="MQS6"/>
      <c r="MQT6"/>
      <c r="MQU6"/>
      <c r="MQV6"/>
      <c r="MQW6"/>
      <c r="MQX6"/>
      <c r="MQY6"/>
      <c r="MQZ6"/>
      <c r="MRA6"/>
      <c r="MRB6"/>
      <c r="MRC6"/>
      <c r="MRD6"/>
      <c r="MRE6"/>
      <c r="MRF6"/>
      <c r="MRG6"/>
      <c r="MRH6"/>
      <c r="MRI6"/>
      <c r="MRJ6"/>
      <c r="MRK6"/>
      <c r="MRL6"/>
      <c r="MRM6"/>
      <c r="MRN6"/>
      <c r="MRO6"/>
      <c r="MRP6"/>
      <c r="MRQ6"/>
      <c r="MRR6"/>
      <c r="MRS6"/>
      <c r="MRT6"/>
      <c r="MRU6"/>
      <c r="MRV6"/>
      <c r="MRW6"/>
      <c r="MRX6"/>
      <c r="MRY6"/>
      <c r="MRZ6"/>
      <c r="MSA6"/>
      <c r="MSB6"/>
      <c r="MSC6"/>
      <c r="MSD6"/>
      <c r="MSE6"/>
      <c r="MSF6"/>
      <c r="MSG6"/>
      <c r="MSH6"/>
      <c r="MSI6"/>
      <c r="MSJ6"/>
      <c r="MSK6"/>
      <c r="MSL6"/>
      <c r="MSM6"/>
      <c r="MSN6"/>
      <c r="MSO6"/>
      <c r="MSP6"/>
      <c r="MSQ6"/>
      <c r="MSR6"/>
      <c r="MSS6"/>
      <c r="MST6"/>
      <c r="MSU6"/>
      <c r="MSV6"/>
      <c r="MSW6"/>
      <c r="MSX6"/>
      <c r="MSY6"/>
      <c r="MSZ6"/>
      <c r="MTA6"/>
      <c r="MTB6"/>
      <c r="MTC6"/>
      <c r="MTD6"/>
      <c r="MTE6"/>
      <c r="MTF6"/>
      <c r="MTG6"/>
      <c r="MTH6"/>
      <c r="MTI6"/>
      <c r="MTJ6"/>
      <c r="MTK6"/>
      <c r="MTL6"/>
      <c r="MTM6"/>
      <c r="MTN6"/>
      <c r="MTO6"/>
      <c r="MTP6"/>
      <c r="MTQ6"/>
      <c r="MTR6"/>
      <c r="MTS6"/>
      <c r="MTT6"/>
      <c r="MTU6"/>
      <c r="MTV6"/>
      <c r="MTW6"/>
      <c r="MTX6"/>
      <c r="MTY6"/>
      <c r="MTZ6"/>
      <c r="MUA6"/>
      <c r="MUB6"/>
      <c r="MUC6"/>
      <c r="MUD6"/>
      <c r="MUE6"/>
      <c r="MUF6"/>
      <c r="MUG6"/>
      <c r="MUH6"/>
      <c r="MUI6"/>
      <c r="MUJ6"/>
      <c r="MUK6"/>
      <c r="MUL6"/>
      <c r="MUM6"/>
      <c r="MUN6"/>
      <c r="MUO6"/>
      <c r="MUP6"/>
      <c r="MUQ6"/>
      <c r="MUR6"/>
      <c r="MUS6"/>
      <c r="MUT6"/>
      <c r="MUU6"/>
      <c r="MUV6"/>
      <c r="MUW6"/>
      <c r="MUX6"/>
      <c r="MUY6"/>
      <c r="MUZ6"/>
      <c r="MVA6"/>
      <c r="MVB6"/>
      <c r="MVC6"/>
      <c r="MVD6"/>
      <c r="MVE6"/>
      <c r="MVF6"/>
      <c r="MVG6"/>
      <c r="MVH6"/>
      <c r="MVI6"/>
      <c r="MVJ6"/>
      <c r="MVK6"/>
      <c r="MVL6"/>
      <c r="MVM6"/>
      <c r="MVN6"/>
      <c r="MVO6"/>
      <c r="MVP6"/>
      <c r="MVQ6"/>
      <c r="MVR6"/>
      <c r="MVS6"/>
      <c r="MVT6"/>
      <c r="MVU6"/>
      <c r="MVV6"/>
      <c r="MVW6"/>
      <c r="MVX6"/>
      <c r="MVY6"/>
      <c r="MVZ6"/>
      <c r="MWA6"/>
      <c r="MWB6"/>
      <c r="MWC6"/>
      <c r="MWD6"/>
      <c r="MWE6"/>
      <c r="MWF6"/>
      <c r="MWG6"/>
      <c r="MWH6"/>
      <c r="MWI6"/>
      <c r="MWJ6"/>
      <c r="MWK6"/>
      <c r="MWL6"/>
      <c r="MWM6"/>
      <c r="MWN6"/>
      <c r="MWO6"/>
      <c r="MWP6"/>
      <c r="MWQ6"/>
      <c r="MWR6"/>
      <c r="MWS6"/>
      <c r="MWT6"/>
      <c r="MWU6"/>
      <c r="MWV6"/>
      <c r="MWW6"/>
      <c r="MWX6"/>
      <c r="MWY6"/>
      <c r="MWZ6"/>
      <c r="MXA6"/>
      <c r="MXB6"/>
      <c r="MXC6"/>
      <c r="MXD6"/>
      <c r="MXE6"/>
      <c r="MXF6"/>
      <c r="MXG6"/>
      <c r="MXH6"/>
      <c r="MXI6"/>
      <c r="MXJ6"/>
      <c r="MXK6"/>
      <c r="MXL6"/>
      <c r="MXM6"/>
      <c r="MXN6"/>
      <c r="MXO6"/>
      <c r="MXP6"/>
      <c r="MXQ6"/>
      <c r="MXR6"/>
      <c r="MXS6"/>
      <c r="MXT6"/>
      <c r="MXU6"/>
      <c r="MXV6"/>
      <c r="MXW6"/>
      <c r="MXX6"/>
      <c r="MXY6"/>
      <c r="MXZ6"/>
      <c r="MYA6"/>
      <c r="MYB6"/>
      <c r="MYC6"/>
      <c r="MYD6"/>
      <c r="MYE6"/>
      <c r="MYF6"/>
      <c r="MYG6"/>
      <c r="MYH6"/>
      <c r="MYI6"/>
      <c r="MYJ6"/>
      <c r="MYK6"/>
      <c r="MYL6"/>
      <c r="MYM6"/>
      <c r="MYN6"/>
      <c r="MYO6"/>
      <c r="MYP6"/>
      <c r="MYQ6"/>
      <c r="MYR6"/>
      <c r="MYS6"/>
      <c r="MYT6"/>
      <c r="MYU6"/>
      <c r="MYV6"/>
      <c r="MYW6"/>
      <c r="MYX6"/>
      <c r="MYY6"/>
      <c r="MYZ6"/>
      <c r="MZA6"/>
      <c r="MZB6"/>
      <c r="MZC6"/>
      <c r="MZD6"/>
      <c r="MZE6"/>
      <c r="MZF6"/>
      <c r="MZG6"/>
      <c r="MZH6"/>
      <c r="MZI6"/>
      <c r="MZJ6"/>
      <c r="MZK6"/>
      <c r="MZL6"/>
      <c r="MZM6"/>
      <c r="MZN6"/>
      <c r="MZO6"/>
      <c r="MZP6"/>
      <c r="MZQ6"/>
      <c r="MZR6"/>
      <c r="MZS6"/>
      <c r="MZT6"/>
      <c r="MZU6"/>
      <c r="MZV6"/>
      <c r="MZW6"/>
      <c r="MZX6"/>
      <c r="MZY6"/>
      <c r="MZZ6"/>
      <c r="NAA6"/>
      <c r="NAB6"/>
      <c r="NAC6"/>
      <c r="NAD6"/>
      <c r="NAE6"/>
      <c r="NAF6"/>
      <c r="NAG6"/>
      <c r="NAH6"/>
      <c r="NAI6"/>
      <c r="NAJ6"/>
      <c r="NAK6"/>
      <c r="NAL6"/>
      <c r="NAM6"/>
      <c r="NAN6"/>
      <c r="NAO6"/>
      <c r="NAP6"/>
      <c r="NAQ6"/>
      <c r="NAR6"/>
      <c r="NAS6"/>
      <c r="NAT6"/>
      <c r="NAU6"/>
      <c r="NAV6"/>
      <c r="NAW6"/>
      <c r="NAX6"/>
      <c r="NAY6"/>
      <c r="NAZ6"/>
      <c r="NBA6"/>
      <c r="NBB6"/>
      <c r="NBC6"/>
      <c r="NBD6"/>
      <c r="NBE6"/>
      <c r="NBF6"/>
      <c r="NBG6"/>
      <c r="NBH6"/>
      <c r="NBI6"/>
      <c r="NBJ6"/>
      <c r="NBK6"/>
      <c r="NBL6"/>
      <c r="NBM6"/>
      <c r="NBN6"/>
      <c r="NBO6"/>
      <c r="NBP6"/>
      <c r="NBQ6"/>
      <c r="NBR6"/>
      <c r="NBS6"/>
      <c r="NBT6"/>
      <c r="NBU6"/>
      <c r="NBV6"/>
      <c r="NBW6"/>
      <c r="NBX6"/>
      <c r="NBY6"/>
      <c r="NBZ6"/>
      <c r="NCA6"/>
      <c r="NCB6"/>
      <c r="NCC6"/>
      <c r="NCD6"/>
      <c r="NCE6"/>
      <c r="NCF6"/>
      <c r="NCG6"/>
      <c r="NCH6"/>
      <c r="NCI6"/>
      <c r="NCJ6"/>
      <c r="NCK6"/>
      <c r="NCL6"/>
      <c r="NCM6"/>
      <c r="NCN6"/>
      <c r="NCO6"/>
      <c r="NCP6"/>
      <c r="NCQ6"/>
      <c r="NCR6"/>
      <c r="NCS6"/>
      <c r="NCT6"/>
      <c r="NCU6"/>
      <c r="NCV6"/>
      <c r="NCW6"/>
      <c r="NCX6"/>
      <c r="NCY6"/>
      <c r="NCZ6"/>
      <c r="NDA6"/>
      <c r="NDB6"/>
      <c r="NDC6"/>
      <c r="NDD6"/>
      <c r="NDE6"/>
      <c r="NDF6"/>
      <c r="NDG6"/>
      <c r="NDH6"/>
      <c r="NDI6"/>
      <c r="NDJ6"/>
      <c r="NDK6"/>
      <c r="NDL6"/>
      <c r="NDM6"/>
      <c r="NDN6"/>
      <c r="NDO6"/>
      <c r="NDP6"/>
      <c r="NDQ6"/>
      <c r="NDR6"/>
      <c r="NDS6"/>
      <c r="NDT6"/>
      <c r="NDU6"/>
      <c r="NDV6"/>
      <c r="NDW6"/>
      <c r="NDX6"/>
      <c r="NDY6"/>
      <c r="NDZ6"/>
      <c r="NEA6"/>
      <c r="NEB6"/>
      <c r="NEC6"/>
      <c r="NED6"/>
      <c r="NEE6"/>
      <c r="NEF6"/>
      <c r="NEG6"/>
      <c r="NEH6"/>
      <c r="NEI6"/>
      <c r="NEJ6"/>
      <c r="NEK6"/>
      <c r="NEL6"/>
      <c r="NEM6"/>
      <c r="NEN6"/>
      <c r="NEO6"/>
      <c r="NEP6"/>
      <c r="NEQ6"/>
      <c r="NER6"/>
      <c r="NES6"/>
      <c r="NET6"/>
      <c r="NEU6"/>
      <c r="NEV6"/>
      <c r="NEW6"/>
      <c r="NEX6"/>
      <c r="NEY6"/>
      <c r="NEZ6"/>
      <c r="NFA6"/>
      <c r="NFB6"/>
      <c r="NFC6"/>
      <c r="NFD6"/>
      <c r="NFE6"/>
      <c r="NFF6"/>
      <c r="NFG6"/>
      <c r="NFH6"/>
      <c r="NFI6"/>
      <c r="NFJ6"/>
      <c r="NFK6"/>
      <c r="NFL6"/>
      <c r="NFM6"/>
      <c r="NFN6"/>
      <c r="NFO6"/>
      <c r="NFP6"/>
      <c r="NFQ6"/>
      <c r="NFR6"/>
      <c r="NFS6"/>
      <c r="NFT6"/>
      <c r="NFU6"/>
      <c r="NFV6"/>
      <c r="NFW6"/>
      <c r="NFX6"/>
      <c r="NFY6"/>
      <c r="NFZ6"/>
      <c r="NGA6"/>
      <c r="NGB6"/>
      <c r="NGC6"/>
      <c r="NGD6"/>
      <c r="NGE6"/>
      <c r="NGF6"/>
      <c r="NGG6"/>
      <c r="NGH6"/>
      <c r="NGI6"/>
      <c r="NGJ6"/>
      <c r="NGK6"/>
      <c r="NGL6"/>
      <c r="NGM6"/>
      <c r="NGN6"/>
      <c r="NGO6"/>
      <c r="NGP6"/>
      <c r="NGQ6"/>
      <c r="NGR6"/>
      <c r="NGS6"/>
      <c r="NGT6"/>
      <c r="NGU6"/>
      <c r="NGV6"/>
      <c r="NGW6"/>
      <c r="NGX6"/>
      <c r="NGY6"/>
      <c r="NGZ6"/>
      <c r="NHA6"/>
      <c r="NHB6"/>
      <c r="NHC6"/>
      <c r="NHD6"/>
      <c r="NHE6"/>
      <c r="NHF6"/>
      <c r="NHG6"/>
      <c r="NHH6"/>
      <c r="NHI6"/>
      <c r="NHJ6"/>
      <c r="NHK6"/>
      <c r="NHL6"/>
      <c r="NHM6"/>
      <c r="NHN6"/>
      <c r="NHO6"/>
      <c r="NHP6"/>
      <c r="NHQ6"/>
      <c r="NHR6"/>
      <c r="NHS6"/>
      <c r="NHT6"/>
      <c r="NHU6"/>
      <c r="NHV6"/>
      <c r="NHW6"/>
      <c r="NHX6"/>
      <c r="NHY6"/>
      <c r="NHZ6"/>
      <c r="NIA6"/>
      <c r="NIB6"/>
      <c r="NIC6"/>
      <c r="NID6"/>
      <c r="NIE6"/>
      <c r="NIF6"/>
      <c r="NIG6"/>
      <c r="NIH6"/>
      <c r="NII6"/>
      <c r="NIJ6"/>
      <c r="NIK6"/>
      <c r="NIL6"/>
      <c r="NIM6"/>
      <c r="NIN6"/>
      <c r="NIO6"/>
      <c r="NIP6"/>
      <c r="NIQ6"/>
      <c r="NIR6"/>
      <c r="NIS6"/>
      <c r="NIT6"/>
      <c r="NIU6"/>
      <c r="NIV6"/>
      <c r="NIW6"/>
      <c r="NIX6"/>
      <c r="NIY6"/>
      <c r="NIZ6"/>
      <c r="NJA6"/>
      <c r="NJB6"/>
      <c r="NJC6"/>
      <c r="NJD6"/>
      <c r="NJE6"/>
      <c r="NJF6"/>
      <c r="NJG6"/>
      <c r="NJH6"/>
      <c r="NJI6"/>
      <c r="NJJ6"/>
      <c r="NJK6"/>
      <c r="NJL6"/>
      <c r="NJM6"/>
      <c r="NJN6"/>
      <c r="NJO6"/>
      <c r="NJP6"/>
      <c r="NJQ6"/>
      <c r="NJR6"/>
      <c r="NJS6"/>
      <c r="NJT6"/>
      <c r="NJU6"/>
      <c r="NJV6"/>
      <c r="NJW6"/>
      <c r="NJX6"/>
      <c r="NJY6"/>
      <c r="NJZ6"/>
      <c r="NKA6"/>
      <c r="NKB6"/>
      <c r="NKC6"/>
      <c r="NKD6"/>
      <c r="NKE6"/>
      <c r="NKF6"/>
      <c r="NKG6"/>
      <c r="NKH6"/>
      <c r="NKI6"/>
      <c r="NKJ6"/>
      <c r="NKK6"/>
      <c r="NKL6"/>
      <c r="NKM6"/>
      <c r="NKN6"/>
      <c r="NKO6"/>
      <c r="NKP6"/>
      <c r="NKQ6"/>
      <c r="NKR6"/>
      <c r="NKS6"/>
      <c r="NKT6"/>
      <c r="NKU6"/>
      <c r="NKV6"/>
      <c r="NKW6"/>
      <c r="NKX6"/>
      <c r="NKY6"/>
      <c r="NKZ6"/>
      <c r="NLA6"/>
      <c r="NLB6"/>
      <c r="NLC6"/>
      <c r="NLD6"/>
      <c r="NLE6"/>
      <c r="NLF6"/>
      <c r="NLG6"/>
      <c r="NLH6"/>
      <c r="NLI6"/>
      <c r="NLJ6"/>
      <c r="NLK6"/>
      <c r="NLL6"/>
      <c r="NLM6"/>
      <c r="NLN6"/>
      <c r="NLO6"/>
      <c r="NLP6"/>
      <c r="NLQ6"/>
      <c r="NLR6"/>
      <c r="NLS6"/>
      <c r="NLT6"/>
      <c r="NLU6"/>
      <c r="NLV6"/>
      <c r="NLW6"/>
      <c r="NLX6"/>
      <c r="NLY6"/>
      <c r="NLZ6"/>
      <c r="NMA6"/>
      <c r="NMB6"/>
      <c r="NMC6"/>
      <c r="NMD6"/>
      <c r="NME6"/>
      <c r="NMF6"/>
      <c r="NMG6"/>
      <c r="NMH6"/>
      <c r="NMI6"/>
      <c r="NMJ6"/>
      <c r="NMK6"/>
      <c r="NML6"/>
      <c r="NMM6"/>
      <c r="NMN6"/>
      <c r="NMO6"/>
      <c r="NMP6"/>
      <c r="NMQ6"/>
      <c r="NMR6"/>
      <c r="NMS6"/>
      <c r="NMT6"/>
      <c r="NMU6"/>
      <c r="NMV6"/>
      <c r="NMW6"/>
      <c r="NMX6"/>
      <c r="NMY6"/>
      <c r="NMZ6"/>
      <c r="NNA6"/>
      <c r="NNB6"/>
      <c r="NNC6"/>
      <c r="NND6"/>
      <c r="NNE6"/>
      <c r="NNF6"/>
      <c r="NNG6"/>
      <c r="NNH6"/>
      <c r="NNI6"/>
      <c r="NNJ6"/>
      <c r="NNK6"/>
      <c r="NNL6"/>
      <c r="NNM6"/>
      <c r="NNN6"/>
      <c r="NNO6"/>
      <c r="NNP6"/>
      <c r="NNQ6"/>
      <c r="NNR6"/>
      <c r="NNS6"/>
      <c r="NNT6"/>
      <c r="NNU6"/>
      <c r="NNV6"/>
      <c r="NNW6"/>
      <c r="NNX6"/>
      <c r="NNY6"/>
      <c r="NNZ6"/>
      <c r="NOA6"/>
      <c r="NOB6"/>
      <c r="NOC6"/>
      <c r="NOD6"/>
      <c r="NOE6"/>
      <c r="NOF6"/>
      <c r="NOG6"/>
      <c r="NOH6"/>
      <c r="NOI6"/>
      <c r="NOJ6"/>
      <c r="NOK6"/>
      <c r="NOL6"/>
      <c r="NOM6"/>
      <c r="NON6"/>
      <c r="NOO6"/>
      <c r="NOP6"/>
      <c r="NOQ6"/>
      <c r="NOR6"/>
      <c r="NOS6"/>
      <c r="NOT6"/>
      <c r="NOU6"/>
      <c r="NOV6"/>
      <c r="NOW6"/>
      <c r="NOX6"/>
      <c r="NOY6"/>
      <c r="NOZ6"/>
      <c r="NPA6"/>
      <c r="NPB6"/>
      <c r="NPC6"/>
      <c r="NPD6"/>
      <c r="NPE6"/>
      <c r="NPF6"/>
      <c r="NPG6"/>
      <c r="NPH6"/>
      <c r="NPI6"/>
      <c r="NPJ6"/>
      <c r="NPK6"/>
      <c r="NPL6"/>
      <c r="NPM6"/>
      <c r="NPN6"/>
      <c r="NPO6"/>
      <c r="NPP6"/>
      <c r="NPQ6"/>
      <c r="NPR6"/>
      <c r="NPS6"/>
      <c r="NPT6"/>
      <c r="NPU6"/>
      <c r="NPV6"/>
      <c r="NPW6"/>
      <c r="NPX6"/>
      <c r="NPY6"/>
      <c r="NPZ6"/>
      <c r="NQA6"/>
      <c r="NQB6"/>
      <c r="NQC6"/>
      <c r="NQD6"/>
      <c r="NQE6"/>
      <c r="NQF6"/>
      <c r="NQG6"/>
      <c r="NQH6"/>
      <c r="NQI6"/>
      <c r="NQJ6"/>
      <c r="NQK6"/>
      <c r="NQL6"/>
      <c r="NQM6"/>
      <c r="NQN6"/>
      <c r="NQO6"/>
      <c r="NQP6"/>
      <c r="NQQ6"/>
      <c r="NQR6"/>
      <c r="NQS6"/>
      <c r="NQT6"/>
      <c r="NQU6"/>
      <c r="NQV6"/>
      <c r="NQW6"/>
      <c r="NQX6"/>
      <c r="NQY6"/>
      <c r="NQZ6"/>
      <c r="NRA6"/>
      <c r="NRB6"/>
      <c r="NRC6"/>
      <c r="NRD6"/>
      <c r="NRE6"/>
      <c r="NRF6"/>
      <c r="NRG6"/>
      <c r="NRH6"/>
      <c r="NRI6"/>
      <c r="NRJ6"/>
      <c r="NRK6"/>
      <c r="NRL6"/>
      <c r="NRM6"/>
      <c r="NRN6"/>
      <c r="NRO6"/>
      <c r="NRP6"/>
      <c r="NRQ6"/>
      <c r="NRR6"/>
      <c r="NRS6"/>
      <c r="NRT6"/>
      <c r="NRU6"/>
      <c r="NRV6"/>
      <c r="NRW6"/>
      <c r="NRX6"/>
      <c r="NRY6"/>
      <c r="NRZ6"/>
      <c r="NSA6"/>
      <c r="NSB6"/>
      <c r="NSC6"/>
      <c r="NSD6"/>
      <c r="NSE6"/>
      <c r="NSF6"/>
      <c r="NSG6"/>
      <c r="NSH6"/>
      <c r="NSI6"/>
      <c r="NSJ6"/>
      <c r="NSK6"/>
      <c r="NSL6"/>
      <c r="NSM6"/>
      <c r="NSN6"/>
      <c r="NSO6"/>
      <c r="NSP6"/>
      <c r="NSQ6"/>
      <c r="NSR6"/>
      <c r="NSS6"/>
      <c r="NST6"/>
      <c r="NSU6"/>
      <c r="NSV6"/>
      <c r="NSW6"/>
      <c r="NSX6"/>
      <c r="NSY6"/>
      <c r="NSZ6"/>
      <c r="NTA6"/>
      <c r="NTB6"/>
      <c r="NTC6"/>
      <c r="NTD6"/>
      <c r="NTE6"/>
      <c r="NTF6"/>
      <c r="NTG6"/>
      <c r="NTH6"/>
      <c r="NTI6"/>
      <c r="NTJ6"/>
      <c r="NTK6"/>
      <c r="NTL6"/>
      <c r="NTM6"/>
      <c r="NTN6"/>
      <c r="NTO6"/>
      <c r="NTP6"/>
      <c r="NTQ6"/>
      <c r="NTR6"/>
      <c r="NTS6"/>
      <c r="NTT6"/>
      <c r="NTU6"/>
      <c r="NTV6"/>
      <c r="NTW6"/>
      <c r="NTX6"/>
      <c r="NTY6"/>
      <c r="NTZ6"/>
      <c r="NUA6"/>
      <c r="NUB6"/>
      <c r="NUC6"/>
      <c r="NUD6"/>
      <c r="NUE6"/>
      <c r="NUF6"/>
      <c r="NUG6"/>
      <c r="NUH6"/>
      <c r="NUI6"/>
      <c r="NUJ6"/>
      <c r="NUK6"/>
      <c r="NUL6"/>
      <c r="NUM6"/>
      <c r="NUN6"/>
      <c r="NUO6"/>
      <c r="NUP6"/>
      <c r="NUQ6"/>
      <c r="NUR6"/>
      <c r="NUS6"/>
      <c r="NUT6"/>
      <c r="NUU6"/>
      <c r="NUV6"/>
      <c r="NUW6"/>
      <c r="NUX6"/>
      <c r="NUY6"/>
      <c r="NUZ6"/>
      <c r="NVA6"/>
      <c r="NVB6"/>
      <c r="NVC6"/>
      <c r="NVD6"/>
      <c r="NVE6"/>
      <c r="NVF6"/>
      <c r="NVG6"/>
      <c r="NVH6"/>
      <c r="NVI6"/>
      <c r="NVJ6"/>
      <c r="NVK6"/>
      <c r="NVL6"/>
      <c r="NVM6"/>
      <c r="NVN6"/>
      <c r="NVO6"/>
      <c r="NVP6"/>
      <c r="NVQ6"/>
      <c r="NVR6"/>
      <c r="NVS6"/>
      <c r="NVT6"/>
      <c r="NVU6"/>
      <c r="NVV6"/>
      <c r="NVW6"/>
      <c r="NVX6"/>
      <c r="NVY6"/>
      <c r="NVZ6"/>
      <c r="NWA6"/>
      <c r="NWB6"/>
      <c r="NWC6"/>
      <c r="NWD6"/>
      <c r="NWE6"/>
      <c r="NWF6"/>
      <c r="NWG6"/>
      <c r="NWH6"/>
      <c r="NWI6"/>
      <c r="NWJ6"/>
      <c r="NWK6"/>
      <c r="NWL6"/>
      <c r="NWM6"/>
      <c r="NWN6"/>
      <c r="NWO6"/>
      <c r="NWP6"/>
      <c r="NWQ6"/>
      <c r="NWR6"/>
      <c r="NWS6"/>
      <c r="NWT6"/>
      <c r="NWU6"/>
      <c r="NWV6"/>
      <c r="NWW6"/>
      <c r="NWX6"/>
      <c r="NWY6"/>
      <c r="NWZ6"/>
      <c r="NXA6"/>
      <c r="NXB6"/>
      <c r="NXC6"/>
      <c r="NXD6"/>
      <c r="NXE6"/>
      <c r="NXF6"/>
      <c r="NXG6"/>
      <c r="NXH6"/>
      <c r="NXI6"/>
      <c r="NXJ6"/>
      <c r="NXK6"/>
      <c r="NXL6"/>
      <c r="NXM6"/>
      <c r="NXN6"/>
      <c r="NXO6"/>
      <c r="NXP6"/>
      <c r="NXQ6"/>
      <c r="NXR6"/>
      <c r="NXS6"/>
      <c r="NXT6"/>
      <c r="NXU6"/>
      <c r="NXV6"/>
      <c r="NXW6"/>
      <c r="NXX6"/>
      <c r="NXY6"/>
      <c r="NXZ6"/>
      <c r="NYA6"/>
      <c r="NYB6"/>
      <c r="NYC6"/>
      <c r="NYD6"/>
      <c r="NYE6"/>
      <c r="NYF6"/>
      <c r="NYG6"/>
      <c r="NYH6"/>
      <c r="NYI6"/>
      <c r="NYJ6"/>
      <c r="NYK6"/>
      <c r="NYL6"/>
      <c r="NYM6"/>
      <c r="NYN6"/>
      <c r="NYO6"/>
      <c r="NYP6"/>
      <c r="NYQ6"/>
      <c r="NYR6"/>
      <c r="NYS6"/>
      <c r="NYT6"/>
      <c r="NYU6"/>
      <c r="NYV6"/>
      <c r="NYW6"/>
      <c r="NYX6"/>
      <c r="NYY6"/>
      <c r="NYZ6"/>
      <c r="NZA6"/>
      <c r="NZB6"/>
      <c r="NZC6"/>
      <c r="NZD6"/>
      <c r="NZE6"/>
      <c r="NZF6"/>
      <c r="NZG6"/>
      <c r="NZH6"/>
      <c r="NZI6"/>
      <c r="NZJ6"/>
      <c r="NZK6"/>
      <c r="NZL6"/>
      <c r="NZM6"/>
      <c r="NZN6"/>
      <c r="NZO6"/>
      <c r="NZP6"/>
      <c r="NZQ6"/>
      <c r="NZR6"/>
      <c r="NZS6"/>
      <c r="NZT6"/>
      <c r="NZU6"/>
      <c r="NZV6"/>
      <c r="NZW6"/>
      <c r="NZX6"/>
      <c r="NZY6"/>
      <c r="NZZ6"/>
      <c r="OAA6"/>
      <c r="OAB6"/>
      <c r="OAC6"/>
      <c r="OAD6"/>
      <c r="OAE6"/>
      <c r="OAF6"/>
      <c r="OAG6"/>
      <c r="OAH6"/>
      <c r="OAI6"/>
      <c r="OAJ6"/>
      <c r="OAK6"/>
      <c r="OAL6"/>
      <c r="OAM6"/>
      <c r="OAN6"/>
      <c r="OAO6"/>
      <c r="OAP6"/>
      <c r="OAQ6"/>
      <c r="OAR6"/>
      <c r="OAS6"/>
      <c r="OAT6"/>
      <c r="OAU6"/>
      <c r="OAV6"/>
      <c r="OAW6"/>
      <c r="OAX6"/>
      <c r="OAY6"/>
      <c r="OAZ6"/>
      <c r="OBA6"/>
      <c r="OBB6"/>
      <c r="OBC6"/>
      <c r="OBD6"/>
      <c r="OBE6"/>
      <c r="OBF6"/>
      <c r="OBG6"/>
      <c r="OBH6"/>
      <c r="OBI6"/>
      <c r="OBJ6"/>
      <c r="OBK6"/>
      <c r="OBL6"/>
      <c r="OBM6"/>
      <c r="OBN6"/>
      <c r="OBO6"/>
      <c r="OBP6"/>
      <c r="OBQ6"/>
      <c r="OBR6"/>
      <c r="OBS6"/>
      <c r="OBT6"/>
      <c r="OBU6"/>
      <c r="OBV6"/>
      <c r="OBW6"/>
      <c r="OBX6"/>
      <c r="OBY6"/>
      <c r="OBZ6"/>
      <c r="OCA6"/>
      <c r="OCB6"/>
      <c r="OCC6"/>
      <c r="OCD6"/>
      <c r="OCE6"/>
      <c r="OCF6"/>
      <c r="OCG6"/>
      <c r="OCH6"/>
      <c r="OCI6"/>
      <c r="OCJ6"/>
      <c r="OCK6"/>
      <c r="OCL6"/>
      <c r="OCM6"/>
      <c r="OCN6"/>
      <c r="OCO6"/>
      <c r="OCP6"/>
      <c r="OCQ6"/>
      <c r="OCR6"/>
      <c r="OCS6"/>
      <c r="OCT6"/>
      <c r="OCU6"/>
      <c r="OCV6"/>
      <c r="OCW6"/>
      <c r="OCX6"/>
      <c r="OCY6"/>
      <c r="OCZ6"/>
      <c r="ODA6"/>
      <c r="ODB6"/>
      <c r="ODC6"/>
      <c r="ODD6"/>
      <c r="ODE6"/>
      <c r="ODF6"/>
      <c r="ODG6"/>
      <c r="ODH6"/>
      <c r="ODI6"/>
      <c r="ODJ6"/>
      <c r="ODK6"/>
      <c r="ODL6"/>
      <c r="ODM6"/>
      <c r="ODN6"/>
      <c r="ODO6"/>
      <c r="ODP6"/>
      <c r="ODQ6"/>
      <c r="ODR6"/>
      <c r="ODS6"/>
      <c r="ODT6"/>
      <c r="ODU6"/>
      <c r="ODV6"/>
      <c r="ODW6"/>
      <c r="ODX6"/>
      <c r="ODY6"/>
      <c r="ODZ6"/>
      <c r="OEA6"/>
      <c r="OEB6"/>
      <c r="OEC6"/>
      <c r="OED6"/>
      <c r="OEE6"/>
      <c r="OEF6"/>
      <c r="OEG6"/>
      <c r="OEH6"/>
      <c r="OEI6"/>
      <c r="OEJ6"/>
      <c r="OEK6"/>
      <c r="OEL6"/>
      <c r="OEM6"/>
      <c r="OEN6"/>
      <c r="OEO6"/>
      <c r="OEP6"/>
      <c r="OEQ6"/>
      <c r="OER6"/>
      <c r="OES6"/>
      <c r="OET6"/>
      <c r="OEU6"/>
      <c r="OEV6"/>
      <c r="OEW6"/>
      <c r="OEX6"/>
      <c r="OEY6"/>
      <c r="OEZ6"/>
      <c r="OFA6"/>
      <c r="OFB6"/>
      <c r="OFC6"/>
      <c r="OFD6"/>
      <c r="OFE6"/>
      <c r="OFF6"/>
      <c r="OFG6"/>
      <c r="OFH6"/>
      <c r="OFI6"/>
      <c r="OFJ6"/>
      <c r="OFK6"/>
      <c r="OFL6"/>
      <c r="OFM6"/>
      <c r="OFN6"/>
      <c r="OFO6"/>
      <c r="OFP6"/>
      <c r="OFQ6"/>
      <c r="OFR6"/>
      <c r="OFS6"/>
      <c r="OFT6"/>
      <c r="OFU6"/>
      <c r="OFV6"/>
      <c r="OFW6"/>
      <c r="OFX6"/>
      <c r="OFY6"/>
      <c r="OFZ6"/>
      <c r="OGA6"/>
      <c r="OGB6"/>
      <c r="OGC6"/>
      <c r="OGD6"/>
      <c r="OGE6"/>
      <c r="OGF6"/>
      <c r="OGG6"/>
      <c r="OGH6"/>
      <c r="OGI6"/>
      <c r="OGJ6"/>
      <c r="OGK6"/>
      <c r="OGL6"/>
      <c r="OGM6"/>
      <c r="OGN6"/>
      <c r="OGO6"/>
      <c r="OGP6"/>
      <c r="OGQ6"/>
      <c r="OGR6"/>
      <c r="OGS6"/>
      <c r="OGT6"/>
      <c r="OGU6"/>
      <c r="OGV6"/>
      <c r="OGW6"/>
      <c r="OGX6"/>
      <c r="OGY6"/>
      <c r="OGZ6"/>
      <c r="OHA6"/>
      <c r="OHB6"/>
      <c r="OHC6"/>
      <c r="OHD6"/>
      <c r="OHE6"/>
      <c r="OHF6"/>
      <c r="OHG6"/>
      <c r="OHH6"/>
      <c r="OHI6"/>
      <c r="OHJ6"/>
      <c r="OHK6"/>
      <c r="OHL6"/>
      <c r="OHM6"/>
      <c r="OHN6"/>
      <c r="OHO6"/>
      <c r="OHP6"/>
      <c r="OHQ6"/>
      <c r="OHR6"/>
      <c r="OHS6"/>
      <c r="OHT6"/>
      <c r="OHU6"/>
      <c r="OHV6"/>
      <c r="OHW6"/>
      <c r="OHX6"/>
      <c r="OHY6"/>
      <c r="OHZ6"/>
      <c r="OIA6"/>
      <c r="OIB6"/>
      <c r="OIC6"/>
      <c r="OID6"/>
      <c r="OIE6"/>
      <c r="OIF6"/>
      <c r="OIG6"/>
      <c r="OIH6"/>
      <c r="OII6"/>
      <c r="OIJ6"/>
      <c r="OIK6"/>
      <c r="OIL6"/>
      <c r="OIM6"/>
      <c r="OIN6"/>
      <c r="OIO6"/>
      <c r="OIP6"/>
      <c r="OIQ6"/>
      <c r="OIR6"/>
      <c r="OIS6"/>
      <c r="OIT6"/>
      <c r="OIU6"/>
      <c r="OIV6"/>
      <c r="OIW6"/>
      <c r="OIX6"/>
      <c r="OIY6"/>
      <c r="OIZ6"/>
      <c r="OJA6"/>
      <c r="OJB6"/>
      <c r="OJC6"/>
      <c r="OJD6"/>
      <c r="OJE6"/>
      <c r="OJF6"/>
      <c r="OJG6"/>
      <c r="OJH6"/>
      <c r="OJI6"/>
      <c r="OJJ6"/>
      <c r="OJK6"/>
      <c r="OJL6"/>
      <c r="OJM6"/>
      <c r="OJN6"/>
      <c r="OJO6"/>
      <c r="OJP6"/>
      <c r="OJQ6"/>
      <c r="OJR6"/>
      <c r="OJS6"/>
      <c r="OJT6"/>
      <c r="OJU6"/>
      <c r="OJV6"/>
      <c r="OJW6"/>
      <c r="OJX6"/>
      <c r="OJY6"/>
      <c r="OJZ6"/>
      <c r="OKA6"/>
      <c r="OKB6"/>
      <c r="OKC6"/>
      <c r="OKD6"/>
      <c r="OKE6"/>
      <c r="OKF6"/>
      <c r="OKG6"/>
      <c r="OKH6"/>
      <c r="OKI6"/>
      <c r="OKJ6"/>
      <c r="OKK6"/>
      <c r="OKL6"/>
      <c r="OKM6"/>
      <c r="OKN6"/>
      <c r="OKO6"/>
      <c r="OKP6"/>
      <c r="OKQ6"/>
      <c r="OKR6"/>
      <c r="OKS6"/>
      <c r="OKT6"/>
      <c r="OKU6"/>
      <c r="OKV6"/>
      <c r="OKW6"/>
      <c r="OKX6"/>
      <c r="OKY6"/>
      <c r="OKZ6"/>
      <c r="OLA6"/>
      <c r="OLB6"/>
      <c r="OLC6"/>
      <c r="OLD6"/>
      <c r="OLE6"/>
      <c r="OLF6"/>
      <c r="OLG6"/>
      <c r="OLH6"/>
      <c r="OLI6"/>
      <c r="OLJ6"/>
      <c r="OLK6"/>
      <c r="OLL6"/>
      <c r="OLM6"/>
      <c r="OLN6"/>
      <c r="OLO6"/>
      <c r="OLP6"/>
      <c r="OLQ6"/>
      <c r="OLR6"/>
      <c r="OLS6"/>
      <c r="OLT6"/>
      <c r="OLU6"/>
      <c r="OLV6"/>
      <c r="OLW6"/>
      <c r="OLX6"/>
      <c r="OLY6"/>
      <c r="OLZ6"/>
      <c r="OMA6"/>
      <c r="OMB6"/>
      <c r="OMC6"/>
      <c r="OMD6"/>
      <c r="OME6"/>
      <c r="OMF6"/>
      <c r="OMG6"/>
      <c r="OMH6"/>
      <c r="OMI6"/>
      <c r="OMJ6"/>
      <c r="OMK6"/>
      <c r="OML6"/>
      <c r="OMM6"/>
      <c r="OMN6"/>
      <c r="OMO6"/>
      <c r="OMP6"/>
      <c r="OMQ6"/>
      <c r="OMR6"/>
      <c r="OMS6"/>
      <c r="OMT6"/>
      <c r="OMU6"/>
      <c r="OMV6"/>
      <c r="OMW6"/>
      <c r="OMX6"/>
      <c r="OMY6"/>
      <c r="OMZ6"/>
      <c r="ONA6"/>
      <c r="ONB6"/>
      <c r="ONC6"/>
      <c r="OND6"/>
      <c r="ONE6"/>
      <c r="ONF6"/>
      <c r="ONG6"/>
      <c r="ONH6"/>
      <c r="ONI6"/>
      <c r="ONJ6"/>
      <c r="ONK6"/>
      <c r="ONL6"/>
      <c r="ONM6"/>
      <c r="ONN6"/>
      <c r="ONO6"/>
      <c r="ONP6"/>
      <c r="ONQ6"/>
      <c r="ONR6"/>
      <c r="ONS6"/>
      <c r="ONT6"/>
      <c r="ONU6"/>
      <c r="ONV6"/>
      <c r="ONW6"/>
      <c r="ONX6"/>
      <c r="ONY6"/>
      <c r="ONZ6"/>
      <c r="OOA6"/>
      <c r="OOB6"/>
      <c r="OOC6"/>
      <c r="OOD6"/>
      <c r="OOE6"/>
      <c r="OOF6"/>
      <c r="OOG6"/>
      <c r="OOH6"/>
      <c r="OOI6"/>
      <c r="OOJ6"/>
      <c r="OOK6"/>
      <c r="OOL6"/>
      <c r="OOM6"/>
      <c r="OON6"/>
      <c r="OOO6"/>
      <c r="OOP6"/>
      <c r="OOQ6"/>
      <c r="OOR6"/>
      <c r="OOS6"/>
      <c r="OOT6"/>
      <c r="OOU6"/>
      <c r="OOV6"/>
      <c r="OOW6"/>
      <c r="OOX6"/>
      <c r="OOY6"/>
      <c r="OOZ6"/>
      <c r="OPA6"/>
      <c r="OPB6"/>
      <c r="OPC6"/>
      <c r="OPD6"/>
      <c r="OPE6"/>
      <c r="OPF6"/>
      <c r="OPG6"/>
      <c r="OPH6"/>
      <c r="OPI6"/>
      <c r="OPJ6"/>
      <c r="OPK6"/>
      <c r="OPL6"/>
      <c r="OPM6"/>
      <c r="OPN6"/>
      <c r="OPO6"/>
      <c r="OPP6"/>
      <c r="OPQ6"/>
      <c r="OPR6"/>
      <c r="OPS6"/>
      <c r="OPT6"/>
      <c r="OPU6"/>
      <c r="OPV6"/>
      <c r="OPW6"/>
      <c r="OPX6"/>
      <c r="OPY6"/>
      <c r="OPZ6"/>
      <c r="OQA6"/>
      <c r="OQB6"/>
      <c r="OQC6"/>
      <c r="OQD6"/>
      <c r="OQE6"/>
      <c r="OQF6"/>
      <c r="OQG6"/>
      <c r="OQH6"/>
      <c r="OQI6"/>
      <c r="OQJ6"/>
      <c r="OQK6"/>
      <c r="OQL6"/>
      <c r="OQM6"/>
      <c r="OQN6"/>
      <c r="OQO6"/>
      <c r="OQP6"/>
      <c r="OQQ6"/>
      <c r="OQR6"/>
      <c r="OQS6"/>
      <c r="OQT6"/>
      <c r="OQU6"/>
      <c r="OQV6"/>
      <c r="OQW6"/>
      <c r="OQX6"/>
      <c r="OQY6"/>
      <c r="OQZ6"/>
      <c r="ORA6"/>
      <c r="ORB6"/>
      <c r="ORC6"/>
      <c r="ORD6"/>
      <c r="ORE6"/>
      <c r="ORF6"/>
      <c r="ORG6"/>
      <c r="ORH6"/>
      <c r="ORI6"/>
      <c r="ORJ6"/>
      <c r="ORK6"/>
      <c r="ORL6"/>
      <c r="ORM6"/>
      <c r="ORN6"/>
      <c r="ORO6"/>
      <c r="ORP6"/>
      <c r="ORQ6"/>
      <c r="ORR6"/>
      <c r="ORS6"/>
      <c r="ORT6"/>
      <c r="ORU6"/>
      <c r="ORV6"/>
      <c r="ORW6"/>
      <c r="ORX6"/>
      <c r="ORY6"/>
      <c r="ORZ6"/>
      <c r="OSA6"/>
      <c r="OSB6"/>
      <c r="OSC6"/>
      <c r="OSD6"/>
      <c r="OSE6"/>
      <c r="OSF6"/>
      <c r="OSG6"/>
      <c r="OSH6"/>
      <c r="OSI6"/>
      <c r="OSJ6"/>
      <c r="OSK6"/>
      <c r="OSL6"/>
      <c r="OSM6"/>
      <c r="OSN6"/>
      <c r="OSO6"/>
      <c r="OSP6"/>
      <c r="OSQ6"/>
      <c r="OSR6"/>
      <c r="OSS6"/>
      <c r="OST6"/>
      <c r="OSU6"/>
      <c r="OSV6"/>
      <c r="OSW6"/>
      <c r="OSX6"/>
      <c r="OSY6"/>
      <c r="OSZ6"/>
      <c r="OTA6"/>
      <c r="OTB6"/>
      <c r="OTC6"/>
      <c r="OTD6"/>
      <c r="OTE6"/>
      <c r="OTF6"/>
      <c r="OTG6"/>
      <c r="OTH6"/>
      <c r="OTI6"/>
      <c r="OTJ6"/>
      <c r="OTK6"/>
      <c r="OTL6"/>
      <c r="OTM6"/>
      <c r="OTN6"/>
      <c r="OTO6"/>
      <c r="OTP6"/>
      <c r="OTQ6"/>
      <c r="OTR6"/>
      <c r="OTS6"/>
      <c r="OTT6"/>
      <c r="OTU6"/>
      <c r="OTV6"/>
      <c r="OTW6"/>
      <c r="OTX6"/>
      <c r="OTY6"/>
      <c r="OTZ6"/>
      <c r="OUA6"/>
      <c r="OUB6"/>
      <c r="OUC6"/>
      <c r="OUD6"/>
      <c r="OUE6"/>
      <c r="OUF6"/>
      <c r="OUG6"/>
      <c r="OUH6"/>
      <c r="OUI6"/>
      <c r="OUJ6"/>
      <c r="OUK6"/>
      <c r="OUL6"/>
      <c r="OUM6"/>
      <c r="OUN6"/>
      <c r="OUO6"/>
      <c r="OUP6"/>
      <c r="OUQ6"/>
      <c r="OUR6"/>
      <c r="OUS6"/>
      <c r="OUT6"/>
      <c r="OUU6"/>
      <c r="OUV6"/>
      <c r="OUW6"/>
      <c r="OUX6"/>
      <c r="OUY6"/>
      <c r="OUZ6"/>
      <c r="OVA6"/>
      <c r="OVB6"/>
      <c r="OVC6"/>
      <c r="OVD6"/>
      <c r="OVE6"/>
      <c r="OVF6"/>
      <c r="OVG6"/>
      <c r="OVH6"/>
      <c r="OVI6"/>
      <c r="OVJ6"/>
      <c r="OVK6"/>
      <c r="OVL6"/>
      <c r="OVM6"/>
      <c r="OVN6"/>
      <c r="OVO6"/>
      <c r="OVP6"/>
      <c r="OVQ6"/>
      <c r="OVR6"/>
      <c r="OVS6"/>
      <c r="OVT6"/>
      <c r="OVU6"/>
      <c r="OVV6"/>
      <c r="OVW6"/>
      <c r="OVX6"/>
      <c r="OVY6"/>
      <c r="OVZ6"/>
      <c r="OWA6"/>
      <c r="OWB6"/>
      <c r="OWC6"/>
      <c r="OWD6"/>
      <c r="OWE6"/>
      <c r="OWF6"/>
      <c r="OWG6"/>
      <c r="OWH6"/>
      <c r="OWI6"/>
      <c r="OWJ6"/>
      <c r="OWK6"/>
      <c r="OWL6"/>
      <c r="OWM6"/>
      <c r="OWN6"/>
      <c r="OWO6"/>
      <c r="OWP6"/>
      <c r="OWQ6"/>
      <c r="OWR6"/>
      <c r="OWS6"/>
      <c r="OWT6"/>
      <c r="OWU6"/>
      <c r="OWV6"/>
      <c r="OWW6"/>
      <c r="OWX6"/>
      <c r="OWY6"/>
      <c r="OWZ6"/>
      <c r="OXA6"/>
      <c r="OXB6"/>
      <c r="OXC6"/>
      <c r="OXD6"/>
      <c r="OXE6"/>
      <c r="OXF6"/>
      <c r="OXG6"/>
      <c r="OXH6"/>
      <c r="OXI6"/>
      <c r="OXJ6"/>
      <c r="OXK6"/>
      <c r="OXL6"/>
      <c r="OXM6"/>
      <c r="OXN6"/>
      <c r="OXO6"/>
      <c r="OXP6"/>
      <c r="OXQ6"/>
      <c r="OXR6"/>
      <c r="OXS6"/>
      <c r="OXT6"/>
      <c r="OXU6"/>
      <c r="OXV6"/>
      <c r="OXW6"/>
      <c r="OXX6"/>
      <c r="OXY6"/>
      <c r="OXZ6"/>
      <c r="OYA6"/>
      <c r="OYB6"/>
      <c r="OYC6"/>
      <c r="OYD6"/>
      <c r="OYE6"/>
      <c r="OYF6"/>
      <c r="OYG6"/>
      <c r="OYH6"/>
      <c r="OYI6"/>
      <c r="OYJ6"/>
      <c r="OYK6"/>
      <c r="OYL6"/>
      <c r="OYM6"/>
      <c r="OYN6"/>
      <c r="OYO6"/>
      <c r="OYP6"/>
      <c r="OYQ6"/>
      <c r="OYR6"/>
      <c r="OYS6"/>
      <c r="OYT6"/>
      <c r="OYU6"/>
      <c r="OYV6"/>
      <c r="OYW6"/>
      <c r="OYX6"/>
      <c r="OYY6"/>
      <c r="OYZ6"/>
      <c r="OZA6"/>
      <c r="OZB6"/>
      <c r="OZC6"/>
      <c r="OZD6"/>
      <c r="OZE6"/>
      <c r="OZF6"/>
      <c r="OZG6"/>
      <c r="OZH6"/>
      <c r="OZI6"/>
      <c r="OZJ6"/>
      <c r="OZK6"/>
      <c r="OZL6"/>
      <c r="OZM6"/>
      <c r="OZN6"/>
      <c r="OZO6"/>
      <c r="OZP6"/>
      <c r="OZQ6"/>
      <c r="OZR6"/>
      <c r="OZS6"/>
      <c r="OZT6"/>
      <c r="OZU6"/>
      <c r="OZV6"/>
      <c r="OZW6"/>
      <c r="OZX6"/>
      <c r="OZY6"/>
      <c r="OZZ6"/>
      <c r="PAA6"/>
      <c r="PAB6"/>
      <c r="PAC6"/>
      <c r="PAD6"/>
      <c r="PAE6"/>
      <c r="PAF6"/>
      <c r="PAG6"/>
      <c r="PAH6"/>
      <c r="PAI6"/>
      <c r="PAJ6"/>
      <c r="PAK6"/>
      <c r="PAL6"/>
      <c r="PAM6"/>
      <c r="PAN6"/>
      <c r="PAO6"/>
      <c r="PAP6"/>
      <c r="PAQ6"/>
      <c r="PAR6"/>
      <c r="PAS6"/>
      <c r="PAT6"/>
      <c r="PAU6"/>
      <c r="PAV6"/>
      <c r="PAW6"/>
      <c r="PAX6"/>
      <c r="PAY6"/>
      <c r="PAZ6"/>
      <c r="PBA6"/>
      <c r="PBB6"/>
      <c r="PBC6"/>
      <c r="PBD6"/>
      <c r="PBE6"/>
      <c r="PBF6"/>
      <c r="PBG6"/>
      <c r="PBH6"/>
      <c r="PBI6"/>
      <c r="PBJ6"/>
      <c r="PBK6"/>
      <c r="PBL6"/>
      <c r="PBM6"/>
      <c r="PBN6"/>
      <c r="PBO6"/>
      <c r="PBP6"/>
      <c r="PBQ6"/>
      <c r="PBR6"/>
      <c r="PBS6"/>
      <c r="PBT6"/>
      <c r="PBU6"/>
      <c r="PBV6"/>
      <c r="PBW6"/>
      <c r="PBX6"/>
      <c r="PBY6"/>
      <c r="PBZ6"/>
      <c r="PCA6"/>
      <c r="PCB6"/>
      <c r="PCC6"/>
      <c r="PCD6"/>
      <c r="PCE6"/>
      <c r="PCF6"/>
      <c r="PCG6"/>
      <c r="PCH6"/>
      <c r="PCI6"/>
      <c r="PCJ6"/>
      <c r="PCK6"/>
      <c r="PCL6"/>
      <c r="PCM6"/>
      <c r="PCN6"/>
      <c r="PCO6"/>
      <c r="PCP6"/>
      <c r="PCQ6"/>
      <c r="PCR6"/>
      <c r="PCS6"/>
      <c r="PCT6"/>
      <c r="PCU6"/>
      <c r="PCV6"/>
      <c r="PCW6"/>
      <c r="PCX6"/>
      <c r="PCY6"/>
      <c r="PCZ6"/>
      <c r="PDA6"/>
      <c r="PDB6"/>
      <c r="PDC6"/>
      <c r="PDD6"/>
      <c r="PDE6"/>
      <c r="PDF6"/>
      <c r="PDG6"/>
      <c r="PDH6"/>
      <c r="PDI6"/>
      <c r="PDJ6"/>
      <c r="PDK6"/>
      <c r="PDL6"/>
      <c r="PDM6"/>
      <c r="PDN6"/>
      <c r="PDO6"/>
      <c r="PDP6"/>
      <c r="PDQ6"/>
      <c r="PDR6"/>
      <c r="PDS6"/>
      <c r="PDT6"/>
      <c r="PDU6"/>
      <c r="PDV6"/>
      <c r="PDW6"/>
      <c r="PDX6"/>
      <c r="PDY6"/>
      <c r="PDZ6"/>
      <c r="PEA6"/>
      <c r="PEB6"/>
      <c r="PEC6"/>
      <c r="PED6"/>
      <c r="PEE6"/>
      <c r="PEF6"/>
      <c r="PEG6"/>
      <c r="PEH6"/>
      <c r="PEI6"/>
      <c r="PEJ6"/>
      <c r="PEK6"/>
      <c r="PEL6"/>
      <c r="PEM6"/>
      <c r="PEN6"/>
      <c r="PEO6"/>
      <c r="PEP6"/>
      <c r="PEQ6"/>
      <c r="PER6"/>
      <c r="PES6"/>
      <c r="PET6"/>
      <c r="PEU6"/>
      <c r="PEV6"/>
      <c r="PEW6"/>
      <c r="PEX6"/>
      <c r="PEY6"/>
      <c r="PEZ6"/>
      <c r="PFA6"/>
      <c r="PFB6"/>
      <c r="PFC6"/>
      <c r="PFD6"/>
      <c r="PFE6"/>
      <c r="PFF6"/>
      <c r="PFG6"/>
      <c r="PFH6"/>
      <c r="PFI6"/>
      <c r="PFJ6"/>
      <c r="PFK6"/>
      <c r="PFL6"/>
      <c r="PFM6"/>
      <c r="PFN6"/>
      <c r="PFO6"/>
      <c r="PFP6"/>
      <c r="PFQ6"/>
      <c r="PFR6"/>
      <c r="PFS6"/>
      <c r="PFT6"/>
      <c r="PFU6"/>
      <c r="PFV6"/>
      <c r="PFW6"/>
      <c r="PFX6"/>
      <c r="PFY6"/>
      <c r="PFZ6"/>
      <c r="PGA6"/>
      <c r="PGB6"/>
      <c r="PGC6"/>
      <c r="PGD6"/>
      <c r="PGE6"/>
      <c r="PGF6"/>
      <c r="PGG6"/>
      <c r="PGH6"/>
      <c r="PGI6"/>
      <c r="PGJ6"/>
      <c r="PGK6"/>
      <c r="PGL6"/>
      <c r="PGM6"/>
      <c r="PGN6"/>
      <c r="PGO6"/>
      <c r="PGP6"/>
      <c r="PGQ6"/>
      <c r="PGR6"/>
      <c r="PGS6"/>
      <c r="PGT6"/>
      <c r="PGU6"/>
      <c r="PGV6"/>
      <c r="PGW6"/>
      <c r="PGX6"/>
      <c r="PGY6"/>
      <c r="PGZ6"/>
      <c r="PHA6"/>
      <c r="PHB6"/>
      <c r="PHC6"/>
      <c r="PHD6"/>
      <c r="PHE6"/>
      <c r="PHF6"/>
      <c r="PHG6"/>
      <c r="PHH6"/>
      <c r="PHI6"/>
      <c r="PHJ6"/>
      <c r="PHK6"/>
      <c r="PHL6"/>
      <c r="PHM6"/>
      <c r="PHN6"/>
      <c r="PHO6"/>
      <c r="PHP6"/>
      <c r="PHQ6"/>
      <c r="PHR6"/>
      <c r="PHS6"/>
      <c r="PHT6"/>
      <c r="PHU6"/>
      <c r="PHV6"/>
      <c r="PHW6"/>
      <c r="PHX6"/>
      <c r="PHY6"/>
      <c r="PHZ6"/>
      <c r="PIA6"/>
      <c r="PIB6"/>
      <c r="PIC6"/>
      <c r="PID6"/>
      <c r="PIE6"/>
      <c r="PIF6"/>
      <c r="PIG6"/>
      <c r="PIH6"/>
      <c r="PII6"/>
      <c r="PIJ6"/>
      <c r="PIK6"/>
      <c r="PIL6"/>
      <c r="PIM6"/>
      <c r="PIN6"/>
      <c r="PIO6"/>
      <c r="PIP6"/>
      <c r="PIQ6"/>
      <c r="PIR6"/>
      <c r="PIS6"/>
      <c r="PIT6"/>
      <c r="PIU6"/>
      <c r="PIV6"/>
      <c r="PIW6"/>
      <c r="PIX6"/>
      <c r="PIY6"/>
      <c r="PIZ6"/>
      <c r="PJA6"/>
      <c r="PJB6"/>
      <c r="PJC6"/>
      <c r="PJD6"/>
      <c r="PJE6"/>
      <c r="PJF6"/>
      <c r="PJG6"/>
      <c r="PJH6"/>
      <c r="PJI6"/>
      <c r="PJJ6"/>
      <c r="PJK6"/>
      <c r="PJL6"/>
      <c r="PJM6"/>
      <c r="PJN6"/>
      <c r="PJO6"/>
      <c r="PJP6"/>
      <c r="PJQ6"/>
      <c r="PJR6"/>
      <c r="PJS6"/>
      <c r="PJT6"/>
      <c r="PJU6"/>
      <c r="PJV6"/>
      <c r="PJW6"/>
      <c r="PJX6"/>
      <c r="PJY6"/>
      <c r="PJZ6"/>
      <c r="PKA6"/>
      <c r="PKB6"/>
      <c r="PKC6"/>
      <c r="PKD6"/>
      <c r="PKE6"/>
      <c r="PKF6"/>
      <c r="PKG6"/>
      <c r="PKH6"/>
      <c r="PKI6"/>
      <c r="PKJ6"/>
      <c r="PKK6"/>
      <c r="PKL6"/>
      <c r="PKM6"/>
      <c r="PKN6"/>
      <c r="PKO6"/>
      <c r="PKP6"/>
      <c r="PKQ6"/>
      <c r="PKR6"/>
      <c r="PKS6"/>
      <c r="PKT6"/>
      <c r="PKU6"/>
      <c r="PKV6"/>
      <c r="PKW6"/>
      <c r="PKX6"/>
      <c r="PKY6"/>
      <c r="PKZ6"/>
      <c r="PLA6"/>
      <c r="PLB6"/>
      <c r="PLC6"/>
      <c r="PLD6"/>
      <c r="PLE6"/>
      <c r="PLF6"/>
      <c r="PLG6"/>
      <c r="PLH6"/>
      <c r="PLI6"/>
      <c r="PLJ6"/>
      <c r="PLK6"/>
      <c r="PLL6"/>
      <c r="PLM6"/>
      <c r="PLN6"/>
      <c r="PLO6"/>
      <c r="PLP6"/>
      <c r="PLQ6"/>
      <c r="PLR6"/>
      <c r="PLS6"/>
      <c r="PLT6"/>
      <c r="PLU6"/>
      <c r="PLV6"/>
      <c r="PLW6"/>
      <c r="PLX6"/>
      <c r="PLY6"/>
      <c r="PLZ6"/>
      <c r="PMA6"/>
      <c r="PMB6"/>
      <c r="PMC6"/>
      <c r="PMD6"/>
      <c r="PME6"/>
      <c r="PMF6"/>
      <c r="PMG6"/>
      <c r="PMH6"/>
      <c r="PMI6"/>
      <c r="PMJ6"/>
      <c r="PMK6"/>
      <c r="PML6"/>
      <c r="PMM6"/>
      <c r="PMN6"/>
      <c r="PMO6"/>
      <c r="PMP6"/>
      <c r="PMQ6"/>
      <c r="PMR6"/>
      <c r="PMS6"/>
      <c r="PMT6"/>
      <c r="PMU6"/>
      <c r="PMV6"/>
      <c r="PMW6"/>
      <c r="PMX6"/>
      <c r="PMY6"/>
      <c r="PMZ6"/>
      <c r="PNA6"/>
      <c r="PNB6"/>
      <c r="PNC6"/>
      <c r="PND6"/>
      <c r="PNE6"/>
      <c r="PNF6"/>
      <c r="PNG6"/>
      <c r="PNH6"/>
      <c r="PNI6"/>
      <c r="PNJ6"/>
      <c r="PNK6"/>
      <c r="PNL6"/>
      <c r="PNM6"/>
      <c r="PNN6"/>
      <c r="PNO6"/>
      <c r="PNP6"/>
      <c r="PNQ6"/>
      <c r="PNR6"/>
      <c r="PNS6"/>
      <c r="PNT6"/>
      <c r="PNU6"/>
      <c r="PNV6"/>
      <c r="PNW6"/>
      <c r="PNX6"/>
      <c r="PNY6"/>
      <c r="PNZ6"/>
      <c r="POA6"/>
      <c r="POB6"/>
      <c r="POC6"/>
      <c r="POD6"/>
      <c r="POE6"/>
      <c r="POF6"/>
      <c r="POG6"/>
      <c r="POH6"/>
      <c r="POI6"/>
      <c r="POJ6"/>
      <c r="POK6"/>
      <c r="POL6"/>
      <c r="POM6"/>
      <c r="PON6"/>
      <c r="POO6"/>
      <c r="POP6"/>
      <c r="POQ6"/>
      <c r="POR6"/>
      <c r="POS6"/>
      <c r="POT6"/>
      <c r="POU6"/>
      <c r="POV6"/>
      <c r="POW6"/>
      <c r="POX6"/>
      <c r="POY6"/>
      <c r="POZ6"/>
      <c r="PPA6"/>
      <c r="PPB6"/>
      <c r="PPC6"/>
      <c r="PPD6"/>
      <c r="PPE6"/>
      <c r="PPF6"/>
      <c r="PPG6"/>
      <c r="PPH6"/>
      <c r="PPI6"/>
      <c r="PPJ6"/>
      <c r="PPK6"/>
      <c r="PPL6"/>
      <c r="PPM6"/>
      <c r="PPN6"/>
      <c r="PPO6"/>
      <c r="PPP6"/>
      <c r="PPQ6"/>
      <c r="PPR6"/>
      <c r="PPS6"/>
      <c r="PPT6"/>
      <c r="PPU6"/>
      <c r="PPV6"/>
      <c r="PPW6"/>
      <c r="PPX6"/>
      <c r="PPY6"/>
      <c r="PPZ6"/>
      <c r="PQA6"/>
      <c r="PQB6"/>
      <c r="PQC6"/>
      <c r="PQD6"/>
      <c r="PQE6"/>
      <c r="PQF6"/>
      <c r="PQG6"/>
      <c r="PQH6"/>
      <c r="PQI6"/>
      <c r="PQJ6"/>
      <c r="PQK6"/>
      <c r="PQL6"/>
      <c r="PQM6"/>
      <c r="PQN6"/>
      <c r="PQO6"/>
      <c r="PQP6"/>
      <c r="PQQ6"/>
      <c r="PQR6"/>
      <c r="PQS6"/>
      <c r="PQT6"/>
      <c r="PQU6"/>
      <c r="PQV6"/>
      <c r="PQW6"/>
      <c r="PQX6"/>
      <c r="PQY6"/>
      <c r="PQZ6"/>
      <c r="PRA6"/>
      <c r="PRB6"/>
      <c r="PRC6"/>
      <c r="PRD6"/>
      <c r="PRE6"/>
      <c r="PRF6"/>
      <c r="PRG6"/>
      <c r="PRH6"/>
      <c r="PRI6"/>
      <c r="PRJ6"/>
      <c r="PRK6"/>
      <c r="PRL6"/>
      <c r="PRM6"/>
      <c r="PRN6"/>
      <c r="PRO6"/>
      <c r="PRP6"/>
      <c r="PRQ6"/>
      <c r="PRR6"/>
      <c r="PRS6"/>
      <c r="PRT6"/>
      <c r="PRU6"/>
      <c r="PRV6"/>
      <c r="PRW6"/>
      <c r="PRX6"/>
      <c r="PRY6"/>
      <c r="PRZ6"/>
      <c r="PSA6"/>
      <c r="PSB6"/>
      <c r="PSC6"/>
      <c r="PSD6"/>
      <c r="PSE6"/>
      <c r="PSF6"/>
      <c r="PSG6"/>
      <c r="PSH6"/>
      <c r="PSI6"/>
      <c r="PSJ6"/>
      <c r="PSK6"/>
      <c r="PSL6"/>
      <c r="PSM6"/>
      <c r="PSN6"/>
      <c r="PSO6"/>
      <c r="PSP6"/>
      <c r="PSQ6"/>
      <c r="PSR6"/>
      <c r="PSS6"/>
      <c r="PST6"/>
      <c r="PSU6"/>
      <c r="PSV6"/>
      <c r="PSW6"/>
      <c r="PSX6"/>
      <c r="PSY6"/>
      <c r="PSZ6"/>
      <c r="PTA6"/>
      <c r="PTB6"/>
      <c r="PTC6"/>
      <c r="PTD6"/>
      <c r="PTE6"/>
      <c r="PTF6"/>
      <c r="PTG6"/>
      <c r="PTH6"/>
      <c r="PTI6"/>
      <c r="PTJ6"/>
      <c r="PTK6"/>
      <c r="PTL6"/>
      <c r="PTM6"/>
      <c r="PTN6"/>
      <c r="PTO6"/>
      <c r="PTP6"/>
      <c r="PTQ6"/>
      <c r="PTR6"/>
      <c r="PTS6"/>
      <c r="PTT6"/>
      <c r="PTU6"/>
      <c r="PTV6"/>
      <c r="PTW6"/>
      <c r="PTX6"/>
      <c r="PTY6"/>
      <c r="PTZ6"/>
      <c r="PUA6"/>
      <c r="PUB6"/>
      <c r="PUC6"/>
      <c r="PUD6"/>
      <c r="PUE6"/>
      <c r="PUF6"/>
      <c r="PUG6"/>
      <c r="PUH6"/>
      <c r="PUI6"/>
      <c r="PUJ6"/>
      <c r="PUK6"/>
      <c r="PUL6"/>
      <c r="PUM6"/>
      <c r="PUN6"/>
      <c r="PUO6"/>
      <c r="PUP6"/>
      <c r="PUQ6"/>
      <c r="PUR6"/>
      <c r="PUS6"/>
      <c r="PUT6"/>
      <c r="PUU6"/>
      <c r="PUV6"/>
      <c r="PUW6"/>
      <c r="PUX6"/>
      <c r="PUY6"/>
      <c r="PUZ6"/>
      <c r="PVA6"/>
      <c r="PVB6"/>
      <c r="PVC6"/>
      <c r="PVD6"/>
      <c r="PVE6"/>
      <c r="PVF6"/>
      <c r="PVG6"/>
      <c r="PVH6"/>
      <c r="PVI6"/>
      <c r="PVJ6"/>
      <c r="PVK6"/>
      <c r="PVL6"/>
      <c r="PVM6"/>
      <c r="PVN6"/>
      <c r="PVO6"/>
      <c r="PVP6"/>
      <c r="PVQ6"/>
      <c r="PVR6"/>
      <c r="PVS6"/>
      <c r="PVT6"/>
      <c r="PVU6"/>
      <c r="PVV6"/>
      <c r="PVW6"/>
      <c r="PVX6"/>
      <c r="PVY6"/>
      <c r="PVZ6"/>
      <c r="PWA6"/>
      <c r="PWB6"/>
      <c r="PWC6"/>
      <c r="PWD6"/>
      <c r="PWE6"/>
      <c r="PWF6"/>
      <c r="PWG6"/>
      <c r="PWH6"/>
      <c r="PWI6"/>
      <c r="PWJ6"/>
      <c r="PWK6"/>
      <c r="PWL6"/>
      <c r="PWM6"/>
      <c r="PWN6"/>
      <c r="PWO6"/>
      <c r="PWP6"/>
      <c r="PWQ6"/>
      <c r="PWR6"/>
      <c r="PWS6"/>
      <c r="PWT6"/>
      <c r="PWU6"/>
      <c r="PWV6"/>
      <c r="PWW6"/>
      <c r="PWX6"/>
      <c r="PWY6"/>
      <c r="PWZ6"/>
      <c r="PXA6"/>
      <c r="PXB6"/>
      <c r="PXC6"/>
      <c r="PXD6"/>
      <c r="PXE6"/>
      <c r="PXF6"/>
      <c r="PXG6"/>
      <c r="PXH6"/>
      <c r="PXI6"/>
      <c r="PXJ6"/>
      <c r="PXK6"/>
      <c r="PXL6"/>
      <c r="PXM6"/>
      <c r="PXN6"/>
      <c r="PXO6"/>
      <c r="PXP6"/>
      <c r="PXQ6"/>
      <c r="PXR6"/>
      <c r="PXS6"/>
      <c r="PXT6"/>
      <c r="PXU6"/>
      <c r="PXV6"/>
      <c r="PXW6"/>
      <c r="PXX6"/>
      <c r="PXY6"/>
      <c r="PXZ6"/>
      <c r="PYA6"/>
      <c r="PYB6"/>
      <c r="PYC6"/>
      <c r="PYD6"/>
      <c r="PYE6"/>
      <c r="PYF6"/>
      <c r="PYG6"/>
      <c r="PYH6"/>
      <c r="PYI6"/>
      <c r="PYJ6"/>
      <c r="PYK6"/>
      <c r="PYL6"/>
      <c r="PYM6"/>
      <c r="PYN6"/>
      <c r="PYO6"/>
      <c r="PYP6"/>
      <c r="PYQ6"/>
      <c r="PYR6"/>
      <c r="PYS6"/>
      <c r="PYT6"/>
      <c r="PYU6"/>
      <c r="PYV6"/>
      <c r="PYW6"/>
      <c r="PYX6"/>
      <c r="PYY6"/>
      <c r="PYZ6"/>
      <c r="PZA6"/>
      <c r="PZB6"/>
      <c r="PZC6"/>
      <c r="PZD6"/>
      <c r="PZE6"/>
      <c r="PZF6"/>
      <c r="PZG6"/>
      <c r="PZH6"/>
      <c r="PZI6"/>
      <c r="PZJ6"/>
      <c r="PZK6"/>
      <c r="PZL6"/>
      <c r="PZM6"/>
      <c r="PZN6"/>
      <c r="PZO6"/>
      <c r="PZP6"/>
      <c r="PZQ6"/>
      <c r="PZR6"/>
      <c r="PZS6"/>
      <c r="PZT6"/>
      <c r="PZU6"/>
      <c r="PZV6"/>
      <c r="PZW6"/>
      <c r="PZX6"/>
      <c r="PZY6"/>
      <c r="PZZ6"/>
      <c r="QAA6"/>
      <c r="QAB6"/>
      <c r="QAC6"/>
      <c r="QAD6"/>
      <c r="QAE6"/>
      <c r="QAF6"/>
      <c r="QAG6"/>
      <c r="QAH6"/>
      <c r="QAI6"/>
      <c r="QAJ6"/>
      <c r="QAK6"/>
      <c r="QAL6"/>
      <c r="QAM6"/>
      <c r="QAN6"/>
      <c r="QAO6"/>
      <c r="QAP6"/>
      <c r="QAQ6"/>
      <c r="QAR6"/>
      <c r="QAS6"/>
      <c r="QAT6"/>
      <c r="QAU6"/>
      <c r="QAV6"/>
      <c r="QAW6"/>
      <c r="QAX6"/>
      <c r="QAY6"/>
      <c r="QAZ6"/>
      <c r="QBA6"/>
      <c r="QBB6"/>
      <c r="QBC6"/>
      <c r="QBD6"/>
      <c r="QBE6"/>
      <c r="QBF6"/>
      <c r="QBG6"/>
      <c r="QBH6"/>
      <c r="QBI6"/>
      <c r="QBJ6"/>
      <c r="QBK6"/>
      <c r="QBL6"/>
      <c r="QBM6"/>
      <c r="QBN6"/>
      <c r="QBO6"/>
      <c r="QBP6"/>
      <c r="QBQ6"/>
      <c r="QBR6"/>
      <c r="QBS6"/>
      <c r="QBT6"/>
      <c r="QBU6"/>
      <c r="QBV6"/>
      <c r="QBW6"/>
      <c r="QBX6"/>
      <c r="QBY6"/>
      <c r="QBZ6"/>
      <c r="QCA6"/>
      <c r="QCB6"/>
      <c r="QCC6"/>
      <c r="QCD6"/>
      <c r="QCE6"/>
      <c r="QCF6"/>
      <c r="QCG6"/>
      <c r="QCH6"/>
      <c r="QCI6"/>
      <c r="QCJ6"/>
      <c r="QCK6"/>
      <c r="QCL6"/>
      <c r="QCM6"/>
      <c r="QCN6"/>
      <c r="QCO6"/>
      <c r="QCP6"/>
      <c r="QCQ6"/>
      <c r="QCR6"/>
      <c r="QCS6"/>
      <c r="QCT6"/>
      <c r="QCU6"/>
      <c r="QCV6"/>
      <c r="QCW6"/>
      <c r="QCX6"/>
      <c r="QCY6"/>
      <c r="QCZ6"/>
      <c r="QDA6"/>
      <c r="QDB6"/>
      <c r="QDC6"/>
      <c r="QDD6"/>
      <c r="QDE6"/>
      <c r="QDF6"/>
      <c r="QDG6"/>
      <c r="QDH6"/>
      <c r="QDI6"/>
      <c r="QDJ6"/>
      <c r="QDK6"/>
      <c r="QDL6"/>
      <c r="QDM6"/>
      <c r="QDN6"/>
      <c r="QDO6"/>
      <c r="QDP6"/>
      <c r="QDQ6"/>
      <c r="QDR6"/>
      <c r="QDS6"/>
      <c r="QDT6"/>
      <c r="QDU6"/>
      <c r="QDV6"/>
      <c r="QDW6"/>
      <c r="QDX6"/>
      <c r="QDY6"/>
      <c r="QDZ6"/>
      <c r="QEA6"/>
      <c r="QEB6"/>
      <c r="QEC6"/>
      <c r="QED6"/>
      <c r="QEE6"/>
      <c r="QEF6"/>
      <c r="QEG6"/>
      <c r="QEH6"/>
      <c r="QEI6"/>
      <c r="QEJ6"/>
      <c r="QEK6"/>
      <c r="QEL6"/>
      <c r="QEM6"/>
      <c r="QEN6"/>
      <c r="QEO6"/>
      <c r="QEP6"/>
      <c r="QEQ6"/>
      <c r="QER6"/>
      <c r="QES6"/>
      <c r="QET6"/>
      <c r="QEU6"/>
      <c r="QEV6"/>
      <c r="QEW6"/>
      <c r="QEX6"/>
      <c r="QEY6"/>
      <c r="QEZ6"/>
      <c r="QFA6"/>
      <c r="QFB6"/>
      <c r="QFC6"/>
      <c r="QFD6"/>
      <c r="QFE6"/>
      <c r="QFF6"/>
      <c r="QFG6"/>
      <c r="QFH6"/>
      <c r="QFI6"/>
      <c r="QFJ6"/>
      <c r="QFK6"/>
      <c r="QFL6"/>
      <c r="QFM6"/>
      <c r="QFN6"/>
      <c r="QFO6"/>
      <c r="QFP6"/>
      <c r="QFQ6"/>
      <c r="QFR6"/>
      <c r="QFS6"/>
      <c r="QFT6"/>
      <c r="QFU6"/>
      <c r="QFV6"/>
      <c r="QFW6"/>
      <c r="QFX6"/>
      <c r="QFY6"/>
      <c r="QFZ6"/>
      <c r="QGA6"/>
      <c r="QGB6"/>
      <c r="QGC6"/>
      <c r="QGD6"/>
      <c r="QGE6"/>
      <c r="QGF6"/>
      <c r="QGG6"/>
      <c r="QGH6"/>
      <c r="QGI6"/>
      <c r="QGJ6"/>
      <c r="QGK6"/>
      <c r="QGL6"/>
      <c r="QGM6"/>
      <c r="QGN6"/>
      <c r="QGO6"/>
      <c r="QGP6"/>
      <c r="QGQ6"/>
      <c r="QGR6"/>
      <c r="QGS6"/>
      <c r="QGT6"/>
      <c r="QGU6"/>
      <c r="QGV6"/>
      <c r="QGW6"/>
      <c r="QGX6"/>
      <c r="QGY6"/>
      <c r="QGZ6"/>
      <c r="QHA6"/>
      <c r="QHB6"/>
      <c r="QHC6"/>
      <c r="QHD6"/>
      <c r="QHE6"/>
      <c r="QHF6"/>
      <c r="QHG6"/>
      <c r="QHH6"/>
      <c r="QHI6"/>
      <c r="QHJ6"/>
      <c r="QHK6"/>
      <c r="QHL6"/>
      <c r="QHM6"/>
      <c r="QHN6"/>
      <c r="QHO6"/>
      <c r="QHP6"/>
      <c r="QHQ6"/>
      <c r="QHR6"/>
      <c r="QHS6"/>
      <c r="QHT6"/>
      <c r="QHU6"/>
      <c r="QHV6"/>
      <c r="QHW6"/>
      <c r="QHX6"/>
      <c r="QHY6"/>
      <c r="QHZ6"/>
      <c r="QIA6"/>
      <c r="QIB6"/>
      <c r="QIC6"/>
      <c r="QID6"/>
      <c r="QIE6"/>
      <c r="QIF6"/>
      <c r="QIG6"/>
      <c r="QIH6"/>
      <c r="QII6"/>
      <c r="QIJ6"/>
      <c r="QIK6"/>
      <c r="QIL6"/>
      <c r="QIM6"/>
      <c r="QIN6"/>
      <c r="QIO6"/>
      <c r="QIP6"/>
      <c r="QIQ6"/>
      <c r="QIR6"/>
      <c r="QIS6"/>
      <c r="QIT6"/>
      <c r="QIU6"/>
      <c r="QIV6"/>
      <c r="QIW6"/>
      <c r="QIX6"/>
      <c r="QIY6"/>
      <c r="QIZ6"/>
      <c r="QJA6"/>
      <c r="QJB6"/>
      <c r="QJC6"/>
      <c r="QJD6"/>
      <c r="QJE6"/>
      <c r="QJF6"/>
      <c r="QJG6"/>
      <c r="QJH6"/>
      <c r="QJI6"/>
      <c r="QJJ6"/>
      <c r="QJK6"/>
      <c r="QJL6"/>
      <c r="QJM6"/>
      <c r="QJN6"/>
      <c r="QJO6"/>
      <c r="QJP6"/>
      <c r="QJQ6"/>
      <c r="QJR6"/>
      <c r="QJS6"/>
      <c r="QJT6"/>
      <c r="QJU6"/>
      <c r="QJV6"/>
      <c r="QJW6"/>
      <c r="QJX6"/>
      <c r="QJY6"/>
      <c r="QJZ6"/>
      <c r="QKA6"/>
      <c r="QKB6"/>
      <c r="QKC6"/>
      <c r="QKD6"/>
      <c r="QKE6"/>
      <c r="QKF6"/>
      <c r="QKG6"/>
      <c r="QKH6"/>
      <c r="QKI6"/>
      <c r="QKJ6"/>
      <c r="QKK6"/>
      <c r="QKL6"/>
      <c r="QKM6"/>
      <c r="QKN6"/>
      <c r="QKO6"/>
      <c r="QKP6"/>
      <c r="QKQ6"/>
      <c r="QKR6"/>
      <c r="QKS6"/>
      <c r="QKT6"/>
      <c r="QKU6"/>
      <c r="QKV6"/>
      <c r="QKW6"/>
      <c r="QKX6"/>
      <c r="QKY6"/>
      <c r="QKZ6"/>
      <c r="QLA6"/>
      <c r="QLB6"/>
      <c r="QLC6"/>
      <c r="QLD6"/>
      <c r="QLE6"/>
      <c r="QLF6"/>
      <c r="QLG6"/>
      <c r="QLH6"/>
      <c r="QLI6"/>
      <c r="QLJ6"/>
      <c r="QLK6"/>
      <c r="QLL6"/>
      <c r="QLM6"/>
      <c r="QLN6"/>
      <c r="QLO6"/>
      <c r="QLP6"/>
      <c r="QLQ6"/>
      <c r="QLR6"/>
      <c r="QLS6"/>
      <c r="QLT6"/>
      <c r="QLU6"/>
      <c r="QLV6"/>
      <c r="QLW6"/>
      <c r="QLX6"/>
      <c r="QLY6"/>
      <c r="QLZ6"/>
      <c r="QMA6"/>
      <c r="QMB6"/>
      <c r="QMC6"/>
      <c r="QMD6"/>
      <c r="QME6"/>
      <c r="QMF6"/>
      <c r="QMG6"/>
      <c r="QMH6"/>
      <c r="QMI6"/>
      <c r="QMJ6"/>
      <c r="QMK6"/>
      <c r="QML6"/>
      <c r="QMM6"/>
      <c r="QMN6"/>
      <c r="QMO6"/>
      <c r="QMP6"/>
      <c r="QMQ6"/>
      <c r="QMR6"/>
      <c r="QMS6"/>
      <c r="QMT6"/>
      <c r="QMU6"/>
      <c r="QMV6"/>
      <c r="QMW6"/>
      <c r="QMX6"/>
      <c r="QMY6"/>
      <c r="QMZ6"/>
      <c r="QNA6"/>
      <c r="QNB6"/>
      <c r="QNC6"/>
      <c r="QND6"/>
      <c r="QNE6"/>
      <c r="QNF6"/>
      <c r="QNG6"/>
      <c r="QNH6"/>
      <c r="QNI6"/>
      <c r="QNJ6"/>
      <c r="QNK6"/>
      <c r="QNL6"/>
      <c r="QNM6"/>
      <c r="QNN6"/>
      <c r="QNO6"/>
      <c r="QNP6"/>
      <c r="QNQ6"/>
      <c r="QNR6"/>
      <c r="QNS6"/>
      <c r="QNT6"/>
      <c r="QNU6"/>
      <c r="QNV6"/>
      <c r="QNW6"/>
      <c r="QNX6"/>
      <c r="QNY6"/>
      <c r="QNZ6"/>
      <c r="QOA6"/>
      <c r="QOB6"/>
      <c r="QOC6"/>
      <c r="QOD6"/>
      <c r="QOE6"/>
      <c r="QOF6"/>
      <c r="QOG6"/>
      <c r="QOH6"/>
      <c r="QOI6"/>
      <c r="QOJ6"/>
      <c r="QOK6"/>
      <c r="QOL6"/>
      <c r="QOM6"/>
      <c r="QON6"/>
      <c r="QOO6"/>
      <c r="QOP6"/>
      <c r="QOQ6"/>
      <c r="QOR6"/>
      <c r="QOS6"/>
      <c r="QOT6"/>
      <c r="QOU6"/>
      <c r="QOV6"/>
      <c r="QOW6"/>
      <c r="QOX6"/>
      <c r="QOY6"/>
      <c r="QOZ6"/>
      <c r="QPA6"/>
      <c r="QPB6"/>
      <c r="QPC6"/>
      <c r="QPD6"/>
      <c r="QPE6"/>
      <c r="QPF6"/>
      <c r="QPG6"/>
      <c r="QPH6"/>
      <c r="QPI6"/>
      <c r="QPJ6"/>
      <c r="QPK6"/>
      <c r="QPL6"/>
      <c r="QPM6"/>
      <c r="QPN6"/>
      <c r="QPO6"/>
      <c r="QPP6"/>
      <c r="QPQ6"/>
      <c r="QPR6"/>
      <c r="QPS6"/>
      <c r="QPT6"/>
      <c r="QPU6"/>
      <c r="QPV6"/>
      <c r="QPW6"/>
      <c r="QPX6"/>
      <c r="QPY6"/>
      <c r="QPZ6"/>
      <c r="QQA6"/>
      <c r="QQB6"/>
      <c r="QQC6"/>
      <c r="QQD6"/>
      <c r="QQE6"/>
      <c r="QQF6"/>
      <c r="QQG6"/>
      <c r="QQH6"/>
      <c r="QQI6"/>
      <c r="QQJ6"/>
      <c r="QQK6"/>
      <c r="QQL6"/>
      <c r="QQM6"/>
      <c r="QQN6"/>
      <c r="QQO6"/>
      <c r="QQP6"/>
      <c r="QQQ6"/>
      <c r="QQR6"/>
      <c r="QQS6"/>
      <c r="QQT6"/>
      <c r="QQU6"/>
      <c r="QQV6"/>
      <c r="QQW6"/>
      <c r="QQX6"/>
      <c r="QQY6"/>
      <c r="QQZ6"/>
      <c r="QRA6"/>
      <c r="QRB6"/>
      <c r="QRC6"/>
      <c r="QRD6"/>
      <c r="QRE6"/>
      <c r="QRF6"/>
      <c r="QRG6"/>
      <c r="QRH6"/>
      <c r="QRI6"/>
      <c r="QRJ6"/>
      <c r="QRK6"/>
      <c r="QRL6"/>
      <c r="QRM6"/>
      <c r="QRN6"/>
      <c r="QRO6"/>
      <c r="QRP6"/>
      <c r="QRQ6"/>
      <c r="QRR6"/>
      <c r="QRS6"/>
      <c r="QRT6"/>
      <c r="QRU6"/>
      <c r="QRV6"/>
      <c r="QRW6"/>
      <c r="QRX6"/>
      <c r="QRY6"/>
      <c r="QRZ6"/>
      <c r="QSA6"/>
      <c r="QSB6"/>
      <c r="QSC6"/>
      <c r="QSD6"/>
      <c r="QSE6"/>
      <c r="QSF6"/>
      <c r="QSG6"/>
      <c r="QSH6"/>
      <c r="QSI6"/>
      <c r="QSJ6"/>
      <c r="QSK6"/>
      <c r="QSL6"/>
      <c r="QSM6"/>
      <c r="QSN6"/>
      <c r="QSO6"/>
      <c r="QSP6"/>
      <c r="QSQ6"/>
      <c r="QSR6"/>
      <c r="QSS6"/>
      <c r="QST6"/>
      <c r="QSU6"/>
      <c r="QSV6"/>
      <c r="QSW6"/>
      <c r="QSX6"/>
      <c r="QSY6"/>
      <c r="QSZ6"/>
      <c r="QTA6"/>
      <c r="QTB6"/>
      <c r="QTC6"/>
      <c r="QTD6"/>
      <c r="QTE6"/>
      <c r="QTF6"/>
      <c r="QTG6"/>
      <c r="QTH6"/>
      <c r="QTI6"/>
      <c r="QTJ6"/>
      <c r="QTK6"/>
      <c r="QTL6"/>
      <c r="QTM6"/>
      <c r="QTN6"/>
      <c r="QTO6"/>
      <c r="QTP6"/>
      <c r="QTQ6"/>
      <c r="QTR6"/>
      <c r="QTS6"/>
      <c r="QTT6"/>
      <c r="QTU6"/>
      <c r="QTV6"/>
      <c r="QTW6"/>
      <c r="QTX6"/>
      <c r="QTY6"/>
      <c r="QTZ6"/>
      <c r="QUA6"/>
      <c r="QUB6"/>
      <c r="QUC6"/>
      <c r="QUD6"/>
      <c r="QUE6"/>
      <c r="QUF6"/>
      <c r="QUG6"/>
      <c r="QUH6"/>
      <c r="QUI6"/>
      <c r="QUJ6"/>
      <c r="QUK6"/>
      <c r="QUL6"/>
      <c r="QUM6"/>
      <c r="QUN6"/>
      <c r="QUO6"/>
      <c r="QUP6"/>
      <c r="QUQ6"/>
      <c r="QUR6"/>
      <c r="QUS6"/>
      <c r="QUT6"/>
      <c r="QUU6"/>
      <c r="QUV6"/>
      <c r="QUW6"/>
      <c r="QUX6"/>
      <c r="QUY6"/>
      <c r="QUZ6"/>
      <c r="QVA6"/>
      <c r="QVB6"/>
      <c r="QVC6"/>
      <c r="QVD6"/>
      <c r="QVE6"/>
      <c r="QVF6"/>
      <c r="QVG6"/>
      <c r="QVH6"/>
      <c r="QVI6"/>
      <c r="QVJ6"/>
      <c r="QVK6"/>
      <c r="QVL6"/>
      <c r="QVM6"/>
      <c r="QVN6"/>
      <c r="QVO6"/>
      <c r="QVP6"/>
      <c r="QVQ6"/>
      <c r="QVR6"/>
      <c r="QVS6"/>
      <c r="QVT6"/>
      <c r="QVU6"/>
      <c r="QVV6"/>
      <c r="QVW6"/>
      <c r="QVX6"/>
      <c r="QVY6"/>
      <c r="QVZ6"/>
      <c r="QWA6"/>
      <c r="QWB6"/>
      <c r="QWC6"/>
      <c r="QWD6"/>
      <c r="QWE6"/>
      <c r="QWF6"/>
      <c r="QWG6"/>
      <c r="QWH6"/>
      <c r="QWI6"/>
      <c r="QWJ6"/>
      <c r="QWK6"/>
      <c r="QWL6"/>
      <c r="QWM6"/>
      <c r="QWN6"/>
      <c r="QWO6"/>
      <c r="QWP6"/>
      <c r="QWQ6"/>
      <c r="QWR6"/>
      <c r="QWS6"/>
      <c r="QWT6"/>
      <c r="QWU6"/>
      <c r="QWV6"/>
      <c r="QWW6"/>
      <c r="QWX6"/>
      <c r="QWY6"/>
      <c r="QWZ6"/>
      <c r="QXA6"/>
      <c r="QXB6"/>
      <c r="QXC6"/>
      <c r="QXD6"/>
      <c r="QXE6"/>
      <c r="QXF6"/>
      <c r="QXG6"/>
      <c r="QXH6"/>
      <c r="QXI6"/>
      <c r="QXJ6"/>
      <c r="QXK6"/>
      <c r="QXL6"/>
      <c r="QXM6"/>
      <c r="QXN6"/>
      <c r="QXO6"/>
      <c r="QXP6"/>
      <c r="QXQ6"/>
      <c r="QXR6"/>
      <c r="QXS6"/>
      <c r="QXT6"/>
      <c r="QXU6"/>
      <c r="QXV6"/>
      <c r="QXW6"/>
      <c r="QXX6"/>
      <c r="QXY6"/>
      <c r="QXZ6"/>
      <c r="QYA6"/>
      <c r="QYB6"/>
      <c r="QYC6"/>
      <c r="QYD6"/>
      <c r="QYE6"/>
      <c r="QYF6"/>
      <c r="QYG6"/>
      <c r="QYH6"/>
      <c r="QYI6"/>
      <c r="QYJ6"/>
      <c r="QYK6"/>
      <c r="QYL6"/>
      <c r="QYM6"/>
      <c r="QYN6"/>
      <c r="QYO6"/>
      <c r="QYP6"/>
      <c r="QYQ6"/>
      <c r="QYR6"/>
      <c r="QYS6"/>
      <c r="QYT6"/>
      <c r="QYU6"/>
      <c r="QYV6"/>
      <c r="QYW6"/>
      <c r="QYX6"/>
      <c r="QYY6"/>
      <c r="QYZ6"/>
      <c r="QZA6"/>
      <c r="QZB6"/>
      <c r="QZC6"/>
      <c r="QZD6"/>
      <c r="QZE6"/>
      <c r="QZF6"/>
      <c r="QZG6"/>
      <c r="QZH6"/>
      <c r="QZI6"/>
      <c r="QZJ6"/>
      <c r="QZK6"/>
      <c r="QZL6"/>
      <c r="QZM6"/>
      <c r="QZN6"/>
      <c r="QZO6"/>
      <c r="QZP6"/>
      <c r="QZQ6"/>
      <c r="QZR6"/>
      <c r="QZS6"/>
      <c r="QZT6"/>
      <c r="QZU6"/>
      <c r="QZV6"/>
      <c r="QZW6"/>
      <c r="QZX6"/>
      <c r="QZY6"/>
      <c r="QZZ6"/>
      <c r="RAA6"/>
      <c r="RAB6"/>
      <c r="RAC6"/>
      <c r="RAD6"/>
      <c r="RAE6"/>
      <c r="RAF6"/>
      <c r="RAG6"/>
      <c r="RAH6"/>
      <c r="RAI6"/>
      <c r="RAJ6"/>
      <c r="RAK6"/>
      <c r="RAL6"/>
      <c r="RAM6"/>
      <c r="RAN6"/>
      <c r="RAO6"/>
      <c r="RAP6"/>
      <c r="RAQ6"/>
      <c r="RAR6"/>
      <c r="RAS6"/>
      <c r="RAT6"/>
      <c r="RAU6"/>
      <c r="RAV6"/>
      <c r="RAW6"/>
      <c r="RAX6"/>
      <c r="RAY6"/>
      <c r="RAZ6"/>
      <c r="RBA6"/>
      <c r="RBB6"/>
      <c r="RBC6"/>
      <c r="RBD6"/>
      <c r="RBE6"/>
      <c r="RBF6"/>
      <c r="RBG6"/>
      <c r="RBH6"/>
      <c r="RBI6"/>
      <c r="RBJ6"/>
      <c r="RBK6"/>
      <c r="RBL6"/>
      <c r="RBM6"/>
      <c r="RBN6"/>
      <c r="RBO6"/>
      <c r="RBP6"/>
      <c r="RBQ6"/>
      <c r="RBR6"/>
      <c r="RBS6"/>
      <c r="RBT6"/>
      <c r="RBU6"/>
      <c r="RBV6"/>
      <c r="RBW6"/>
      <c r="RBX6"/>
      <c r="RBY6"/>
      <c r="RBZ6"/>
      <c r="RCA6"/>
      <c r="RCB6"/>
      <c r="RCC6"/>
      <c r="RCD6"/>
      <c r="RCE6"/>
      <c r="RCF6"/>
      <c r="RCG6"/>
      <c r="RCH6"/>
      <c r="RCI6"/>
      <c r="RCJ6"/>
      <c r="RCK6"/>
      <c r="RCL6"/>
      <c r="RCM6"/>
      <c r="RCN6"/>
      <c r="RCO6"/>
      <c r="RCP6"/>
      <c r="RCQ6"/>
      <c r="RCR6"/>
      <c r="RCS6"/>
      <c r="RCT6"/>
      <c r="RCU6"/>
      <c r="RCV6"/>
      <c r="RCW6"/>
      <c r="RCX6"/>
      <c r="RCY6"/>
      <c r="RCZ6"/>
      <c r="RDA6"/>
      <c r="RDB6"/>
      <c r="RDC6"/>
      <c r="RDD6"/>
      <c r="RDE6"/>
      <c r="RDF6"/>
      <c r="RDG6"/>
      <c r="RDH6"/>
      <c r="RDI6"/>
      <c r="RDJ6"/>
      <c r="RDK6"/>
      <c r="RDL6"/>
      <c r="RDM6"/>
      <c r="RDN6"/>
      <c r="RDO6"/>
      <c r="RDP6"/>
      <c r="RDQ6"/>
      <c r="RDR6"/>
      <c r="RDS6"/>
      <c r="RDT6"/>
      <c r="RDU6"/>
      <c r="RDV6"/>
      <c r="RDW6"/>
      <c r="RDX6"/>
      <c r="RDY6"/>
      <c r="RDZ6"/>
      <c r="REA6"/>
      <c r="REB6"/>
      <c r="REC6"/>
      <c r="RED6"/>
      <c r="REE6"/>
      <c r="REF6"/>
      <c r="REG6"/>
      <c r="REH6"/>
      <c r="REI6"/>
      <c r="REJ6"/>
      <c r="REK6"/>
      <c r="REL6"/>
      <c r="REM6"/>
      <c r="REN6"/>
      <c r="REO6"/>
      <c r="REP6"/>
      <c r="REQ6"/>
      <c r="RER6"/>
      <c r="RES6"/>
      <c r="RET6"/>
      <c r="REU6"/>
      <c r="REV6"/>
      <c r="REW6"/>
      <c r="REX6"/>
      <c r="REY6"/>
      <c r="REZ6"/>
      <c r="RFA6"/>
      <c r="RFB6"/>
      <c r="RFC6"/>
      <c r="RFD6"/>
      <c r="RFE6"/>
      <c r="RFF6"/>
      <c r="RFG6"/>
      <c r="RFH6"/>
      <c r="RFI6"/>
      <c r="RFJ6"/>
      <c r="RFK6"/>
      <c r="RFL6"/>
      <c r="RFM6"/>
      <c r="RFN6"/>
      <c r="RFO6"/>
      <c r="RFP6"/>
      <c r="RFQ6"/>
      <c r="RFR6"/>
      <c r="RFS6"/>
      <c r="RFT6"/>
      <c r="RFU6"/>
      <c r="RFV6"/>
      <c r="RFW6"/>
      <c r="RFX6"/>
      <c r="RFY6"/>
      <c r="RFZ6"/>
      <c r="RGA6"/>
      <c r="RGB6"/>
      <c r="RGC6"/>
      <c r="RGD6"/>
      <c r="RGE6"/>
      <c r="RGF6"/>
      <c r="RGG6"/>
      <c r="RGH6"/>
      <c r="RGI6"/>
      <c r="RGJ6"/>
      <c r="RGK6"/>
      <c r="RGL6"/>
      <c r="RGM6"/>
      <c r="RGN6"/>
      <c r="RGO6"/>
      <c r="RGP6"/>
      <c r="RGQ6"/>
      <c r="RGR6"/>
      <c r="RGS6"/>
      <c r="RGT6"/>
      <c r="RGU6"/>
      <c r="RGV6"/>
      <c r="RGW6"/>
      <c r="RGX6"/>
      <c r="RGY6"/>
      <c r="RGZ6"/>
      <c r="RHA6"/>
      <c r="RHB6"/>
      <c r="RHC6"/>
      <c r="RHD6"/>
      <c r="RHE6"/>
      <c r="RHF6"/>
      <c r="RHG6"/>
      <c r="RHH6"/>
      <c r="RHI6"/>
      <c r="RHJ6"/>
      <c r="RHK6"/>
      <c r="RHL6"/>
      <c r="RHM6"/>
      <c r="RHN6"/>
      <c r="RHO6"/>
      <c r="RHP6"/>
      <c r="RHQ6"/>
      <c r="RHR6"/>
      <c r="RHS6"/>
      <c r="RHT6"/>
      <c r="RHU6"/>
      <c r="RHV6"/>
      <c r="RHW6"/>
      <c r="RHX6"/>
      <c r="RHY6"/>
      <c r="RHZ6"/>
      <c r="RIA6"/>
      <c r="RIB6"/>
      <c r="RIC6"/>
      <c r="RID6"/>
      <c r="RIE6"/>
      <c r="RIF6"/>
      <c r="RIG6"/>
      <c r="RIH6"/>
      <c r="RII6"/>
      <c r="RIJ6"/>
      <c r="RIK6"/>
      <c r="RIL6"/>
      <c r="RIM6"/>
      <c r="RIN6"/>
      <c r="RIO6"/>
      <c r="RIP6"/>
      <c r="RIQ6"/>
      <c r="RIR6"/>
      <c r="RIS6"/>
      <c r="RIT6"/>
      <c r="RIU6"/>
      <c r="RIV6"/>
      <c r="RIW6"/>
      <c r="RIX6"/>
      <c r="RIY6"/>
      <c r="RIZ6"/>
      <c r="RJA6"/>
      <c r="RJB6"/>
      <c r="RJC6"/>
      <c r="RJD6"/>
      <c r="RJE6"/>
      <c r="RJF6"/>
      <c r="RJG6"/>
      <c r="RJH6"/>
      <c r="RJI6"/>
      <c r="RJJ6"/>
      <c r="RJK6"/>
      <c r="RJL6"/>
      <c r="RJM6"/>
      <c r="RJN6"/>
      <c r="RJO6"/>
      <c r="RJP6"/>
      <c r="RJQ6"/>
      <c r="RJR6"/>
      <c r="RJS6"/>
      <c r="RJT6"/>
      <c r="RJU6"/>
      <c r="RJV6"/>
      <c r="RJW6"/>
      <c r="RJX6"/>
      <c r="RJY6"/>
      <c r="RJZ6"/>
      <c r="RKA6"/>
      <c r="RKB6"/>
      <c r="RKC6"/>
      <c r="RKD6"/>
      <c r="RKE6"/>
      <c r="RKF6"/>
      <c r="RKG6"/>
      <c r="RKH6"/>
      <c r="RKI6"/>
      <c r="RKJ6"/>
      <c r="RKK6"/>
      <c r="RKL6"/>
      <c r="RKM6"/>
      <c r="RKN6"/>
      <c r="RKO6"/>
      <c r="RKP6"/>
      <c r="RKQ6"/>
      <c r="RKR6"/>
      <c r="RKS6"/>
      <c r="RKT6"/>
      <c r="RKU6"/>
      <c r="RKV6"/>
      <c r="RKW6"/>
      <c r="RKX6"/>
      <c r="RKY6"/>
      <c r="RKZ6"/>
      <c r="RLA6"/>
      <c r="RLB6"/>
      <c r="RLC6"/>
      <c r="RLD6"/>
      <c r="RLE6"/>
      <c r="RLF6"/>
      <c r="RLG6"/>
      <c r="RLH6"/>
      <c r="RLI6"/>
      <c r="RLJ6"/>
      <c r="RLK6"/>
      <c r="RLL6"/>
      <c r="RLM6"/>
      <c r="RLN6"/>
      <c r="RLO6"/>
      <c r="RLP6"/>
      <c r="RLQ6"/>
      <c r="RLR6"/>
      <c r="RLS6"/>
      <c r="RLT6"/>
      <c r="RLU6"/>
      <c r="RLV6"/>
      <c r="RLW6"/>
      <c r="RLX6"/>
      <c r="RLY6"/>
      <c r="RLZ6"/>
      <c r="RMA6"/>
      <c r="RMB6"/>
      <c r="RMC6"/>
      <c r="RMD6"/>
      <c r="RME6"/>
      <c r="RMF6"/>
      <c r="RMG6"/>
      <c r="RMH6"/>
      <c r="RMI6"/>
      <c r="RMJ6"/>
      <c r="RMK6"/>
      <c r="RML6"/>
      <c r="RMM6"/>
      <c r="RMN6"/>
      <c r="RMO6"/>
      <c r="RMP6"/>
      <c r="RMQ6"/>
      <c r="RMR6"/>
      <c r="RMS6"/>
      <c r="RMT6"/>
      <c r="RMU6"/>
      <c r="RMV6"/>
      <c r="RMW6"/>
      <c r="RMX6"/>
      <c r="RMY6"/>
      <c r="RMZ6"/>
      <c r="RNA6"/>
      <c r="RNB6"/>
      <c r="RNC6"/>
      <c r="RND6"/>
      <c r="RNE6"/>
      <c r="RNF6"/>
      <c r="RNG6"/>
      <c r="RNH6"/>
      <c r="RNI6"/>
      <c r="RNJ6"/>
      <c r="RNK6"/>
      <c r="RNL6"/>
      <c r="RNM6"/>
      <c r="RNN6"/>
      <c r="RNO6"/>
      <c r="RNP6"/>
      <c r="RNQ6"/>
      <c r="RNR6"/>
      <c r="RNS6"/>
      <c r="RNT6"/>
      <c r="RNU6"/>
      <c r="RNV6"/>
      <c r="RNW6"/>
      <c r="RNX6"/>
      <c r="RNY6"/>
      <c r="RNZ6"/>
      <c r="ROA6"/>
      <c r="ROB6"/>
      <c r="ROC6"/>
      <c r="ROD6"/>
      <c r="ROE6"/>
      <c r="ROF6"/>
      <c r="ROG6"/>
      <c r="ROH6"/>
      <c r="ROI6"/>
      <c r="ROJ6"/>
      <c r="ROK6"/>
      <c r="ROL6"/>
      <c r="ROM6"/>
      <c r="RON6"/>
      <c r="ROO6"/>
      <c r="ROP6"/>
      <c r="ROQ6"/>
      <c r="ROR6"/>
      <c r="ROS6"/>
      <c r="ROT6"/>
      <c r="ROU6"/>
      <c r="ROV6"/>
      <c r="ROW6"/>
      <c r="ROX6"/>
      <c r="ROY6"/>
      <c r="ROZ6"/>
      <c r="RPA6"/>
      <c r="RPB6"/>
      <c r="RPC6"/>
      <c r="RPD6"/>
      <c r="RPE6"/>
      <c r="RPF6"/>
      <c r="RPG6"/>
      <c r="RPH6"/>
      <c r="RPI6"/>
      <c r="RPJ6"/>
      <c r="RPK6"/>
      <c r="RPL6"/>
      <c r="RPM6"/>
      <c r="RPN6"/>
      <c r="RPO6"/>
      <c r="RPP6"/>
      <c r="RPQ6"/>
      <c r="RPR6"/>
      <c r="RPS6"/>
      <c r="RPT6"/>
      <c r="RPU6"/>
      <c r="RPV6"/>
      <c r="RPW6"/>
      <c r="RPX6"/>
      <c r="RPY6"/>
      <c r="RPZ6"/>
      <c r="RQA6"/>
      <c r="RQB6"/>
      <c r="RQC6"/>
      <c r="RQD6"/>
      <c r="RQE6"/>
      <c r="RQF6"/>
      <c r="RQG6"/>
      <c r="RQH6"/>
      <c r="RQI6"/>
      <c r="RQJ6"/>
      <c r="RQK6"/>
      <c r="RQL6"/>
      <c r="RQM6"/>
      <c r="RQN6"/>
      <c r="RQO6"/>
      <c r="RQP6"/>
      <c r="RQQ6"/>
      <c r="RQR6"/>
      <c r="RQS6"/>
      <c r="RQT6"/>
      <c r="RQU6"/>
      <c r="RQV6"/>
      <c r="RQW6"/>
      <c r="RQX6"/>
      <c r="RQY6"/>
      <c r="RQZ6"/>
      <c r="RRA6"/>
      <c r="RRB6"/>
      <c r="RRC6"/>
      <c r="RRD6"/>
      <c r="RRE6"/>
      <c r="RRF6"/>
      <c r="RRG6"/>
      <c r="RRH6"/>
      <c r="RRI6"/>
      <c r="RRJ6"/>
      <c r="RRK6"/>
      <c r="RRL6"/>
      <c r="RRM6"/>
      <c r="RRN6"/>
      <c r="RRO6"/>
      <c r="RRP6"/>
      <c r="RRQ6"/>
      <c r="RRR6"/>
      <c r="RRS6"/>
      <c r="RRT6"/>
      <c r="RRU6"/>
      <c r="RRV6"/>
      <c r="RRW6"/>
      <c r="RRX6"/>
      <c r="RRY6"/>
      <c r="RRZ6"/>
      <c r="RSA6"/>
      <c r="RSB6"/>
      <c r="RSC6"/>
      <c r="RSD6"/>
      <c r="RSE6"/>
      <c r="RSF6"/>
      <c r="RSG6"/>
      <c r="RSH6"/>
      <c r="RSI6"/>
      <c r="RSJ6"/>
      <c r="RSK6"/>
      <c r="RSL6"/>
      <c r="RSM6"/>
      <c r="RSN6"/>
      <c r="RSO6"/>
      <c r="RSP6"/>
      <c r="RSQ6"/>
      <c r="RSR6"/>
      <c r="RSS6"/>
      <c r="RST6"/>
      <c r="RSU6"/>
      <c r="RSV6"/>
      <c r="RSW6"/>
      <c r="RSX6"/>
      <c r="RSY6"/>
      <c r="RSZ6"/>
      <c r="RTA6"/>
      <c r="RTB6"/>
      <c r="RTC6"/>
      <c r="RTD6"/>
      <c r="RTE6"/>
      <c r="RTF6"/>
      <c r="RTG6"/>
      <c r="RTH6"/>
      <c r="RTI6"/>
      <c r="RTJ6"/>
      <c r="RTK6"/>
      <c r="RTL6"/>
      <c r="RTM6"/>
      <c r="RTN6"/>
      <c r="RTO6"/>
      <c r="RTP6"/>
      <c r="RTQ6"/>
      <c r="RTR6"/>
      <c r="RTS6"/>
      <c r="RTT6"/>
      <c r="RTU6"/>
      <c r="RTV6"/>
      <c r="RTW6"/>
      <c r="RTX6"/>
      <c r="RTY6"/>
      <c r="RTZ6"/>
      <c r="RUA6"/>
      <c r="RUB6"/>
      <c r="RUC6"/>
      <c r="RUD6"/>
      <c r="RUE6"/>
      <c r="RUF6"/>
      <c r="RUG6"/>
      <c r="RUH6"/>
      <c r="RUI6"/>
      <c r="RUJ6"/>
      <c r="RUK6"/>
      <c r="RUL6"/>
      <c r="RUM6"/>
      <c r="RUN6"/>
      <c r="RUO6"/>
      <c r="RUP6"/>
      <c r="RUQ6"/>
      <c r="RUR6"/>
      <c r="RUS6"/>
      <c r="RUT6"/>
      <c r="RUU6"/>
      <c r="RUV6"/>
      <c r="RUW6"/>
      <c r="RUX6"/>
      <c r="RUY6"/>
      <c r="RUZ6"/>
      <c r="RVA6"/>
      <c r="RVB6"/>
      <c r="RVC6"/>
      <c r="RVD6"/>
      <c r="RVE6"/>
      <c r="RVF6"/>
      <c r="RVG6"/>
      <c r="RVH6"/>
      <c r="RVI6"/>
      <c r="RVJ6"/>
      <c r="RVK6"/>
      <c r="RVL6"/>
      <c r="RVM6"/>
      <c r="RVN6"/>
      <c r="RVO6"/>
      <c r="RVP6"/>
      <c r="RVQ6"/>
      <c r="RVR6"/>
      <c r="RVS6"/>
      <c r="RVT6"/>
      <c r="RVU6"/>
      <c r="RVV6"/>
      <c r="RVW6"/>
      <c r="RVX6"/>
      <c r="RVY6"/>
      <c r="RVZ6"/>
      <c r="RWA6"/>
      <c r="RWB6"/>
      <c r="RWC6"/>
      <c r="RWD6"/>
      <c r="RWE6"/>
      <c r="RWF6"/>
      <c r="RWG6"/>
      <c r="RWH6"/>
      <c r="RWI6"/>
      <c r="RWJ6"/>
      <c r="RWK6"/>
      <c r="RWL6"/>
      <c r="RWM6"/>
      <c r="RWN6"/>
      <c r="RWO6"/>
      <c r="RWP6"/>
      <c r="RWQ6"/>
      <c r="RWR6"/>
      <c r="RWS6"/>
      <c r="RWT6"/>
      <c r="RWU6"/>
      <c r="RWV6"/>
      <c r="RWW6"/>
      <c r="RWX6"/>
      <c r="RWY6"/>
      <c r="RWZ6"/>
      <c r="RXA6"/>
      <c r="RXB6"/>
      <c r="RXC6"/>
      <c r="RXD6"/>
      <c r="RXE6"/>
      <c r="RXF6"/>
      <c r="RXG6"/>
      <c r="RXH6"/>
      <c r="RXI6"/>
      <c r="RXJ6"/>
      <c r="RXK6"/>
      <c r="RXL6"/>
      <c r="RXM6"/>
      <c r="RXN6"/>
      <c r="RXO6"/>
      <c r="RXP6"/>
      <c r="RXQ6"/>
      <c r="RXR6"/>
      <c r="RXS6"/>
      <c r="RXT6"/>
      <c r="RXU6"/>
      <c r="RXV6"/>
      <c r="RXW6"/>
      <c r="RXX6"/>
      <c r="RXY6"/>
      <c r="RXZ6"/>
      <c r="RYA6"/>
      <c r="RYB6"/>
      <c r="RYC6"/>
      <c r="RYD6"/>
      <c r="RYE6"/>
      <c r="RYF6"/>
      <c r="RYG6"/>
      <c r="RYH6"/>
      <c r="RYI6"/>
      <c r="RYJ6"/>
      <c r="RYK6"/>
      <c r="RYL6"/>
      <c r="RYM6"/>
      <c r="RYN6"/>
      <c r="RYO6"/>
      <c r="RYP6"/>
      <c r="RYQ6"/>
      <c r="RYR6"/>
      <c r="RYS6"/>
      <c r="RYT6"/>
      <c r="RYU6"/>
      <c r="RYV6"/>
      <c r="RYW6"/>
      <c r="RYX6"/>
      <c r="RYY6"/>
      <c r="RYZ6"/>
      <c r="RZA6"/>
      <c r="RZB6"/>
      <c r="RZC6"/>
      <c r="RZD6"/>
      <c r="RZE6"/>
      <c r="RZF6"/>
      <c r="RZG6"/>
      <c r="RZH6"/>
      <c r="RZI6"/>
      <c r="RZJ6"/>
      <c r="RZK6"/>
      <c r="RZL6"/>
      <c r="RZM6"/>
      <c r="RZN6"/>
      <c r="RZO6"/>
      <c r="RZP6"/>
      <c r="RZQ6"/>
      <c r="RZR6"/>
      <c r="RZS6"/>
      <c r="RZT6"/>
      <c r="RZU6"/>
      <c r="RZV6"/>
      <c r="RZW6"/>
      <c r="RZX6"/>
      <c r="RZY6"/>
      <c r="RZZ6"/>
      <c r="SAA6"/>
      <c r="SAB6"/>
      <c r="SAC6"/>
      <c r="SAD6"/>
      <c r="SAE6"/>
      <c r="SAF6"/>
      <c r="SAG6"/>
      <c r="SAH6"/>
      <c r="SAI6"/>
      <c r="SAJ6"/>
      <c r="SAK6"/>
      <c r="SAL6"/>
      <c r="SAM6"/>
      <c r="SAN6"/>
      <c r="SAO6"/>
      <c r="SAP6"/>
      <c r="SAQ6"/>
      <c r="SAR6"/>
      <c r="SAS6"/>
      <c r="SAT6"/>
      <c r="SAU6"/>
      <c r="SAV6"/>
      <c r="SAW6"/>
      <c r="SAX6"/>
      <c r="SAY6"/>
      <c r="SAZ6"/>
      <c r="SBA6"/>
      <c r="SBB6"/>
      <c r="SBC6"/>
      <c r="SBD6"/>
      <c r="SBE6"/>
      <c r="SBF6"/>
      <c r="SBG6"/>
      <c r="SBH6"/>
      <c r="SBI6"/>
      <c r="SBJ6"/>
      <c r="SBK6"/>
      <c r="SBL6"/>
      <c r="SBM6"/>
      <c r="SBN6"/>
      <c r="SBO6"/>
      <c r="SBP6"/>
      <c r="SBQ6"/>
      <c r="SBR6"/>
      <c r="SBS6"/>
      <c r="SBT6"/>
      <c r="SBU6"/>
      <c r="SBV6"/>
      <c r="SBW6"/>
      <c r="SBX6"/>
      <c r="SBY6"/>
      <c r="SBZ6"/>
      <c r="SCA6"/>
      <c r="SCB6"/>
      <c r="SCC6"/>
      <c r="SCD6"/>
      <c r="SCE6"/>
      <c r="SCF6"/>
      <c r="SCG6"/>
      <c r="SCH6"/>
      <c r="SCI6"/>
      <c r="SCJ6"/>
      <c r="SCK6"/>
      <c r="SCL6"/>
      <c r="SCM6"/>
      <c r="SCN6"/>
      <c r="SCO6"/>
      <c r="SCP6"/>
      <c r="SCQ6"/>
      <c r="SCR6"/>
      <c r="SCS6"/>
      <c r="SCT6"/>
      <c r="SCU6"/>
      <c r="SCV6"/>
      <c r="SCW6"/>
      <c r="SCX6"/>
      <c r="SCY6"/>
      <c r="SCZ6"/>
      <c r="SDA6"/>
      <c r="SDB6"/>
      <c r="SDC6"/>
      <c r="SDD6"/>
      <c r="SDE6"/>
      <c r="SDF6"/>
      <c r="SDG6"/>
      <c r="SDH6"/>
      <c r="SDI6"/>
      <c r="SDJ6"/>
      <c r="SDK6"/>
      <c r="SDL6"/>
      <c r="SDM6"/>
      <c r="SDN6"/>
      <c r="SDO6"/>
      <c r="SDP6"/>
      <c r="SDQ6"/>
      <c r="SDR6"/>
      <c r="SDS6"/>
      <c r="SDT6"/>
      <c r="SDU6"/>
      <c r="SDV6"/>
      <c r="SDW6"/>
      <c r="SDX6"/>
      <c r="SDY6"/>
      <c r="SDZ6"/>
      <c r="SEA6"/>
      <c r="SEB6"/>
      <c r="SEC6"/>
      <c r="SED6"/>
      <c r="SEE6"/>
      <c r="SEF6"/>
      <c r="SEG6"/>
      <c r="SEH6"/>
      <c r="SEI6"/>
      <c r="SEJ6"/>
      <c r="SEK6"/>
      <c r="SEL6"/>
      <c r="SEM6"/>
      <c r="SEN6"/>
      <c r="SEO6"/>
      <c r="SEP6"/>
      <c r="SEQ6"/>
      <c r="SER6"/>
      <c r="SES6"/>
      <c r="SET6"/>
      <c r="SEU6"/>
      <c r="SEV6"/>
      <c r="SEW6"/>
      <c r="SEX6"/>
      <c r="SEY6"/>
      <c r="SEZ6"/>
      <c r="SFA6"/>
      <c r="SFB6"/>
      <c r="SFC6"/>
      <c r="SFD6"/>
      <c r="SFE6"/>
      <c r="SFF6"/>
      <c r="SFG6"/>
      <c r="SFH6"/>
      <c r="SFI6"/>
      <c r="SFJ6"/>
      <c r="SFK6"/>
      <c r="SFL6"/>
      <c r="SFM6"/>
      <c r="SFN6"/>
      <c r="SFO6"/>
      <c r="SFP6"/>
      <c r="SFQ6"/>
      <c r="SFR6"/>
      <c r="SFS6"/>
      <c r="SFT6"/>
      <c r="SFU6"/>
      <c r="SFV6"/>
      <c r="SFW6"/>
      <c r="SFX6"/>
      <c r="SFY6"/>
      <c r="SFZ6"/>
      <c r="SGA6"/>
      <c r="SGB6"/>
      <c r="SGC6"/>
      <c r="SGD6"/>
      <c r="SGE6"/>
      <c r="SGF6"/>
      <c r="SGG6"/>
      <c r="SGH6"/>
      <c r="SGI6"/>
      <c r="SGJ6"/>
      <c r="SGK6"/>
      <c r="SGL6"/>
      <c r="SGM6"/>
      <c r="SGN6"/>
      <c r="SGO6"/>
      <c r="SGP6"/>
      <c r="SGQ6"/>
      <c r="SGR6"/>
      <c r="SGS6"/>
      <c r="SGT6"/>
      <c r="SGU6"/>
      <c r="SGV6"/>
      <c r="SGW6"/>
      <c r="SGX6"/>
      <c r="SGY6"/>
      <c r="SGZ6"/>
      <c r="SHA6"/>
      <c r="SHB6"/>
      <c r="SHC6"/>
      <c r="SHD6"/>
      <c r="SHE6"/>
      <c r="SHF6"/>
      <c r="SHG6"/>
      <c r="SHH6"/>
      <c r="SHI6"/>
      <c r="SHJ6"/>
      <c r="SHK6"/>
      <c r="SHL6"/>
      <c r="SHM6"/>
      <c r="SHN6"/>
      <c r="SHO6"/>
      <c r="SHP6"/>
      <c r="SHQ6"/>
      <c r="SHR6"/>
      <c r="SHS6"/>
      <c r="SHT6"/>
      <c r="SHU6"/>
      <c r="SHV6"/>
      <c r="SHW6"/>
      <c r="SHX6"/>
      <c r="SHY6"/>
      <c r="SHZ6"/>
      <c r="SIA6"/>
      <c r="SIB6"/>
      <c r="SIC6"/>
      <c r="SID6"/>
      <c r="SIE6"/>
      <c r="SIF6"/>
      <c r="SIG6"/>
      <c r="SIH6"/>
      <c r="SII6"/>
      <c r="SIJ6"/>
      <c r="SIK6"/>
      <c r="SIL6"/>
      <c r="SIM6"/>
      <c r="SIN6"/>
      <c r="SIO6"/>
      <c r="SIP6"/>
      <c r="SIQ6"/>
      <c r="SIR6"/>
      <c r="SIS6"/>
      <c r="SIT6"/>
      <c r="SIU6"/>
      <c r="SIV6"/>
      <c r="SIW6"/>
      <c r="SIX6"/>
      <c r="SIY6"/>
      <c r="SIZ6"/>
      <c r="SJA6"/>
      <c r="SJB6"/>
      <c r="SJC6"/>
      <c r="SJD6"/>
      <c r="SJE6"/>
      <c r="SJF6"/>
      <c r="SJG6"/>
      <c r="SJH6"/>
      <c r="SJI6"/>
      <c r="SJJ6"/>
      <c r="SJK6"/>
      <c r="SJL6"/>
      <c r="SJM6"/>
      <c r="SJN6"/>
      <c r="SJO6"/>
      <c r="SJP6"/>
      <c r="SJQ6"/>
      <c r="SJR6"/>
      <c r="SJS6"/>
      <c r="SJT6"/>
      <c r="SJU6"/>
      <c r="SJV6"/>
      <c r="SJW6"/>
      <c r="SJX6"/>
      <c r="SJY6"/>
      <c r="SJZ6"/>
      <c r="SKA6"/>
      <c r="SKB6"/>
      <c r="SKC6"/>
      <c r="SKD6"/>
      <c r="SKE6"/>
      <c r="SKF6"/>
      <c r="SKG6"/>
      <c r="SKH6"/>
      <c r="SKI6"/>
      <c r="SKJ6"/>
      <c r="SKK6"/>
      <c r="SKL6"/>
      <c r="SKM6"/>
      <c r="SKN6"/>
      <c r="SKO6"/>
      <c r="SKP6"/>
      <c r="SKQ6"/>
      <c r="SKR6"/>
      <c r="SKS6"/>
      <c r="SKT6"/>
      <c r="SKU6"/>
      <c r="SKV6"/>
      <c r="SKW6"/>
      <c r="SKX6"/>
      <c r="SKY6"/>
      <c r="SKZ6"/>
      <c r="SLA6"/>
      <c r="SLB6"/>
      <c r="SLC6"/>
      <c r="SLD6"/>
      <c r="SLE6"/>
      <c r="SLF6"/>
      <c r="SLG6"/>
      <c r="SLH6"/>
      <c r="SLI6"/>
      <c r="SLJ6"/>
      <c r="SLK6"/>
      <c r="SLL6"/>
      <c r="SLM6"/>
      <c r="SLN6"/>
      <c r="SLO6"/>
      <c r="SLP6"/>
      <c r="SLQ6"/>
      <c r="SLR6"/>
      <c r="SLS6"/>
      <c r="SLT6"/>
      <c r="SLU6"/>
      <c r="SLV6"/>
      <c r="SLW6"/>
      <c r="SLX6"/>
      <c r="SLY6"/>
      <c r="SLZ6"/>
      <c r="SMA6"/>
      <c r="SMB6"/>
      <c r="SMC6"/>
      <c r="SMD6"/>
      <c r="SME6"/>
      <c r="SMF6"/>
      <c r="SMG6"/>
      <c r="SMH6"/>
      <c r="SMI6"/>
      <c r="SMJ6"/>
      <c r="SMK6"/>
      <c r="SML6"/>
      <c r="SMM6"/>
      <c r="SMN6"/>
      <c r="SMO6"/>
      <c r="SMP6"/>
      <c r="SMQ6"/>
      <c r="SMR6"/>
      <c r="SMS6"/>
      <c r="SMT6"/>
      <c r="SMU6"/>
      <c r="SMV6"/>
      <c r="SMW6"/>
      <c r="SMX6"/>
      <c r="SMY6"/>
      <c r="SMZ6"/>
      <c r="SNA6"/>
      <c r="SNB6"/>
      <c r="SNC6"/>
      <c r="SND6"/>
      <c r="SNE6"/>
      <c r="SNF6"/>
      <c r="SNG6"/>
      <c r="SNH6"/>
      <c r="SNI6"/>
      <c r="SNJ6"/>
      <c r="SNK6"/>
      <c r="SNL6"/>
      <c r="SNM6"/>
      <c r="SNN6"/>
      <c r="SNO6"/>
      <c r="SNP6"/>
      <c r="SNQ6"/>
      <c r="SNR6"/>
      <c r="SNS6"/>
      <c r="SNT6"/>
      <c r="SNU6"/>
      <c r="SNV6"/>
      <c r="SNW6"/>
      <c r="SNX6"/>
      <c r="SNY6"/>
      <c r="SNZ6"/>
      <c r="SOA6"/>
      <c r="SOB6"/>
      <c r="SOC6"/>
      <c r="SOD6"/>
      <c r="SOE6"/>
      <c r="SOF6"/>
      <c r="SOG6"/>
      <c r="SOH6"/>
      <c r="SOI6"/>
      <c r="SOJ6"/>
      <c r="SOK6"/>
      <c r="SOL6"/>
      <c r="SOM6"/>
      <c r="SON6"/>
      <c r="SOO6"/>
      <c r="SOP6"/>
      <c r="SOQ6"/>
      <c r="SOR6"/>
      <c r="SOS6"/>
      <c r="SOT6"/>
      <c r="SOU6"/>
      <c r="SOV6"/>
      <c r="SOW6"/>
      <c r="SOX6"/>
      <c r="SOY6"/>
      <c r="SOZ6"/>
      <c r="SPA6"/>
      <c r="SPB6"/>
      <c r="SPC6"/>
      <c r="SPD6"/>
      <c r="SPE6"/>
      <c r="SPF6"/>
      <c r="SPG6"/>
      <c r="SPH6"/>
      <c r="SPI6"/>
      <c r="SPJ6"/>
      <c r="SPK6"/>
      <c r="SPL6"/>
      <c r="SPM6"/>
      <c r="SPN6"/>
      <c r="SPO6"/>
      <c r="SPP6"/>
      <c r="SPQ6"/>
      <c r="SPR6"/>
      <c r="SPS6"/>
      <c r="SPT6"/>
      <c r="SPU6"/>
      <c r="SPV6"/>
      <c r="SPW6"/>
      <c r="SPX6"/>
      <c r="SPY6"/>
      <c r="SPZ6"/>
      <c r="SQA6"/>
      <c r="SQB6"/>
      <c r="SQC6"/>
      <c r="SQD6"/>
      <c r="SQE6"/>
      <c r="SQF6"/>
      <c r="SQG6"/>
      <c r="SQH6"/>
      <c r="SQI6"/>
      <c r="SQJ6"/>
      <c r="SQK6"/>
      <c r="SQL6"/>
      <c r="SQM6"/>
      <c r="SQN6"/>
      <c r="SQO6"/>
      <c r="SQP6"/>
      <c r="SQQ6"/>
      <c r="SQR6"/>
      <c r="SQS6"/>
      <c r="SQT6"/>
      <c r="SQU6"/>
      <c r="SQV6"/>
      <c r="SQW6"/>
      <c r="SQX6"/>
      <c r="SQY6"/>
      <c r="SQZ6"/>
      <c r="SRA6"/>
      <c r="SRB6"/>
      <c r="SRC6"/>
      <c r="SRD6"/>
      <c r="SRE6"/>
      <c r="SRF6"/>
      <c r="SRG6"/>
      <c r="SRH6"/>
      <c r="SRI6"/>
      <c r="SRJ6"/>
      <c r="SRK6"/>
      <c r="SRL6"/>
      <c r="SRM6"/>
      <c r="SRN6"/>
      <c r="SRO6"/>
      <c r="SRP6"/>
      <c r="SRQ6"/>
      <c r="SRR6"/>
      <c r="SRS6"/>
      <c r="SRT6"/>
      <c r="SRU6"/>
      <c r="SRV6"/>
      <c r="SRW6"/>
      <c r="SRX6"/>
      <c r="SRY6"/>
      <c r="SRZ6"/>
      <c r="SSA6"/>
      <c r="SSB6"/>
      <c r="SSC6"/>
      <c r="SSD6"/>
      <c r="SSE6"/>
      <c r="SSF6"/>
      <c r="SSG6"/>
      <c r="SSH6"/>
      <c r="SSI6"/>
      <c r="SSJ6"/>
      <c r="SSK6"/>
      <c r="SSL6"/>
      <c r="SSM6"/>
      <c r="SSN6"/>
      <c r="SSO6"/>
      <c r="SSP6"/>
      <c r="SSQ6"/>
      <c r="SSR6"/>
      <c r="SSS6"/>
      <c r="SST6"/>
      <c r="SSU6"/>
      <c r="SSV6"/>
      <c r="SSW6"/>
      <c r="SSX6"/>
      <c r="SSY6"/>
      <c r="SSZ6"/>
      <c r="STA6"/>
      <c r="STB6"/>
      <c r="STC6"/>
      <c r="STD6"/>
      <c r="STE6"/>
      <c r="STF6"/>
      <c r="STG6"/>
      <c r="STH6"/>
      <c r="STI6"/>
      <c r="STJ6"/>
      <c r="STK6"/>
      <c r="STL6"/>
      <c r="STM6"/>
      <c r="STN6"/>
      <c r="STO6"/>
      <c r="STP6"/>
      <c r="STQ6"/>
      <c r="STR6"/>
      <c r="STS6"/>
      <c r="STT6"/>
      <c r="STU6"/>
      <c r="STV6"/>
      <c r="STW6"/>
      <c r="STX6"/>
      <c r="STY6"/>
      <c r="STZ6"/>
      <c r="SUA6"/>
      <c r="SUB6"/>
      <c r="SUC6"/>
      <c r="SUD6"/>
      <c r="SUE6"/>
      <c r="SUF6"/>
      <c r="SUG6"/>
      <c r="SUH6"/>
      <c r="SUI6"/>
      <c r="SUJ6"/>
      <c r="SUK6"/>
      <c r="SUL6"/>
      <c r="SUM6"/>
      <c r="SUN6"/>
      <c r="SUO6"/>
      <c r="SUP6"/>
      <c r="SUQ6"/>
      <c r="SUR6"/>
      <c r="SUS6"/>
      <c r="SUT6"/>
      <c r="SUU6"/>
      <c r="SUV6"/>
      <c r="SUW6"/>
      <c r="SUX6"/>
      <c r="SUY6"/>
      <c r="SUZ6"/>
      <c r="SVA6"/>
      <c r="SVB6"/>
      <c r="SVC6"/>
      <c r="SVD6"/>
      <c r="SVE6"/>
      <c r="SVF6"/>
      <c r="SVG6"/>
      <c r="SVH6"/>
      <c r="SVI6"/>
      <c r="SVJ6"/>
      <c r="SVK6"/>
      <c r="SVL6"/>
      <c r="SVM6"/>
      <c r="SVN6"/>
      <c r="SVO6"/>
      <c r="SVP6"/>
      <c r="SVQ6"/>
      <c r="SVR6"/>
      <c r="SVS6"/>
      <c r="SVT6"/>
      <c r="SVU6"/>
      <c r="SVV6"/>
      <c r="SVW6"/>
      <c r="SVX6"/>
      <c r="SVY6"/>
      <c r="SVZ6"/>
      <c r="SWA6"/>
      <c r="SWB6"/>
      <c r="SWC6"/>
      <c r="SWD6"/>
      <c r="SWE6"/>
      <c r="SWF6"/>
      <c r="SWG6"/>
      <c r="SWH6"/>
      <c r="SWI6"/>
      <c r="SWJ6"/>
      <c r="SWK6"/>
      <c r="SWL6"/>
      <c r="SWM6"/>
      <c r="SWN6"/>
      <c r="SWO6"/>
      <c r="SWP6"/>
      <c r="SWQ6"/>
      <c r="SWR6"/>
      <c r="SWS6"/>
      <c r="SWT6"/>
      <c r="SWU6"/>
      <c r="SWV6"/>
      <c r="SWW6"/>
      <c r="SWX6"/>
      <c r="SWY6"/>
      <c r="SWZ6"/>
      <c r="SXA6"/>
      <c r="SXB6"/>
      <c r="SXC6"/>
      <c r="SXD6"/>
      <c r="SXE6"/>
      <c r="SXF6"/>
      <c r="SXG6"/>
      <c r="SXH6"/>
      <c r="SXI6"/>
      <c r="SXJ6"/>
      <c r="SXK6"/>
      <c r="SXL6"/>
      <c r="SXM6"/>
      <c r="SXN6"/>
      <c r="SXO6"/>
      <c r="SXP6"/>
      <c r="SXQ6"/>
      <c r="SXR6"/>
      <c r="SXS6"/>
      <c r="SXT6"/>
      <c r="SXU6"/>
      <c r="SXV6"/>
      <c r="SXW6"/>
      <c r="SXX6"/>
      <c r="SXY6"/>
      <c r="SXZ6"/>
      <c r="SYA6"/>
      <c r="SYB6"/>
      <c r="SYC6"/>
      <c r="SYD6"/>
      <c r="SYE6"/>
      <c r="SYF6"/>
      <c r="SYG6"/>
      <c r="SYH6"/>
      <c r="SYI6"/>
      <c r="SYJ6"/>
      <c r="SYK6"/>
      <c r="SYL6"/>
      <c r="SYM6"/>
      <c r="SYN6"/>
      <c r="SYO6"/>
      <c r="SYP6"/>
      <c r="SYQ6"/>
      <c r="SYR6"/>
      <c r="SYS6"/>
      <c r="SYT6"/>
      <c r="SYU6"/>
      <c r="SYV6"/>
      <c r="SYW6"/>
      <c r="SYX6"/>
      <c r="SYY6"/>
      <c r="SYZ6"/>
      <c r="SZA6"/>
      <c r="SZB6"/>
      <c r="SZC6"/>
      <c r="SZD6"/>
      <c r="SZE6"/>
      <c r="SZF6"/>
      <c r="SZG6"/>
      <c r="SZH6"/>
      <c r="SZI6"/>
      <c r="SZJ6"/>
      <c r="SZK6"/>
      <c r="SZL6"/>
      <c r="SZM6"/>
      <c r="SZN6"/>
      <c r="SZO6"/>
      <c r="SZP6"/>
      <c r="SZQ6"/>
      <c r="SZR6"/>
      <c r="SZS6"/>
      <c r="SZT6"/>
      <c r="SZU6"/>
      <c r="SZV6"/>
      <c r="SZW6"/>
      <c r="SZX6"/>
      <c r="SZY6"/>
      <c r="SZZ6"/>
      <c r="TAA6"/>
      <c r="TAB6"/>
      <c r="TAC6"/>
      <c r="TAD6"/>
      <c r="TAE6"/>
      <c r="TAF6"/>
      <c r="TAG6"/>
      <c r="TAH6"/>
      <c r="TAI6"/>
      <c r="TAJ6"/>
      <c r="TAK6"/>
      <c r="TAL6"/>
      <c r="TAM6"/>
      <c r="TAN6"/>
      <c r="TAO6"/>
      <c r="TAP6"/>
      <c r="TAQ6"/>
      <c r="TAR6"/>
      <c r="TAS6"/>
      <c r="TAT6"/>
      <c r="TAU6"/>
      <c r="TAV6"/>
      <c r="TAW6"/>
      <c r="TAX6"/>
      <c r="TAY6"/>
      <c r="TAZ6"/>
      <c r="TBA6"/>
      <c r="TBB6"/>
      <c r="TBC6"/>
      <c r="TBD6"/>
      <c r="TBE6"/>
      <c r="TBF6"/>
      <c r="TBG6"/>
      <c r="TBH6"/>
      <c r="TBI6"/>
      <c r="TBJ6"/>
      <c r="TBK6"/>
      <c r="TBL6"/>
      <c r="TBM6"/>
      <c r="TBN6"/>
      <c r="TBO6"/>
      <c r="TBP6"/>
      <c r="TBQ6"/>
      <c r="TBR6"/>
      <c r="TBS6"/>
      <c r="TBT6"/>
      <c r="TBU6"/>
      <c r="TBV6"/>
      <c r="TBW6"/>
      <c r="TBX6"/>
      <c r="TBY6"/>
      <c r="TBZ6"/>
      <c r="TCA6"/>
      <c r="TCB6"/>
      <c r="TCC6"/>
      <c r="TCD6"/>
      <c r="TCE6"/>
      <c r="TCF6"/>
      <c r="TCG6"/>
      <c r="TCH6"/>
      <c r="TCI6"/>
      <c r="TCJ6"/>
      <c r="TCK6"/>
      <c r="TCL6"/>
      <c r="TCM6"/>
      <c r="TCN6"/>
      <c r="TCO6"/>
      <c r="TCP6"/>
      <c r="TCQ6"/>
      <c r="TCR6"/>
      <c r="TCS6"/>
      <c r="TCT6"/>
      <c r="TCU6"/>
      <c r="TCV6"/>
      <c r="TCW6"/>
      <c r="TCX6"/>
      <c r="TCY6"/>
      <c r="TCZ6"/>
      <c r="TDA6"/>
      <c r="TDB6"/>
      <c r="TDC6"/>
      <c r="TDD6"/>
      <c r="TDE6"/>
      <c r="TDF6"/>
      <c r="TDG6"/>
      <c r="TDH6"/>
      <c r="TDI6"/>
      <c r="TDJ6"/>
      <c r="TDK6"/>
      <c r="TDL6"/>
      <c r="TDM6"/>
      <c r="TDN6"/>
      <c r="TDO6"/>
      <c r="TDP6"/>
      <c r="TDQ6"/>
      <c r="TDR6"/>
      <c r="TDS6"/>
      <c r="TDT6"/>
      <c r="TDU6"/>
      <c r="TDV6"/>
      <c r="TDW6"/>
      <c r="TDX6"/>
      <c r="TDY6"/>
      <c r="TDZ6"/>
      <c r="TEA6"/>
      <c r="TEB6"/>
      <c r="TEC6"/>
      <c r="TED6"/>
      <c r="TEE6"/>
      <c r="TEF6"/>
      <c r="TEG6"/>
      <c r="TEH6"/>
      <c r="TEI6"/>
      <c r="TEJ6"/>
      <c r="TEK6"/>
      <c r="TEL6"/>
      <c r="TEM6"/>
      <c r="TEN6"/>
      <c r="TEO6"/>
      <c r="TEP6"/>
      <c r="TEQ6"/>
      <c r="TER6"/>
      <c r="TES6"/>
      <c r="TET6"/>
      <c r="TEU6"/>
      <c r="TEV6"/>
      <c r="TEW6"/>
      <c r="TEX6"/>
      <c r="TEY6"/>
      <c r="TEZ6"/>
      <c r="TFA6"/>
      <c r="TFB6"/>
      <c r="TFC6"/>
      <c r="TFD6"/>
      <c r="TFE6"/>
      <c r="TFF6"/>
      <c r="TFG6"/>
      <c r="TFH6"/>
      <c r="TFI6"/>
      <c r="TFJ6"/>
      <c r="TFK6"/>
      <c r="TFL6"/>
      <c r="TFM6"/>
      <c r="TFN6"/>
      <c r="TFO6"/>
      <c r="TFP6"/>
      <c r="TFQ6"/>
      <c r="TFR6"/>
      <c r="TFS6"/>
      <c r="TFT6"/>
      <c r="TFU6"/>
      <c r="TFV6"/>
      <c r="TFW6"/>
      <c r="TFX6"/>
      <c r="TFY6"/>
      <c r="TFZ6"/>
      <c r="TGA6"/>
      <c r="TGB6"/>
      <c r="TGC6"/>
      <c r="TGD6"/>
      <c r="TGE6"/>
      <c r="TGF6"/>
      <c r="TGG6"/>
      <c r="TGH6"/>
      <c r="TGI6"/>
      <c r="TGJ6"/>
      <c r="TGK6"/>
      <c r="TGL6"/>
      <c r="TGM6"/>
      <c r="TGN6"/>
      <c r="TGO6"/>
      <c r="TGP6"/>
      <c r="TGQ6"/>
      <c r="TGR6"/>
      <c r="TGS6"/>
      <c r="TGT6"/>
      <c r="TGU6"/>
      <c r="TGV6"/>
      <c r="TGW6"/>
      <c r="TGX6"/>
      <c r="TGY6"/>
      <c r="TGZ6"/>
      <c r="THA6"/>
      <c r="THB6"/>
      <c r="THC6"/>
      <c r="THD6"/>
      <c r="THE6"/>
      <c r="THF6"/>
      <c r="THG6"/>
      <c r="THH6"/>
      <c r="THI6"/>
      <c r="THJ6"/>
      <c r="THK6"/>
      <c r="THL6"/>
      <c r="THM6"/>
      <c r="THN6"/>
      <c r="THO6"/>
      <c r="THP6"/>
      <c r="THQ6"/>
      <c r="THR6"/>
      <c r="THS6"/>
      <c r="THT6"/>
      <c r="THU6"/>
      <c r="THV6"/>
      <c r="THW6"/>
      <c r="THX6"/>
      <c r="THY6"/>
      <c r="THZ6"/>
      <c r="TIA6"/>
      <c r="TIB6"/>
      <c r="TIC6"/>
      <c r="TID6"/>
      <c r="TIE6"/>
      <c r="TIF6"/>
      <c r="TIG6"/>
      <c r="TIH6"/>
      <c r="TII6"/>
      <c r="TIJ6"/>
      <c r="TIK6"/>
      <c r="TIL6"/>
      <c r="TIM6"/>
      <c r="TIN6"/>
      <c r="TIO6"/>
      <c r="TIP6"/>
      <c r="TIQ6"/>
      <c r="TIR6"/>
      <c r="TIS6"/>
      <c r="TIT6"/>
      <c r="TIU6"/>
      <c r="TIV6"/>
      <c r="TIW6"/>
      <c r="TIX6"/>
      <c r="TIY6"/>
      <c r="TIZ6"/>
      <c r="TJA6"/>
      <c r="TJB6"/>
      <c r="TJC6"/>
      <c r="TJD6"/>
      <c r="TJE6"/>
      <c r="TJF6"/>
      <c r="TJG6"/>
      <c r="TJH6"/>
      <c r="TJI6"/>
      <c r="TJJ6"/>
      <c r="TJK6"/>
      <c r="TJL6"/>
      <c r="TJM6"/>
      <c r="TJN6"/>
      <c r="TJO6"/>
      <c r="TJP6"/>
      <c r="TJQ6"/>
      <c r="TJR6"/>
      <c r="TJS6"/>
      <c r="TJT6"/>
      <c r="TJU6"/>
      <c r="TJV6"/>
      <c r="TJW6"/>
      <c r="TJX6"/>
      <c r="TJY6"/>
      <c r="TJZ6"/>
      <c r="TKA6"/>
      <c r="TKB6"/>
      <c r="TKC6"/>
      <c r="TKD6"/>
      <c r="TKE6"/>
      <c r="TKF6"/>
      <c r="TKG6"/>
      <c r="TKH6"/>
      <c r="TKI6"/>
      <c r="TKJ6"/>
      <c r="TKK6"/>
      <c r="TKL6"/>
      <c r="TKM6"/>
      <c r="TKN6"/>
      <c r="TKO6"/>
      <c r="TKP6"/>
      <c r="TKQ6"/>
      <c r="TKR6"/>
      <c r="TKS6"/>
      <c r="TKT6"/>
      <c r="TKU6"/>
      <c r="TKV6"/>
      <c r="TKW6"/>
      <c r="TKX6"/>
      <c r="TKY6"/>
      <c r="TKZ6"/>
      <c r="TLA6"/>
      <c r="TLB6"/>
      <c r="TLC6"/>
      <c r="TLD6"/>
      <c r="TLE6"/>
      <c r="TLF6"/>
      <c r="TLG6"/>
      <c r="TLH6"/>
      <c r="TLI6"/>
      <c r="TLJ6"/>
      <c r="TLK6"/>
      <c r="TLL6"/>
      <c r="TLM6"/>
      <c r="TLN6"/>
      <c r="TLO6"/>
      <c r="TLP6"/>
      <c r="TLQ6"/>
      <c r="TLR6"/>
      <c r="TLS6"/>
      <c r="TLT6"/>
      <c r="TLU6"/>
      <c r="TLV6"/>
      <c r="TLW6"/>
      <c r="TLX6"/>
      <c r="TLY6"/>
      <c r="TLZ6"/>
      <c r="TMA6"/>
      <c r="TMB6"/>
      <c r="TMC6"/>
      <c r="TMD6"/>
      <c r="TME6"/>
      <c r="TMF6"/>
      <c r="TMG6"/>
      <c r="TMH6"/>
      <c r="TMI6"/>
      <c r="TMJ6"/>
      <c r="TMK6"/>
      <c r="TML6"/>
      <c r="TMM6"/>
      <c r="TMN6"/>
      <c r="TMO6"/>
      <c r="TMP6"/>
      <c r="TMQ6"/>
      <c r="TMR6"/>
      <c r="TMS6"/>
      <c r="TMT6"/>
      <c r="TMU6"/>
      <c r="TMV6"/>
      <c r="TMW6"/>
      <c r="TMX6"/>
      <c r="TMY6"/>
      <c r="TMZ6"/>
      <c r="TNA6"/>
      <c r="TNB6"/>
      <c r="TNC6"/>
      <c r="TND6"/>
      <c r="TNE6"/>
      <c r="TNF6"/>
      <c r="TNG6"/>
      <c r="TNH6"/>
      <c r="TNI6"/>
      <c r="TNJ6"/>
      <c r="TNK6"/>
      <c r="TNL6"/>
      <c r="TNM6"/>
      <c r="TNN6"/>
      <c r="TNO6"/>
      <c r="TNP6"/>
      <c r="TNQ6"/>
      <c r="TNR6"/>
      <c r="TNS6"/>
      <c r="TNT6"/>
      <c r="TNU6"/>
      <c r="TNV6"/>
      <c r="TNW6"/>
      <c r="TNX6"/>
      <c r="TNY6"/>
      <c r="TNZ6"/>
      <c r="TOA6"/>
      <c r="TOB6"/>
      <c r="TOC6"/>
      <c r="TOD6"/>
      <c r="TOE6"/>
      <c r="TOF6"/>
      <c r="TOG6"/>
      <c r="TOH6"/>
      <c r="TOI6"/>
      <c r="TOJ6"/>
      <c r="TOK6"/>
      <c r="TOL6"/>
      <c r="TOM6"/>
      <c r="TON6"/>
      <c r="TOO6"/>
      <c r="TOP6"/>
      <c r="TOQ6"/>
      <c r="TOR6"/>
      <c r="TOS6"/>
      <c r="TOT6"/>
      <c r="TOU6"/>
      <c r="TOV6"/>
      <c r="TOW6"/>
      <c r="TOX6"/>
      <c r="TOY6"/>
      <c r="TOZ6"/>
      <c r="TPA6"/>
      <c r="TPB6"/>
      <c r="TPC6"/>
      <c r="TPD6"/>
      <c r="TPE6"/>
      <c r="TPF6"/>
      <c r="TPG6"/>
      <c r="TPH6"/>
      <c r="TPI6"/>
      <c r="TPJ6"/>
      <c r="TPK6"/>
      <c r="TPL6"/>
      <c r="TPM6"/>
      <c r="TPN6"/>
      <c r="TPO6"/>
      <c r="TPP6"/>
      <c r="TPQ6"/>
      <c r="TPR6"/>
      <c r="TPS6"/>
      <c r="TPT6"/>
      <c r="TPU6"/>
      <c r="TPV6"/>
      <c r="TPW6"/>
      <c r="TPX6"/>
      <c r="TPY6"/>
      <c r="TPZ6"/>
      <c r="TQA6"/>
      <c r="TQB6"/>
      <c r="TQC6"/>
      <c r="TQD6"/>
      <c r="TQE6"/>
      <c r="TQF6"/>
      <c r="TQG6"/>
      <c r="TQH6"/>
      <c r="TQI6"/>
      <c r="TQJ6"/>
      <c r="TQK6"/>
      <c r="TQL6"/>
      <c r="TQM6"/>
      <c r="TQN6"/>
      <c r="TQO6"/>
      <c r="TQP6"/>
      <c r="TQQ6"/>
      <c r="TQR6"/>
      <c r="TQS6"/>
      <c r="TQT6"/>
      <c r="TQU6"/>
      <c r="TQV6"/>
      <c r="TQW6"/>
      <c r="TQX6"/>
      <c r="TQY6"/>
      <c r="TQZ6"/>
      <c r="TRA6"/>
      <c r="TRB6"/>
      <c r="TRC6"/>
      <c r="TRD6"/>
      <c r="TRE6"/>
      <c r="TRF6"/>
      <c r="TRG6"/>
      <c r="TRH6"/>
      <c r="TRI6"/>
      <c r="TRJ6"/>
      <c r="TRK6"/>
      <c r="TRL6"/>
      <c r="TRM6"/>
      <c r="TRN6"/>
      <c r="TRO6"/>
      <c r="TRP6"/>
      <c r="TRQ6"/>
      <c r="TRR6"/>
      <c r="TRS6"/>
      <c r="TRT6"/>
      <c r="TRU6"/>
      <c r="TRV6"/>
      <c r="TRW6"/>
      <c r="TRX6"/>
      <c r="TRY6"/>
      <c r="TRZ6"/>
      <c r="TSA6"/>
      <c r="TSB6"/>
      <c r="TSC6"/>
      <c r="TSD6"/>
      <c r="TSE6"/>
      <c r="TSF6"/>
      <c r="TSG6"/>
      <c r="TSH6"/>
      <c r="TSI6"/>
      <c r="TSJ6"/>
      <c r="TSK6"/>
      <c r="TSL6"/>
      <c r="TSM6"/>
      <c r="TSN6"/>
      <c r="TSO6"/>
      <c r="TSP6"/>
      <c r="TSQ6"/>
      <c r="TSR6"/>
      <c r="TSS6"/>
      <c r="TST6"/>
      <c r="TSU6"/>
      <c r="TSV6"/>
      <c r="TSW6"/>
      <c r="TSX6"/>
      <c r="TSY6"/>
      <c r="TSZ6"/>
      <c r="TTA6"/>
      <c r="TTB6"/>
      <c r="TTC6"/>
      <c r="TTD6"/>
      <c r="TTE6"/>
      <c r="TTF6"/>
      <c r="TTG6"/>
      <c r="TTH6"/>
      <c r="TTI6"/>
      <c r="TTJ6"/>
      <c r="TTK6"/>
      <c r="TTL6"/>
      <c r="TTM6"/>
      <c r="TTN6"/>
      <c r="TTO6"/>
      <c r="TTP6"/>
      <c r="TTQ6"/>
      <c r="TTR6"/>
      <c r="TTS6"/>
      <c r="TTT6"/>
      <c r="TTU6"/>
      <c r="TTV6"/>
      <c r="TTW6"/>
      <c r="TTX6"/>
      <c r="TTY6"/>
      <c r="TTZ6"/>
      <c r="TUA6"/>
      <c r="TUB6"/>
      <c r="TUC6"/>
      <c r="TUD6"/>
      <c r="TUE6"/>
      <c r="TUF6"/>
      <c r="TUG6"/>
      <c r="TUH6"/>
      <c r="TUI6"/>
      <c r="TUJ6"/>
      <c r="TUK6"/>
      <c r="TUL6"/>
      <c r="TUM6"/>
      <c r="TUN6"/>
      <c r="TUO6"/>
      <c r="TUP6"/>
      <c r="TUQ6"/>
      <c r="TUR6"/>
      <c r="TUS6"/>
      <c r="TUT6"/>
      <c r="TUU6"/>
      <c r="TUV6"/>
      <c r="TUW6"/>
      <c r="TUX6"/>
      <c r="TUY6"/>
      <c r="TUZ6"/>
      <c r="TVA6"/>
      <c r="TVB6"/>
      <c r="TVC6"/>
      <c r="TVD6"/>
      <c r="TVE6"/>
      <c r="TVF6"/>
      <c r="TVG6"/>
      <c r="TVH6"/>
      <c r="TVI6"/>
      <c r="TVJ6"/>
      <c r="TVK6"/>
      <c r="TVL6"/>
      <c r="TVM6"/>
      <c r="TVN6"/>
      <c r="TVO6"/>
      <c r="TVP6"/>
      <c r="TVQ6"/>
      <c r="TVR6"/>
      <c r="TVS6"/>
      <c r="TVT6"/>
      <c r="TVU6"/>
      <c r="TVV6"/>
      <c r="TVW6"/>
      <c r="TVX6"/>
      <c r="TVY6"/>
      <c r="TVZ6"/>
      <c r="TWA6"/>
      <c r="TWB6"/>
      <c r="TWC6"/>
      <c r="TWD6"/>
      <c r="TWE6"/>
      <c r="TWF6"/>
      <c r="TWG6"/>
      <c r="TWH6"/>
      <c r="TWI6"/>
      <c r="TWJ6"/>
      <c r="TWK6"/>
      <c r="TWL6"/>
      <c r="TWM6"/>
      <c r="TWN6"/>
      <c r="TWO6"/>
      <c r="TWP6"/>
      <c r="TWQ6"/>
      <c r="TWR6"/>
      <c r="TWS6"/>
      <c r="TWT6"/>
      <c r="TWU6"/>
      <c r="TWV6"/>
      <c r="TWW6"/>
      <c r="TWX6"/>
      <c r="TWY6"/>
      <c r="TWZ6"/>
      <c r="TXA6"/>
      <c r="TXB6"/>
      <c r="TXC6"/>
      <c r="TXD6"/>
      <c r="TXE6"/>
      <c r="TXF6"/>
      <c r="TXG6"/>
      <c r="TXH6"/>
      <c r="TXI6"/>
      <c r="TXJ6"/>
      <c r="TXK6"/>
      <c r="TXL6"/>
      <c r="TXM6"/>
      <c r="TXN6"/>
      <c r="TXO6"/>
      <c r="TXP6"/>
      <c r="TXQ6"/>
      <c r="TXR6"/>
      <c r="TXS6"/>
      <c r="TXT6"/>
      <c r="TXU6"/>
      <c r="TXV6"/>
      <c r="TXW6"/>
      <c r="TXX6"/>
      <c r="TXY6"/>
      <c r="TXZ6"/>
      <c r="TYA6"/>
      <c r="TYB6"/>
      <c r="TYC6"/>
      <c r="TYD6"/>
      <c r="TYE6"/>
      <c r="TYF6"/>
      <c r="TYG6"/>
      <c r="TYH6"/>
      <c r="TYI6"/>
      <c r="TYJ6"/>
      <c r="TYK6"/>
      <c r="TYL6"/>
      <c r="TYM6"/>
      <c r="TYN6"/>
      <c r="TYO6"/>
      <c r="TYP6"/>
      <c r="TYQ6"/>
      <c r="TYR6"/>
      <c r="TYS6"/>
      <c r="TYT6"/>
      <c r="TYU6"/>
      <c r="TYV6"/>
      <c r="TYW6"/>
      <c r="TYX6"/>
      <c r="TYY6"/>
      <c r="TYZ6"/>
      <c r="TZA6"/>
      <c r="TZB6"/>
      <c r="TZC6"/>
      <c r="TZD6"/>
      <c r="TZE6"/>
      <c r="TZF6"/>
      <c r="TZG6"/>
      <c r="TZH6"/>
      <c r="TZI6"/>
      <c r="TZJ6"/>
      <c r="TZK6"/>
      <c r="TZL6"/>
      <c r="TZM6"/>
      <c r="TZN6"/>
      <c r="TZO6"/>
      <c r="TZP6"/>
      <c r="TZQ6"/>
      <c r="TZR6"/>
      <c r="TZS6"/>
      <c r="TZT6"/>
      <c r="TZU6"/>
      <c r="TZV6"/>
      <c r="TZW6"/>
      <c r="TZX6"/>
      <c r="TZY6"/>
      <c r="TZZ6"/>
      <c r="UAA6"/>
      <c r="UAB6"/>
      <c r="UAC6"/>
      <c r="UAD6"/>
      <c r="UAE6"/>
      <c r="UAF6"/>
      <c r="UAG6"/>
      <c r="UAH6"/>
      <c r="UAI6"/>
      <c r="UAJ6"/>
      <c r="UAK6"/>
      <c r="UAL6"/>
      <c r="UAM6"/>
      <c r="UAN6"/>
      <c r="UAO6"/>
      <c r="UAP6"/>
      <c r="UAQ6"/>
      <c r="UAR6"/>
      <c r="UAS6"/>
      <c r="UAT6"/>
      <c r="UAU6"/>
      <c r="UAV6"/>
      <c r="UAW6"/>
      <c r="UAX6"/>
      <c r="UAY6"/>
      <c r="UAZ6"/>
      <c r="UBA6"/>
      <c r="UBB6"/>
      <c r="UBC6"/>
      <c r="UBD6"/>
      <c r="UBE6"/>
      <c r="UBF6"/>
      <c r="UBG6"/>
      <c r="UBH6"/>
      <c r="UBI6"/>
      <c r="UBJ6"/>
      <c r="UBK6"/>
      <c r="UBL6"/>
      <c r="UBM6"/>
      <c r="UBN6"/>
      <c r="UBO6"/>
      <c r="UBP6"/>
      <c r="UBQ6"/>
      <c r="UBR6"/>
      <c r="UBS6"/>
      <c r="UBT6"/>
      <c r="UBU6"/>
      <c r="UBV6"/>
      <c r="UBW6"/>
      <c r="UBX6"/>
      <c r="UBY6"/>
      <c r="UBZ6"/>
      <c r="UCA6"/>
      <c r="UCB6"/>
      <c r="UCC6"/>
      <c r="UCD6"/>
      <c r="UCE6"/>
      <c r="UCF6"/>
      <c r="UCG6"/>
      <c r="UCH6"/>
      <c r="UCI6"/>
      <c r="UCJ6"/>
      <c r="UCK6"/>
      <c r="UCL6"/>
      <c r="UCM6"/>
      <c r="UCN6"/>
      <c r="UCO6"/>
      <c r="UCP6"/>
      <c r="UCQ6"/>
      <c r="UCR6"/>
      <c r="UCS6"/>
      <c r="UCT6"/>
      <c r="UCU6"/>
      <c r="UCV6"/>
      <c r="UCW6"/>
      <c r="UCX6"/>
      <c r="UCY6"/>
      <c r="UCZ6"/>
      <c r="UDA6"/>
      <c r="UDB6"/>
      <c r="UDC6"/>
      <c r="UDD6"/>
      <c r="UDE6"/>
      <c r="UDF6"/>
      <c r="UDG6"/>
      <c r="UDH6"/>
      <c r="UDI6"/>
      <c r="UDJ6"/>
      <c r="UDK6"/>
      <c r="UDL6"/>
      <c r="UDM6"/>
      <c r="UDN6"/>
      <c r="UDO6"/>
      <c r="UDP6"/>
      <c r="UDQ6"/>
      <c r="UDR6"/>
      <c r="UDS6"/>
      <c r="UDT6"/>
      <c r="UDU6"/>
      <c r="UDV6"/>
      <c r="UDW6"/>
      <c r="UDX6"/>
      <c r="UDY6"/>
      <c r="UDZ6"/>
      <c r="UEA6"/>
      <c r="UEB6"/>
      <c r="UEC6"/>
      <c r="UED6"/>
      <c r="UEE6"/>
      <c r="UEF6"/>
      <c r="UEG6"/>
      <c r="UEH6"/>
      <c r="UEI6"/>
      <c r="UEJ6"/>
      <c r="UEK6"/>
      <c r="UEL6"/>
      <c r="UEM6"/>
      <c r="UEN6"/>
      <c r="UEO6"/>
      <c r="UEP6"/>
      <c r="UEQ6"/>
      <c r="UER6"/>
      <c r="UES6"/>
      <c r="UET6"/>
      <c r="UEU6"/>
      <c r="UEV6"/>
      <c r="UEW6"/>
      <c r="UEX6"/>
      <c r="UEY6"/>
      <c r="UEZ6"/>
      <c r="UFA6"/>
      <c r="UFB6"/>
      <c r="UFC6"/>
      <c r="UFD6"/>
      <c r="UFE6"/>
      <c r="UFF6"/>
      <c r="UFG6"/>
      <c r="UFH6"/>
      <c r="UFI6"/>
      <c r="UFJ6"/>
      <c r="UFK6"/>
      <c r="UFL6"/>
      <c r="UFM6"/>
      <c r="UFN6"/>
      <c r="UFO6"/>
      <c r="UFP6"/>
      <c r="UFQ6"/>
      <c r="UFR6"/>
      <c r="UFS6"/>
      <c r="UFT6"/>
      <c r="UFU6"/>
      <c r="UFV6"/>
      <c r="UFW6"/>
      <c r="UFX6"/>
      <c r="UFY6"/>
      <c r="UFZ6"/>
      <c r="UGA6"/>
      <c r="UGB6"/>
      <c r="UGC6"/>
      <c r="UGD6"/>
      <c r="UGE6"/>
      <c r="UGF6"/>
      <c r="UGG6"/>
      <c r="UGH6"/>
      <c r="UGI6"/>
      <c r="UGJ6"/>
      <c r="UGK6"/>
      <c r="UGL6"/>
      <c r="UGM6"/>
      <c r="UGN6"/>
      <c r="UGO6"/>
      <c r="UGP6"/>
      <c r="UGQ6"/>
      <c r="UGR6"/>
      <c r="UGS6"/>
      <c r="UGT6"/>
      <c r="UGU6"/>
      <c r="UGV6"/>
      <c r="UGW6"/>
      <c r="UGX6"/>
      <c r="UGY6"/>
      <c r="UGZ6"/>
      <c r="UHA6"/>
      <c r="UHB6"/>
      <c r="UHC6"/>
      <c r="UHD6"/>
      <c r="UHE6"/>
      <c r="UHF6"/>
      <c r="UHG6"/>
      <c r="UHH6"/>
      <c r="UHI6"/>
      <c r="UHJ6"/>
      <c r="UHK6"/>
      <c r="UHL6"/>
      <c r="UHM6"/>
      <c r="UHN6"/>
      <c r="UHO6"/>
      <c r="UHP6"/>
      <c r="UHQ6"/>
      <c r="UHR6"/>
      <c r="UHS6"/>
      <c r="UHT6"/>
      <c r="UHU6"/>
      <c r="UHV6"/>
      <c r="UHW6"/>
      <c r="UHX6"/>
      <c r="UHY6"/>
      <c r="UHZ6"/>
      <c r="UIA6"/>
      <c r="UIB6"/>
      <c r="UIC6"/>
      <c r="UID6"/>
      <c r="UIE6"/>
      <c r="UIF6"/>
      <c r="UIG6"/>
      <c r="UIH6"/>
      <c r="UII6"/>
      <c r="UIJ6"/>
      <c r="UIK6"/>
      <c r="UIL6"/>
      <c r="UIM6"/>
      <c r="UIN6"/>
      <c r="UIO6"/>
      <c r="UIP6"/>
      <c r="UIQ6"/>
      <c r="UIR6"/>
      <c r="UIS6"/>
      <c r="UIT6"/>
      <c r="UIU6"/>
      <c r="UIV6"/>
      <c r="UIW6"/>
      <c r="UIX6"/>
      <c r="UIY6"/>
      <c r="UIZ6"/>
      <c r="UJA6"/>
      <c r="UJB6"/>
      <c r="UJC6"/>
      <c r="UJD6"/>
      <c r="UJE6"/>
      <c r="UJF6"/>
      <c r="UJG6"/>
      <c r="UJH6"/>
      <c r="UJI6"/>
      <c r="UJJ6"/>
      <c r="UJK6"/>
      <c r="UJL6"/>
      <c r="UJM6"/>
      <c r="UJN6"/>
      <c r="UJO6"/>
      <c r="UJP6"/>
      <c r="UJQ6"/>
      <c r="UJR6"/>
      <c r="UJS6"/>
      <c r="UJT6"/>
      <c r="UJU6"/>
      <c r="UJV6"/>
      <c r="UJW6"/>
      <c r="UJX6"/>
      <c r="UJY6"/>
      <c r="UJZ6"/>
      <c r="UKA6"/>
      <c r="UKB6"/>
      <c r="UKC6"/>
      <c r="UKD6"/>
      <c r="UKE6"/>
      <c r="UKF6"/>
      <c r="UKG6"/>
      <c r="UKH6"/>
      <c r="UKI6"/>
      <c r="UKJ6"/>
      <c r="UKK6"/>
      <c r="UKL6"/>
      <c r="UKM6"/>
      <c r="UKN6"/>
      <c r="UKO6"/>
      <c r="UKP6"/>
      <c r="UKQ6"/>
      <c r="UKR6"/>
      <c r="UKS6"/>
      <c r="UKT6"/>
      <c r="UKU6"/>
      <c r="UKV6"/>
      <c r="UKW6"/>
      <c r="UKX6"/>
      <c r="UKY6"/>
      <c r="UKZ6"/>
      <c r="ULA6"/>
      <c r="ULB6"/>
      <c r="ULC6"/>
      <c r="ULD6"/>
      <c r="ULE6"/>
      <c r="ULF6"/>
      <c r="ULG6"/>
      <c r="ULH6"/>
      <c r="ULI6"/>
      <c r="ULJ6"/>
      <c r="ULK6"/>
      <c r="ULL6"/>
      <c r="ULM6"/>
      <c r="ULN6"/>
      <c r="ULO6"/>
      <c r="ULP6"/>
      <c r="ULQ6"/>
      <c r="ULR6"/>
      <c r="ULS6"/>
      <c r="ULT6"/>
      <c r="ULU6"/>
      <c r="ULV6"/>
      <c r="ULW6"/>
      <c r="ULX6"/>
      <c r="ULY6"/>
      <c r="ULZ6"/>
      <c r="UMA6"/>
      <c r="UMB6"/>
      <c r="UMC6"/>
      <c r="UMD6"/>
      <c r="UME6"/>
      <c r="UMF6"/>
      <c r="UMG6"/>
      <c r="UMH6"/>
      <c r="UMI6"/>
      <c r="UMJ6"/>
      <c r="UMK6"/>
      <c r="UML6"/>
      <c r="UMM6"/>
      <c r="UMN6"/>
      <c r="UMO6"/>
      <c r="UMP6"/>
      <c r="UMQ6"/>
      <c r="UMR6"/>
      <c r="UMS6"/>
      <c r="UMT6"/>
      <c r="UMU6"/>
      <c r="UMV6"/>
      <c r="UMW6"/>
      <c r="UMX6"/>
      <c r="UMY6"/>
      <c r="UMZ6"/>
      <c r="UNA6"/>
      <c r="UNB6"/>
      <c r="UNC6"/>
      <c r="UND6"/>
      <c r="UNE6"/>
      <c r="UNF6"/>
      <c r="UNG6"/>
      <c r="UNH6"/>
      <c r="UNI6"/>
      <c r="UNJ6"/>
      <c r="UNK6"/>
      <c r="UNL6"/>
      <c r="UNM6"/>
      <c r="UNN6"/>
      <c r="UNO6"/>
      <c r="UNP6"/>
      <c r="UNQ6"/>
      <c r="UNR6"/>
      <c r="UNS6"/>
      <c r="UNT6"/>
      <c r="UNU6"/>
      <c r="UNV6"/>
      <c r="UNW6"/>
      <c r="UNX6"/>
      <c r="UNY6"/>
      <c r="UNZ6"/>
      <c r="UOA6"/>
      <c r="UOB6"/>
      <c r="UOC6"/>
      <c r="UOD6"/>
      <c r="UOE6"/>
      <c r="UOF6"/>
      <c r="UOG6"/>
      <c r="UOH6"/>
      <c r="UOI6"/>
      <c r="UOJ6"/>
      <c r="UOK6"/>
      <c r="UOL6"/>
      <c r="UOM6"/>
      <c r="UON6"/>
      <c r="UOO6"/>
      <c r="UOP6"/>
      <c r="UOQ6"/>
      <c r="UOR6"/>
      <c r="UOS6"/>
      <c r="UOT6"/>
      <c r="UOU6"/>
      <c r="UOV6"/>
      <c r="UOW6"/>
      <c r="UOX6"/>
      <c r="UOY6"/>
      <c r="UOZ6"/>
      <c r="UPA6"/>
      <c r="UPB6"/>
      <c r="UPC6"/>
      <c r="UPD6"/>
      <c r="UPE6"/>
      <c r="UPF6"/>
      <c r="UPG6"/>
      <c r="UPH6"/>
      <c r="UPI6"/>
      <c r="UPJ6"/>
      <c r="UPK6"/>
      <c r="UPL6"/>
      <c r="UPM6"/>
      <c r="UPN6"/>
      <c r="UPO6"/>
      <c r="UPP6"/>
      <c r="UPQ6"/>
      <c r="UPR6"/>
      <c r="UPS6"/>
      <c r="UPT6"/>
      <c r="UPU6"/>
      <c r="UPV6"/>
      <c r="UPW6"/>
      <c r="UPX6"/>
      <c r="UPY6"/>
      <c r="UPZ6"/>
      <c r="UQA6"/>
      <c r="UQB6"/>
      <c r="UQC6"/>
      <c r="UQD6"/>
      <c r="UQE6"/>
      <c r="UQF6"/>
      <c r="UQG6"/>
      <c r="UQH6"/>
      <c r="UQI6"/>
      <c r="UQJ6"/>
      <c r="UQK6"/>
      <c r="UQL6"/>
      <c r="UQM6"/>
      <c r="UQN6"/>
      <c r="UQO6"/>
      <c r="UQP6"/>
      <c r="UQQ6"/>
      <c r="UQR6"/>
      <c r="UQS6"/>
      <c r="UQT6"/>
      <c r="UQU6"/>
      <c r="UQV6"/>
      <c r="UQW6"/>
      <c r="UQX6"/>
      <c r="UQY6"/>
      <c r="UQZ6"/>
      <c r="URA6"/>
      <c r="URB6"/>
      <c r="URC6"/>
      <c r="URD6"/>
      <c r="URE6"/>
      <c r="URF6"/>
      <c r="URG6"/>
      <c r="URH6"/>
      <c r="URI6"/>
      <c r="URJ6"/>
      <c r="URK6"/>
      <c r="URL6"/>
      <c r="URM6"/>
      <c r="URN6"/>
      <c r="URO6"/>
      <c r="URP6"/>
      <c r="URQ6"/>
      <c r="URR6"/>
      <c r="URS6"/>
      <c r="URT6"/>
      <c r="URU6"/>
      <c r="URV6"/>
      <c r="URW6"/>
      <c r="URX6"/>
      <c r="URY6"/>
      <c r="URZ6"/>
      <c r="USA6"/>
      <c r="USB6"/>
      <c r="USC6"/>
      <c r="USD6"/>
      <c r="USE6"/>
      <c r="USF6"/>
      <c r="USG6"/>
      <c r="USH6"/>
      <c r="USI6"/>
      <c r="USJ6"/>
      <c r="USK6"/>
      <c r="USL6"/>
      <c r="USM6"/>
      <c r="USN6"/>
      <c r="USO6"/>
      <c r="USP6"/>
      <c r="USQ6"/>
      <c r="USR6"/>
      <c r="USS6"/>
      <c r="UST6"/>
      <c r="USU6"/>
      <c r="USV6"/>
      <c r="USW6"/>
      <c r="USX6"/>
      <c r="USY6"/>
      <c r="USZ6"/>
      <c r="UTA6"/>
      <c r="UTB6"/>
      <c r="UTC6"/>
      <c r="UTD6"/>
      <c r="UTE6"/>
      <c r="UTF6"/>
      <c r="UTG6"/>
      <c r="UTH6"/>
      <c r="UTI6"/>
      <c r="UTJ6"/>
      <c r="UTK6"/>
      <c r="UTL6"/>
      <c r="UTM6"/>
      <c r="UTN6"/>
      <c r="UTO6"/>
      <c r="UTP6"/>
      <c r="UTQ6"/>
      <c r="UTR6"/>
      <c r="UTS6"/>
      <c r="UTT6"/>
      <c r="UTU6"/>
      <c r="UTV6"/>
      <c r="UTW6"/>
      <c r="UTX6"/>
      <c r="UTY6"/>
      <c r="UTZ6"/>
      <c r="UUA6"/>
      <c r="UUB6"/>
      <c r="UUC6"/>
      <c r="UUD6"/>
      <c r="UUE6"/>
      <c r="UUF6"/>
      <c r="UUG6"/>
      <c r="UUH6"/>
      <c r="UUI6"/>
      <c r="UUJ6"/>
      <c r="UUK6"/>
      <c r="UUL6"/>
      <c r="UUM6"/>
      <c r="UUN6"/>
      <c r="UUO6"/>
      <c r="UUP6"/>
      <c r="UUQ6"/>
      <c r="UUR6"/>
      <c r="UUS6"/>
      <c r="UUT6"/>
      <c r="UUU6"/>
      <c r="UUV6"/>
      <c r="UUW6"/>
      <c r="UUX6"/>
      <c r="UUY6"/>
      <c r="UUZ6"/>
      <c r="UVA6"/>
      <c r="UVB6"/>
      <c r="UVC6"/>
      <c r="UVD6"/>
      <c r="UVE6"/>
      <c r="UVF6"/>
      <c r="UVG6"/>
      <c r="UVH6"/>
      <c r="UVI6"/>
      <c r="UVJ6"/>
      <c r="UVK6"/>
      <c r="UVL6"/>
      <c r="UVM6"/>
      <c r="UVN6"/>
      <c r="UVO6"/>
      <c r="UVP6"/>
      <c r="UVQ6"/>
      <c r="UVR6"/>
      <c r="UVS6"/>
      <c r="UVT6"/>
      <c r="UVU6"/>
      <c r="UVV6"/>
      <c r="UVW6"/>
      <c r="UVX6"/>
      <c r="UVY6"/>
      <c r="UVZ6"/>
      <c r="UWA6"/>
      <c r="UWB6"/>
      <c r="UWC6"/>
      <c r="UWD6"/>
      <c r="UWE6"/>
      <c r="UWF6"/>
      <c r="UWG6"/>
      <c r="UWH6"/>
      <c r="UWI6"/>
      <c r="UWJ6"/>
      <c r="UWK6"/>
      <c r="UWL6"/>
      <c r="UWM6"/>
      <c r="UWN6"/>
      <c r="UWO6"/>
      <c r="UWP6"/>
      <c r="UWQ6"/>
      <c r="UWR6"/>
      <c r="UWS6"/>
      <c r="UWT6"/>
      <c r="UWU6"/>
      <c r="UWV6"/>
      <c r="UWW6"/>
      <c r="UWX6"/>
      <c r="UWY6"/>
      <c r="UWZ6"/>
      <c r="UXA6"/>
      <c r="UXB6"/>
      <c r="UXC6"/>
      <c r="UXD6"/>
      <c r="UXE6"/>
      <c r="UXF6"/>
      <c r="UXG6"/>
      <c r="UXH6"/>
      <c r="UXI6"/>
      <c r="UXJ6"/>
      <c r="UXK6"/>
      <c r="UXL6"/>
      <c r="UXM6"/>
      <c r="UXN6"/>
      <c r="UXO6"/>
      <c r="UXP6"/>
      <c r="UXQ6"/>
      <c r="UXR6"/>
      <c r="UXS6"/>
      <c r="UXT6"/>
      <c r="UXU6"/>
      <c r="UXV6"/>
      <c r="UXW6"/>
      <c r="UXX6"/>
      <c r="UXY6"/>
      <c r="UXZ6"/>
      <c r="UYA6"/>
      <c r="UYB6"/>
      <c r="UYC6"/>
      <c r="UYD6"/>
      <c r="UYE6"/>
      <c r="UYF6"/>
      <c r="UYG6"/>
      <c r="UYH6"/>
      <c r="UYI6"/>
      <c r="UYJ6"/>
      <c r="UYK6"/>
      <c r="UYL6"/>
      <c r="UYM6"/>
      <c r="UYN6"/>
      <c r="UYO6"/>
      <c r="UYP6"/>
      <c r="UYQ6"/>
      <c r="UYR6"/>
      <c r="UYS6"/>
      <c r="UYT6"/>
      <c r="UYU6"/>
      <c r="UYV6"/>
      <c r="UYW6"/>
      <c r="UYX6"/>
      <c r="UYY6"/>
      <c r="UYZ6"/>
      <c r="UZA6"/>
      <c r="UZB6"/>
      <c r="UZC6"/>
      <c r="UZD6"/>
      <c r="UZE6"/>
      <c r="UZF6"/>
      <c r="UZG6"/>
      <c r="UZH6"/>
      <c r="UZI6"/>
      <c r="UZJ6"/>
      <c r="UZK6"/>
      <c r="UZL6"/>
      <c r="UZM6"/>
      <c r="UZN6"/>
      <c r="UZO6"/>
      <c r="UZP6"/>
      <c r="UZQ6"/>
      <c r="UZR6"/>
      <c r="UZS6"/>
      <c r="UZT6"/>
      <c r="UZU6"/>
      <c r="UZV6"/>
      <c r="UZW6"/>
      <c r="UZX6"/>
      <c r="UZY6"/>
      <c r="UZZ6"/>
      <c r="VAA6"/>
      <c r="VAB6"/>
      <c r="VAC6"/>
      <c r="VAD6"/>
      <c r="VAE6"/>
      <c r="VAF6"/>
      <c r="VAG6"/>
      <c r="VAH6"/>
      <c r="VAI6"/>
      <c r="VAJ6"/>
      <c r="VAK6"/>
      <c r="VAL6"/>
      <c r="VAM6"/>
      <c r="VAN6"/>
      <c r="VAO6"/>
      <c r="VAP6"/>
      <c r="VAQ6"/>
      <c r="VAR6"/>
      <c r="VAS6"/>
      <c r="VAT6"/>
      <c r="VAU6"/>
      <c r="VAV6"/>
      <c r="VAW6"/>
      <c r="VAX6"/>
      <c r="VAY6"/>
      <c r="VAZ6"/>
      <c r="VBA6"/>
      <c r="VBB6"/>
      <c r="VBC6"/>
      <c r="VBD6"/>
      <c r="VBE6"/>
      <c r="VBF6"/>
      <c r="VBG6"/>
      <c r="VBH6"/>
      <c r="VBI6"/>
      <c r="VBJ6"/>
      <c r="VBK6"/>
      <c r="VBL6"/>
      <c r="VBM6"/>
      <c r="VBN6"/>
      <c r="VBO6"/>
      <c r="VBP6"/>
      <c r="VBQ6"/>
      <c r="VBR6"/>
      <c r="VBS6"/>
      <c r="VBT6"/>
      <c r="VBU6"/>
      <c r="VBV6"/>
      <c r="VBW6"/>
      <c r="VBX6"/>
      <c r="VBY6"/>
      <c r="VBZ6"/>
      <c r="VCA6"/>
      <c r="VCB6"/>
      <c r="VCC6"/>
      <c r="VCD6"/>
      <c r="VCE6"/>
      <c r="VCF6"/>
      <c r="VCG6"/>
      <c r="VCH6"/>
      <c r="VCI6"/>
      <c r="VCJ6"/>
      <c r="VCK6"/>
      <c r="VCL6"/>
      <c r="VCM6"/>
      <c r="VCN6"/>
      <c r="VCO6"/>
      <c r="VCP6"/>
      <c r="VCQ6"/>
      <c r="VCR6"/>
      <c r="VCS6"/>
      <c r="VCT6"/>
      <c r="VCU6"/>
      <c r="VCV6"/>
      <c r="VCW6"/>
      <c r="VCX6"/>
      <c r="VCY6"/>
      <c r="VCZ6"/>
      <c r="VDA6"/>
      <c r="VDB6"/>
      <c r="VDC6"/>
      <c r="VDD6"/>
      <c r="VDE6"/>
      <c r="VDF6"/>
      <c r="VDG6"/>
      <c r="VDH6"/>
      <c r="VDI6"/>
      <c r="VDJ6"/>
      <c r="VDK6"/>
      <c r="VDL6"/>
      <c r="VDM6"/>
      <c r="VDN6"/>
      <c r="VDO6"/>
      <c r="VDP6"/>
      <c r="VDQ6"/>
      <c r="VDR6"/>
      <c r="VDS6"/>
      <c r="VDT6"/>
      <c r="VDU6"/>
      <c r="VDV6"/>
      <c r="VDW6"/>
      <c r="VDX6"/>
      <c r="VDY6"/>
      <c r="VDZ6"/>
      <c r="VEA6"/>
      <c r="VEB6"/>
      <c r="VEC6"/>
      <c r="VED6"/>
      <c r="VEE6"/>
      <c r="VEF6"/>
      <c r="VEG6"/>
      <c r="VEH6"/>
      <c r="VEI6"/>
      <c r="VEJ6"/>
      <c r="VEK6"/>
      <c r="VEL6"/>
      <c r="VEM6"/>
      <c r="VEN6"/>
      <c r="VEO6"/>
      <c r="VEP6"/>
      <c r="VEQ6"/>
      <c r="VER6"/>
      <c r="VES6"/>
      <c r="VET6"/>
      <c r="VEU6"/>
      <c r="VEV6"/>
      <c r="VEW6"/>
      <c r="VEX6"/>
      <c r="VEY6"/>
      <c r="VEZ6"/>
      <c r="VFA6"/>
      <c r="VFB6"/>
      <c r="VFC6"/>
      <c r="VFD6"/>
      <c r="VFE6"/>
      <c r="VFF6"/>
      <c r="VFG6"/>
      <c r="VFH6"/>
      <c r="VFI6"/>
      <c r="VFJ6"/>
      <c r="VFK6"/>
      <c r="VFL6"/>
      <c r="VFM6"/>
      <c r="VFN6"/>
      <c r="VFO6"/>
      <c r="VFP6"/>
      <c r="VFQ6"/>
      <c r="VFR6"/>
      <c r="VFS6"/>
      <c r="VFT6"/>
      <c r="VFU6"/>
      <c r="VFV6"/>
      <c r="VFW6"/>
      <c r="VFX6"/>
      <c r="VFY6"/>
      <c r="VFZ6"/>
      <c r="VGA6"/>
      <c r="VGB6"/>
      <c r="VGC6"/>
      <c r="VGD6"/>
      <c r="VGE6"/>
      <c r="VGF6"/>
      <c r="VGG6"/>
      <c r="VGH6"/>
      <c r="VGI6"/>
      <c r="VGJ6"/>
      <c r="VGK6"/>
      <c r="VGL6"/>
      <c r="VGM6"/>
      <c r="VGN6"/>
      <c r="VGO6"/>
      <c r="VGP6"/>
      <c r="VGQ6"/>
      <c r="VGR6"/>
      <c r="VGS6"/>
      <c r="VGT6"/>
      <c r="VGU6"/>
      <c r="VGV6"/>
      <c r="VGW6"/>
      <c r="VGX6"/>
      <c r="VGY6"/>
      <c r="VGZ6"/>
      <c r="VHA6"/>
      <c r="VHB6"/>
      <c r="VHC6"/>
      <c r="VHD6"/>
      <c r="VHE6"/>
      <c r="VHF6"/>
      <c r="VHG6"/>
      <c r="VHH6"/>
      <c r="VHI6"/>
      <c r="VHJ6"/>
      <c r="VHK6"/>
      <c r="VHL6"/>
      <c r="VHM6"/>
      <c r="VHN6"/>
      <c r="VHO6"/>
      <c r="VHP6"/>
      <c r="VHQ6"/>
      <c r="VHR6"/>
      <c r="VHS6"/>
      <c r="VHT6"/>
      <c r="VHU6"/>
      <c r="VHV6"/>
      <c r="VHW6"/>
      <c r="VHX6"/>
      <c r="VHY6"/>
      <c r="VHZ6"/>
      <c r="VIA6"/>
      <c r="VIB6"/>
      <c r="VIC6"/>
      <c r="VID6"/>
      <c r="VIE6"/>
      <c r="VIF6"/>
      <c r="VIG6"/>
      <c r="VIH6"/>
      <c r="VII6"/>
      <c r="VIJ6"/>
      <c r="VIK6"/>
      <c r="VIL6"/>
      <c r="VIM6"/>
      <c r="VIN6"/>
      <c r="VIO6"/>
      <c r="VIP6"/>
      <c r="VIQ6"/>
      <c r="VIR6"/>
      <c r="VIS6"/>
      <c r="VIT6"/>
      <c r="VIU6"/>
      <c r="VIV6"/>
      <c r="VIW6"/>
      <c r="VIX6"/>
      <c r="VIY6"/>
      <c r="VIZ6"/>
      <c r="VJA6"/>
      <c r="VJB6"/>
      <c r="VJC6"/>
      <c r="VJD6"/>
      <c r="VJE6"/>
      <c r="VJF6"/>
      <c r="VJG6"/>
      <c r="VJH6"/>
      <c r="VJI6"/>
      <c r="VJJ6"/>
      <c r="VJK6"/>
      <c r="VJL6"/>
      <c r="VJM6"/>
      <c r="VJN6"/>
      <c r="VJO6"/>
      <c r="VJP6"/>
      <c r="VJQ6"/>
      <c r="VJR6"/>
      <c r="VJS6"/>
      <c r="VJT6"/>
      <c r="VJU6"/>
      <c r="VJV6"/>
      <c r="VJW6"/>
      <c r="VJX6"/>
      <c r="VJY6"/>
      <c r="VJZ6"/>
      <c r="VKA6"/>
      <c r="VKB6"/>
      <c r="VKC6"/>
      <c r="VKD6"/>
      <c r="VKE6"/>
      <c r="VKF6"/>
      <c r="VKG6"/>
      <c r="VKH6"/>
      <c r="VKI6"/>
      <c r="VKJ6"/>
      <c r="VKK6"/>
      <c r="VKL6"/>
      <c r="VKM6"/>
      <c r="VKN6"/>
      <c r="VKO6"/>
      <c r="VKP6"/>
      <c r="VKQ6"/>
      <c r="VKR6"/>
      <c r="VKS6"/>
      <c r="VKT6"/>
      <c r="VKU6"/>
      <c r="VKV6"/>
      <c r="VKW6"/>
      <c r="VKX6"/>
      <c r="VKY6"/>
      <c r="VKZ6"/>
      <c r="VLA6"/>
      <c r="VLB6"/>
      <c r="VLC6"/>
      <c r="VLD6"/>
      <c r="VLE6"/>
      <c r="VLF6"/>
      <c r="VLG6"/>
      <c r="VLH6"/>
      <c r="VLI6"/>
      <c r="VLJ6"/>
      <c r="VLK6"/>
      <c r="VLL6"/>
      <c r="VLM6"/>
      <c r="VLN6"/>
      <c r="VLO6"/>
      <c r="VLP6"/>
      <c r="VLQ6"/>
      <c r="VLR6"/>
      <c r="VLS6"/>
      <c r="VLT6"/>
      <c r="VLU6"/>
      <c r="VLV6"/>
      <c r="VLW6"/>
      <c r="VLX6"/>
      <c r="VLY6"/>
      <c r="VLZ6"/>
      <c r="VMA6"/>
      <c r="VMB6"/>
      <c r="VMC6"/>
      <c r="VMD6"/>
      <c r="VME6"/>
      <c r="VMF6"/>
      <c r="VMG6"/>
      <c r="VMH6"/>
      <c r="VMI6"/>
      <c r="VMJ6"/>
      <c r="VMK6"/>
      <c r="VML6"/>
      <c r="VMM6"/>
      <c r="VMN6"/>
      <c r="VMO6"/>
      <c r="VMP6"/>
      <c r="VMQ6"/>
      <c r="VMR6"/>
      <c r="VMS6"/>
      <c r="VMT6"/>
      <c r="VMU6"/>
      <c r="VMV6"/>
      <c r="VMW6"/>
      <c r="VMX6"/>
      <c r="VMY6"/>
      <c r="VMZ6"/>
      <c r="VNA6"/>
      <c r="VNB6"/>
      <c r="VNC6"/>
      <c r="VND6"/>
      <c r="VNE6"/>
      <c r="VNF6"/>
      <c r="VNG6"/>
      <c r="VNH6"/>
      <c r="VNI6"/>
      <c r="VNJ6"/>
      <c r="VNK6"/>
      <c r="VNL6"/>
      <c r="VNM6"/>
      <c r="VNN6"/>
      <c r="VNO6"/>
      <c r="VNP6"/>
      <c r="VNQ6"/>
      <c r="VNR6"/>
      <c r="VNS6"/>
      <c r="VNT6"/>
      <c r="VNU6"/>
      <c r="VNV6"/>
      <c r="VNW6"/>
      <c r="VNX6"/>
      <c r="VNY6"/>
      <c r="VNZ6"/>
      <c r="VOA6"/>
      <c r="VOB6"/>
      <c r="VOC6"/>
      <c r="VOD6"/>
      <c r="VOE6"/>
      <c r="VOF6"/>
      <c r="VOG6"/>
      <c r="VOH6"/>
      <c r="VOI6"/>
      <c r="VOJ6"/>
      <c r="VOK6"/>
      <c r="VOL6"/>
      <c r="VOM6"/>
      <c r="VON6"/>
      <c r="VOO6"/>
      <c r="VOP6"/>
      <c r="VOQ6"/>
      <c r="VOR6"/>
      <c r="VOS6"/>
      <c r="VOT6"/>
      <c r="VOU6"/>
      <c r="VOV6"/>
      <c r="VOW6"/>
      <c r="VOX6"/>
      <c r="VOY6"/>
      <c r="VOZ6"/>
      <c r="VPA6"/>
      <c r="VPB6"/>
      <c r="VPC6"/>
      <c r="VPD6"/>
      <c r="VPE6"/>
      <c r="VPF6"/>
      <c r="VPG6"/>
      <c r="VPH6"/>
      <c r="VPI6"/>
      <c r="VPJ6"/>
      <c r="VPK6"/>
      <c r="VPL6"/>
      <c r="VPM6"/>
      <c r="VPN6"/>
      <c r="VPO6"/>
      <c r="VPP6"/>
      <c r="VPQ6"/>
      <c r="VPR6"/>
      <c r="VPS6"/>
      <c r="VPT6"/>
      <c r="VPU6"/>
      <c r="VPV6"/>
      <c r="VPW6"/>
      <c r="VPX6"/>
      <c r="VPY6"/>
      <c r="VPZ6"/>
      <c r="VQA6"/>
      <c r="VQB6"/>
      <c r="VQC6"/>
      <c r="VQD6"/>
      <c r="VQE6"/>
      <c r="VQF6"/>
      <c r="VQG6"/>
      <c r="VQH6"/>
      <c r="VQI6"/>
      <c r="VQJ6"/>
      <c r="VQK6"/>
      <c r="VQL6"/>
      <c r="VQM6"/>
      <c r="VQN6"/>
      <c r="VQO6"/>
      <c r="VQP6"/>
      <c r="VQQ6"/>
      <c r="VQR6"/>
      <c r="VQS6"/>
      <c r="VQT6"/>
      <c r="VQU6"/>
      <c r="VQV6"/>
      <c r="VQW6"/>
      <c r="VQX6"/>
      <c r="VQY6"/>
      <c r="VQZ6"/>
      <c r="VRA6"/>
      <c r="VRB6"/>
      <c r="VRC6"/>
      <c r="VRD6"/>
      <c r="VRE6"/>
      <c r="VRF6"/>
      <c r="VRG6"/>
      <c r="VRH6"/>
      <c r="VRI6"/>
      <c r="VRJ6"/>
      <c r="VRK6"/>
      <c r="VRL6"/>
      <c r="VRM6"/>
      <c r="VRN6"/>
      <c r="VRO6"/>
      <c r="VRP6"/>
      <c r="VRQ6"/>
      <c r="VRR6"/>
      <c r="VRS6"/>
      <c r="VRT6"/>
      <c r="VRU6"/>
      <c r="VRV6"/>
      <c r="VRW6"/>
      <c r="VRX6"/>
      <c r="VRY6"/>
      <c r="VRZ6"/>
      <c r="VSA6"/>
      <c r="VSB6"/>
      <c r="VSC6"/>
      <c r="VSD6"/>
      <c r="VSE6"/>
      <c r="VSF6"/>
      <c r="VSG6"/>
      <c r="VSH6"/>
      <c r="VSI6"/>
      <c r="VSJ6"/>
      <c r="VSK6"/>
      <c r="VSL6"/>
      <c r="VSM6"/>
      <c r="VSN6"/>
      <c r="VSO6"/>
      <c r="VSP6"/>
      <c r="VSQ6"/>
      <c r="VSR6"/>
      <c r="VSS6"/>
      <c r="VST6"/>
      <c r="VSU6"/>
      <c r="VSV6"/>
      <c r="VSW6"/>
      <c r="VSX6"/>
      <c r="VSY6"/>
      <c r="VSZ6"/>
      <c r="VTA6"/>
      <c r="VTB6"/>
      <c r="VTC6"/>
      <c r="VTD6"/>
      <c r="VTE6"/>
      <c r="VTF6"/>
      <c r="VTG6"/>
      <c r="VTH6"/>
      <c r="VTI6"/>
      <c r="VTJ6"/>
      <c r="VTK6"/>
      <c r="VTL6"/>
      <c r="VTM6"/>
      <c r="VTN6"/>
      <c r="VTO6"/>
      <c r="VTP6"/>
      <c r="VTQ6"/>
      <c r="VTR6"/>
      <c r="VTS6"/>
      <c r="VTT6"/>
      <c r="VTU6"/>
      <c r="VTV6"/>
      <c r="VTW6"/>
      <c r="VTX6"/>
      <c r="VTY6"/>
      <c r="VTZ6"/>
      <c r="VUA6"/>
      <c r="VUB6"/>
      <c r="VUC6"/>
      <c r="VUD6"/>
      <c r="VUE6"/>
      <c r="VUF6"/>
      <c r="VUG6"/>
      <c r="VUH6"/>
      <c r="VUI6"/>
      <c r="VUJ6"/>
      <c r="VUK6"/>
      <c r="VUL6"/>
      <c r="VUM6"/>
      <c r="VUN6"/>
      <c r="VUO6"/>
      <c r="VUP6"/>
      <c r="VUQ6"/>
      <c r="VUR6"/>
      <c r="VUS6"/>
      <c r="VUT6"/>
      <c r="VUU6"/>
      <c r="VUV6"/>
      <c r="VUW6"/>
      <c r="VUX6"/>
      <c r="VUY6"/>
      <c r="VUZ6"/>
      <c r="VVA6"/>
      <c r="VVB6"/>
      <c r="VVC6"/>
      <c r="VVD6"/>
      <c r="VVE6"/>
      <c r="VVF6"/>
      <c r="VVG6"/>
      <c r="VVH6"/>
      <c r="VVI6"/>
      <c r="VVJ6"/>
      <c r="VVK6"/>
      <c r="VVL6"/>
      <c r="VVM6"/>
      <c r="VVN6"/>
      <c r="VVO6"/>
      <c r="VVP6"/>
      <c r="VVQ6"/>
      <c r="VVR6"/>
      <c r="VVS6"/>
      <c r="VVT6"/>
      <c r="VVU6"/>
      <c r="VVV6"/>
      <c r="VVW6"/>
      <c r="VVX6"/>
      <c r="VVY6"/>
      <c r="VVZ6"/>
      <c r="VWA6"/>
      <c r="VWB6"/>
      <c r="VWC6"/>
      <c r="VWD6"/>
      <c r="VWE6"/>
      <c r="VWF6"/>
      <c r="VWG6"/>
      <c r="VWH6"/>
      <c r="VWI6"/>
      <c r="VWJ6"/>
      <c r="VWK6"/>
      <c r="VWL6"/>
      <c r="VWM6"/>
      <c r="VWN6"/>
      <c r="VWO6"/>
      <c r="VWP6"/>
      <c r="VWQ6"/>
      <c r="VWR6"/>
      <c r="VWS6"/>
      <c r="VWT6"/>
      <c r="VWU6"/>
      <c r="VWV6"/>
      <c r="VWW6"/>
      <c r="VWX6"/>
      <c r="VWY6"/>
      <c r="VWZ6"/>
      <c r="VXA6"/>
      <c r="VXB6"/>
      <c r="VXC6"/>
      <c r="VXD6"/>
      <c r="VXE6"/>
      <c r="VXF6"/>
      <c r="VXG6"/>
      <c r="VXH6"/>
      <c r="VXI6"/>
      <c r="VXJ6"/>
      <c r="VXK6"/>
      <c r="VXL6"/>
      <c r="VXM6"/>
      <c r="VXN6"/>
      <c r="VXO6"/>
      <c r="VXP6"/>
      <c r="VXQ6"/>
      <c r="VXR6"/>
      <c r="VXS6"/>
      <c r="VXT6"/>
      <c r="VXU6"/>
      <c r="VXV6"/>
      <c r="VXW6"/>
      <c r="VXX6"/>
      <c r="VXY6"/>
      <c r="VXZ6"/>
      <c r="VYA6"/>
      <c r="VYB6"/>
      <c r="VYC6"/>
      <c r="VYD6"/>
      <c r="VYE6"/>
      <c r="VYF6"/>
      <c r="VYG6"/>
      <c r="VYH6"/>
      <c r="VYI6"/>
      <c r="VYJ6"/>
      <c r="VYK6"/>
      <c r="VYL6"/>
      <c r="VYM6"/>
      <c r="VYN6"/>
      <c r="VYO6"/>
      <c r="VYP6"/>
      <c r="VYQ6"/>
      <c r="VYR6"/>
      <c r="VYS6"/>
      <c r="VYT6"/>
      <c r="VYU6"/>
      <c r="VYV6"/>
      <c r="VYW6"/>
      <c r="VYX6"/>
      <c r="VYY6"/>
      <c r="VYZ6"/>
      <c r="VZA6"/>
      <c r="VZB6"/>
      <c r="VZC6"/>
      <c r="VZD6"/>
      <c r="VZE6"/>
      <c r="VZF6"/>
      <c r="VZG6"/>
      <c r="VZH6"/>
      <c r="VZI6"/>
      <c r="VZJ6"/>
      <c r="VZK6"/>
      <c r="VZL6"/>
      <c r="VZM6"/>
      <c r="VZN6"/>
      <c r="VZO6"/>
      <c r="VZP6"/>
      <c r="VZQ6"/>
      <c r="VZR6"/>
      <c r="VZS6"/>
      <c r="VZT6"/>
      <c r="VZU6"/>
      <c r="VZV6"/>
      <c r="VZW6"/>
      <c r="VZX6"/>
      <c r="VZY6"/>
      <c r="VZZ6"/>
      <c r="WAA6"/>
      <c r="WAB6"/>
      <c r="WAC6"/>
      <c r="WAD6"/>
      <c r="WAE6"/>
      <c r="WAF6"/>
      <c r="WAG6"/>
      <c r="WAH6"/>
      <c r="WAI6"/>
      <c r="WAJ6"/>
      <c r="WAK6"/>
      <c r="WAL6"/>
      <c r="WAM6"/>
      <c r="WAN6"/>
      <c r="WAO6"/>
      <c r="WAP6"/>
      <c r="WAQ6"/>
      <c r="WAR6"/>
      <c r="WAS6"/>
      <c r="WAT6"/>
      <c r="WAU6"/>
      <c r="WAV6"/>
      <c r="WAW6"/>
      <c r="WAX6"/>
      <c r="WAY6"/>
      <c r="WAZ6"/>
      <c r="WBA6"/>
      <c r="WBB6"/>
      <c r="WBC6"/>
      <c r="WBD6"/>
      <c r="WBE6"/>
      <c r="WBF6"/>
      <c r="WBG6"/>
      <c r="WBH6"/>
      <c r="WBI6"/>
      <c r="WBJ6"/>
      <c r="WBK6"/>
      <c r="WBL6"/>
      <c r="WBM6"/>
      <c r="WBN6"/>
      <c r="WBO6"/>
      <c r="WBP6"/>
      <c r="WBQ6"/>
      <c r="WBR6"/>
      <c r="WBS6"/>
      <c r="WBT6"/>
      <c r="WBU6"/>
      <c r="WBV6"/>
      <c r="WBW6"/>
      <c r="WBX6"/>
      <c r="WBY6"/>
      <c r="WBZ6"/>
      <c r="WCA6"/>
      <c r="WCB6"/>
      <c r="WCC6"/>
      <c r="WCD6"/>
      <c r="WCE6"/>
      <c r="WCF6"/>
      <c r="WCG6"/>
      <c r="WCH6"/>
      <c r="WCI6"/>
      <c r="WCJ6"/>
      <c r="WCK6"/>
      <c r="WCL6"/>
      <c r="WCM6"/>
      <c r="WCN6"/>
      <c r="WCO6"/>
      <c r="WCP6"/>
      <c r="WCQ6"/>
      <c r="WCR6"/>
      <c r="WCS6"/>
      <c r="WCT6"/>
      <c r="WCU6"/>
      <c r="WCV6"/>
      <c r="WCW6"/>
      <c r="WCX6"/>
      <c r="WCY6"/>
      <c r="WCZ6"/>
      <c r="WDA6"/>
      <c r="WDB6"/>
      <c r="WDC6"/>
      <c r="WDD6"/>
      <c r="WDE6"/>
      <c r="WDF6"/>
      <c r="WDG6"/>
      <c r="WDH6"/>
      <c r="WDI6"/>
      <c r="WDJ6"/>
      <c r="WDK6"/>
      <c r="WDL6"/>
      <c r="WDM6"/>
      <c r="WDN6"/>
      <c r="WDO6"/>
      <c r="WDP6"/>
      <c r="WDQ6"/>
      <c r="WDR6"/>
      <c r="WDS6"/>
      <c r="WDT6"/>
      <c r="WDU6"/>
      <c r="WDV6"/>
      <c r="WDW6"/>
      <c r="WDX6"/>
      <c r="WDY6"/>
      <c r="WDZ6"/>
      <c r="WEA6"/>
      <c r="WEB6"/>
      <c r="WEC6"/>
      <c r="WED6"/>
      <c r="WEE6"/>
      <c r="WEF6"/>
      <c r="WEG6"/>
      <c r="WEH6"/>
      <c r="WEI6"/>
      <c r="WEJ6"/>
      <c r="WEK6"/>
      <c r="WEL6"/>
      <c r="WEM6"/>
      <c r="WEN6"/>
      <c r="WEO6"/>
      <c r="WEP6"/>
      <c r="WEQ6"/>
      <c r="WER6"/>
      <c r="WES6"/>
      <c r="WET6"/>
      <c r="WEU6"/>
      <c r="WEV6"/>
      <c r="WEW6"/>
      <c r="WEX6"/>
      <c r="WEY6"/>
      <c r="WEZ6"/>
      <c r="WFA6"/>
      <c r="WFB6"/>
      <c r="WFC6"/>
      <c r="WFD6"/>
      <c r="WFE6"/>
      <c r="WFF6"/>
      <c r="WFG6"/>
      <c r="WFH6"/>
      <c r="WFI6"/>
      <c r="WFJ6"/>
      <c r="WFK6"/>
      <c r="WFL6"/>
      <c r="WFM6"/>
      <c r="WFN6"/>
      <c r="WFO6"/>
      <c r="WFP6"/>
      <c r="WFQ6"/>
      <c r="WFR6"/>
      <c r="WFS6"/>
      <c r="WFT6"/>
      <c r="WFU6"/>
      <c r="WFV6"/>
      <c r="WFW6"/>
      <c r="WFX6"/>
      <c r="WFY6"/>
      <c r="WFZ6"/>
      <c r="WGA6"/>
      <c r="WGB6"/>
      <c r="WGC6"/>
      <c r="WGD6"/>
      <c r="WGE6"/>
      <c r="WGF6"/>
      <c r="WGG6"/>
      <c r="WGH6"/>
      <c r="WGI6"/>
      <c r="WGJ6"/>
      <c r="WGK6"/>
      <c r="WGL6"/>
      <c r="WGM6"/>
      <c r="WGN6"/>
      <c r="WGO6"/>
      <c r="WGP6"/>
      <c r="WGQ6"/>
      <c r="WGR6"/>
      <c r="WGS6"/>
      <c r="WGT6"/>
      <c r="WGU6"/>
      <c r="WGV6"/>
      <c r="WGW6"/>
      <c r="WGX6"/>
      <c r="WGY6"/>
      <c r="WGZ6"/>
      <c r="WHA6"/>
      <c r="WHB6"/>
      <c r="WHC6"/>
      <c r="WHD6"/>
      <c r="WHE6"/>
      <c r="WHF6"/>
      <c r="WHG6"/>
      <c r="WHH6"/>
      <c r="WHI6"/>
      <c r="WHJ6"/>
      <c r="WHK6"/>
      <c r="WHL6"/>
      <c r="WHM6"/>
      <c r="WHN6"/>
      <c r="WHO6"/>
      <c r="WHP6"/>
      <c r="WHQ6"/>
      <c r="WHR6"/>
      <c r="WHS6"/>
      <c r="WHT6"/>
      <c r="WHU6"/>
      <c r="WHV6"/>
      <c r="WHW6"/>
      <c r="WHX6"/>
      <c r="WHY6"/>
      <c r="WHZ6"/>
      <c r="WIA6"/>
      <c r="WIB6"/>
      <c r="WIC6"/>
      <c r="WID6"/>
      <c r="WIE6"/>
      <c r="WIF6"/>
      <c r="WIG6"/>
      <c r="WIH6"/>
      <c r="WII6"/>
      <c r="WIJ6"/>
      <c r="WIK6"/>
      <c r="WIL6"/>
      <c r="WIM6"/>
      <c r="WIN6"/>
      <c r="WIO6"/>
      <c r="WIP6"/>
      <c r="WIQ6"/>
      <c r="WIR6"/>
      <c r="WIS6"/>
      <c r="WIT6"/>
      <c r="WIU6"/>
      <c r="WIV6"/>
      <c r="WIW6"/>
      <c r="WIX6"/>
      <c r="WIY6"/>
      <c r="WIZ6"/>
      <c r="WJA6"/>
      <c r="WJB6"/>
      <c r="WJC6"/>
      <c r="WJD6"/>
      <c r="WJE6"/>
      <c r="WJF6"/>
      <c r="WJG6"/>
      <c r="WJH6"/>
      <c r="WJI6"/>
      <c r="WJJ6"/>
      <c r="WJK6"/>
      <c r="WJL6"/>
      <c r="WJM6"/>
      <c r="WJN6"/>
      <c r="WJO6"/>
      <c r="WJP6"/>
      <c r="WJQ6"/>
      <c r="WJR6"/>
      <c r="WJS6"/>
      <c r="WJT6"/>
      <c r="WJU6"/>
      <c r="WJV6"/>
      <c r="WJW6"/>
      <c r="WJX6"/>
      <c r="WJY6"/>
      <c r="WJZ6"/>
      <c r="WKA6"/>
      <c r="WKB6"/>
      <c r="WKC6"/>
      <c r="WKD6"/>
      <c r="WKE6"/>
      <c r="WKF6"/>
      <c r="WKG6"/>
      <c r="WKH6"/>
      <c r="WKI6"/>
      <c r="WKJ6"/>
      <c r="WKK6"/>
      <c r="WKL6"/>
      <c r="WKM6"/>
      <c r="WKN6"/>
      <c r="WKO6"/>
      <c r="WKP6"/>
      <c r="WKQ6"/>
      <c r="WKR6"/>
      <c r="WKS6"/>
      <c r="WKT6"/>
      <c r="WKU6"/>
      <c r="WKV6"/>
      <c r="WKW6"/>
      <c r="WKX6"/>
      <c r="WKY6"/>
      <c r="WKZ6"/>
      <c r="WLA6"/>
      <c r="WLB6"/>
      <c r="WLC6"/>
      <c r="WLD6"/>
      <c r="WLE6"/>
      <c r="WLF6"/>
      <c r="WLG6"/>
      <c r="WLH6"/>
      <c r="WLI6"/>
      <c r="WLJ6"/>
      <c r="WLK6"/>
      <c r="WLL6"/>
      <c r="WLM6"/>
      <c r="WLN6"/>
      <c r="WLO6"/>
      <c r="WLP6"/>
      <c r="WLQ6"/>
      <c r="WLR6"/>
      <c r="WLS6"/>
      <c r="WLT6"/>
      <c r="WLU6"/>
      <c r="WLV6"/>
      <c r="WLW6"/>
      <c r="WLX6"/>
      <c r="WLY6"/>
      <c r="WLZ6"/>
      <c r="WMA6"/>
      <c r="WMB6"/>
      <c r="WMC6"/>
      <c r="WMD6"/>
      <c r="WME6"/>
      <c r="WMF6"/>
      <c r="WMG6"/>
      <c r="WMH6"/>
      <c r="WMI6"/>
      <c r="WMJ6"/>
      <c r="WMK6"/>
      <c r="WML6"/>
      <c r="WMM6"/>
      <c r="WMN6"/>
      <c r="WMO6"/>
      <c r="WMP6"/>
      <c r="WMQ6"/>
      <c r="WMR6"/>
      <c r="WMS6"/>
      <c r="WMT6"/>
      <c r="WMU6"/>
      <c r="WMV6"/>
      <c r="WMW6"/>
      <c r="WMX6"/>
      <c r="WMY6"/>
      <c r="WMZ6"/>
      <c r="WNA6"/>
      <c r="WNB6"/>
      <c r="WNC6"/>
      <c r="WND6"/>
      <c r="WNE6"/>
      <c r="WNF6"/>
      <c r="WNG6"/>
      <c r="WNH6"/>
      <c r="WNI6"/>
      <c r="WNJ6"/>
      <c r="WNK6"/>
      <c r="WNL6"/>
      <c r="WNM6"/>
      <c r="WNN6"/>
      <c r="WNO6"/>
      <c r="WNP6"/>
      <c r="WNQ6"/>
      <c r="WNR6"/>
      <c r="WNS6"/>
      <c r="WNT6"/>
      <c r="WNU6"/>
      <c r="WNV6"/>
      <c r="WNW6"/>
      <c r="WNX6"/>
      <c r="WNY6"/>
      <c r="WNZ6"/>
      <c r="WOA6"/>
      <c r="WOB6"/>
      <c r="WOC6"/>
      <c r="WOD6"/>
      <c r="WOE6"/>
      <c r="WOF6"/>
      <c r="WOG6"/>
      <c r="WOH6"/>
      <c r="WOI6"/>
      <c r="WOJ6"/>
      <c r="WOK6"/>
      <c r="WOL6"/>
      <c r="WOM6"/>
      <c r="WON6"/>
      <c r="WOO6"/>
      <c r="WOP6"/>
      <c r="WOQ6"/>
      <c r="WOR6"/>
      <c r="WOS6"/>
      <c r="WOT6"/>
      <c r="WOU6"/>
      <c r="WOV6"/>
      <c r="WOW6"/>
      <c r="WOX6"/>
      <c r="WOY6"/>
      <c r="WOZ6"/>
      <c r="WPA6"/>
      <c r="WPB6"/>
      <c r="WPC6"/>
      <c r="WPD6"/>
      <c r="WPE6"/>
      <c r="WPF6"/>
      <c r="WPG6"/>
      <c r="WPH6"/>
      <c r="WPI6"/>
      <c r="WPJ6"/>
      <c r="WPK6"/>
      <c r="WPL6"/>
      <c r="WPM6"/>
      <c r="WPN6"/>
      <c r="WPO6"/>
      <c r="WPP6"/>
      <c r="WPQ6"/>
      <c r="WPR6"/>
      <c r="WPS6"/>
      <c r="WPT6"/>
      <c r="WPU6"/>
      <c r="WPV6"/>
      <c r="WPW6"/>
      <c r="WPX6"/>
      <c r="WPY6"/>
      <c r="WPZ6"/>
      <c r="WQA6"/>
      <c r="WQB6"/>
      <c r="WQC6"/>
      <c r="WQD6"/>
      <c r="WQE6"/>
      <c r="WQF6"/>
      <c r="WQG6"/>
      <c r="WQH6"/>
      <c r="WQI6"/>
      <c r="WQJ6"/>
      <c r="WQK6"/>
      <c r="WQL6"/>
      <c r="WQM6"/>
      <c r="WQN6"/>
      <c r="WQO6"/>
      <c r="WQP6"/>
      <c r="WQQ6"/>
      <c r="WQR6"/>
      <c r="WQS6"/>
      <c r="WQT6"/>
      <c r="WQU6"/>
      <c r="WQV6"/>
      <c r="WQW6"/>
      <c r="WQX6"/>
      <c r="WQY6"/>
      <c r="WQZ6"/>
      <c r="WRA6"/>
      <c r="WRB6"/>
      <c r="WRC6"/>
      <c r="WRD6"/>
      <c r="WRE6"/>
      <c r="WRF6"/>
      <c r="WRG6"/>
      <c r="WRH6"/>
      <c r="WRI6"/>
      <c r="WRJ6"/>
      <c r="WRK6"/>
      <c r="WRL6"/>
      <c r="WRM6"/>
      <c r="WRN6"/>
      <c r="WRO6"/>
      <c r="WRP6"/>
      <c r="WRQ6"/>
      <c r="WRR6"/>
      <c r="WRS6"/>
      <c r="WRT6"/>
      <c r="WRU6"/>
      <c r="WRV6"/>
      <c r="WRW6"/>
      <c r="WRX6"/>
      <c r="WRY6"/>
      <c r="WRZ6"/>
      <c r="WSA6"/>
      <c r="WSB6"/>
      <c r="WSC6"/>
      <c r="WSD6"/>
      <c r="WSE6"/>
      <c r="WSF6"/>
      <c r="WSG6"/>
      <c r="WSH6"/>
      <c r="WSI6"/>
      <c r="WSJ6"/>
      <c r="WSK6"/>
      <c r="WSL6"/>
      <c r="WSM6"/>
      <c r="WSN6"/>
      <c r="WSO6"/>
      <c r="WSP6"/>
      <c r="WSQ6"/>
      <c r="WSR6"/>
      <c r="WSS6"/>
      <c r="WST6"/>
      <c r="WSU6"/>
      <c r="WSV6"/>
      <c r="WSW6"/>
      <c r="WSX6"/>
      <c r="WSY6"/>
      <c r="WSZ6"/>
      <c r="WTA6"/>
      <c r="WTB6"/>
      <c r="WTC6"/>
      <c r="WTD6"/>
      <c r="WTE6"/>
      <c r="WTF6"/>
      <c r="WTG6"/>
      <c r="WTH6"/>
      <c r="WTI6"/>
      <c r="WTJ6"/>
      <c r="WTK6"/>
      <c r="WTL6"/>
      <c r="WTM6"/>
      <c r="WTN6"/>
      <c r="WTO6"/>
      <c r="WTP6"/>
      <c r="WTQ6"/>
      <c r="WTR6"/>
      <c r="WTS6"/>
      <c r="WTT6"/>
      <c r="WTU6"/>
      <c r="WTV6"/>
      <c r="WTW6"/>
      <c r="WTX6"/>
      <c r="WTY6"/>
      <c r="WTZ6"/>
      <c r="WUA6"/>
      <c r="WUB6"/>
      <c r="WUC6"/>
      <c r="WUD6"/>
      <c r="WUE6"/>
      <c r="WUF6"/>
      <c r="WUG6"/>
      <c r="WUH6"/>
      <c r="WUI6"/>
      <c r="WUJ6"/>
      <c r="WUK6"/>
      <c r="WUL6"/>
      <c r="WUM6"/>
      <c r="WUN6"/>
      <c r="WUO6"/>
      <c r="WUP6"/>
      <c r="WUQ6"/>
      <c r="WUR6"/>
      <c r="WUS6"/>
      <c r="WUT6"/>
      <c r="WUU6"/>
      <c r="WUV6"/>
      <c r="WUW6"/>
      <c r="WUX6"/>
      <c r="WUY6"/>
      <c r="WUZ6"/>
      <c r="WVA6"/>
      <c r="WVB6"/>
      <c r="WVC6"/>
      <c r="WVD6"/>
      <c r="WVE6"/>
      <c r="WVF6"/>
      <c r="WVG6"/>
      <c r="WVH6"/>
      <c r="WVI6"/>
      <c r="WVJ6"/>
      <c r="WVK6"/>
      <c r="WVL6"/>
      <c r="WVM6"/>
      <c r="WVN6"/>
      <c r="WVO6"/>
      <c r="WVP6"/>
      <c r="WVQ6"/>
      <c r="WVR6"/>
      <c r="WVS6"/>
      <c r="WVT6"/>
      <c r="WVU6"/>
      <c r="WVV6"/>
      <c r="WVW6"/>
      <c r="WVX6"/>
      <c r="WVY6"/>
      <c r="WVZ6"/>
      <c r="WWA6"/>
      <c r="WWB6"/>
      <c r="WWC6"/>
      <c r="WWD6"/>
      <c r="WWE6"/>
      <c r="WWF6"/>
      <c r="WWG6"/>
      <c r="WWH6"/>
      <c r="WWI6"/>
      <c r="WWJ6"/>
      <c r="WWK6"/>
      <c r="WWL6"/>
      <c r="WWM6"/>
      <c r="WWN6"/>
      <c r="WWO6"/>
      <c r="WWP6"/>
      <c r="WWQ6"/>
      <c r="WWR6"/>
      <c r="WWS6"/>
      <c r="WWT6"/>
      <c r="WWU6"/>
      <c r="WWV6"/>
      <c r="WWW6"/>
      <c r="WWX6"/>
      <c r="WWY6"/>
      <c r="WWZ6"/>
      <c r="WXA6"/>
      <c r="WXB6"/>
      <c r="WXC6"/>
      <c r="WXD6"/>
      <c r="WXE6"/>
      <c r="WXF6"/>
      <c r="WXG6"/>
      <c r="WXH6"/>
      <c r="WXI6"/>
      <c r="WXJ6"/>
      <c r="WXK6"/>
      <c r="WXL6"/>
      <c r="WXM6"/>
      <c r="WXN6"/>
      <c r="WXO6"/>
      <c r="WXP6"/>
      <c r="WXQ6"/>
      <c r="WXR6"/>
      <c r="WXS6"/>
      <c r="WXT6"/>
      <c r="WXU6"/>
      <c r="WXV6"/>
      <c r="WXW6"/>
      <c r="WXX6"/>
      <c r="WXY6"/>
      <c r="WXZ6"/>
      <c r="WYA6"/>
      <c r="WYB6"/>
      <c r="WYC6"/>
      <c r="WYD6"/>
      <c r="WYE6"/>
      <c r="WYF6"/>
      <c r="WYG6"/>
      <c r="WYH6"/>
      <c r="WYI6"/>
      <c r="WYJ6"/>
      <c r="WYK6"/>
      <c r="WYL6"/>
      <c r="WYM6"/>
      <c r="WYN6"/>
      <c r="WYO6"/>
      <c r="WYP6"/>
      <c r="WYQ6"/>
      <c r="WYR6"/>
      <c r="WYS6"/>
      <c r="WYT6"/>
      <c r="WYU6"/>
      <c r="WYV6"/>
      <c r="WYW6"/>
      <c r="WYX6"/>
      <c r="WYY6"/>
      <c r="WYZ6"/>
      <c r="WZA6"/>
      <c r="WZB6"/>
      <c r="WZC6"/>
      <c r="WZD6"/>
      <c r="WZE6"/>
      <c r="WZF6"/>
      <c r="WZG6"/>
      <c r="WZH6"/>
      <c r="WZI6"/>
      <c r="WZJ6"/>
      <c r="WZK6"/>
      <c r="WZL6"/>
      <c r="WZM6"/>
      <c r="WZN6"/>
      <c r="WZO6"/>
      <c r="WZP6"/>
      <c r="WZQ6"/>
      <c r="WZR6"/>
      <c r="WZS6"/>
      <c r="WZT6"/>
      <c r="WZU6"/>
      <c r="WZV6"/>
      <c r="WZW6"/>
      <c r="WZX6"/>
      <c r="WZY6"/>
      <c r="WZZ6"/>
      <c r="XAA6"/>
      <c r="XAB6"/>
      <c r="XAC6"/>
      <c r="XAD6"/>
      <c r="XAE6"/>
      <c r="XAF6"/>
      <c r="XAG6"/>
      <c r="XAH6"/>
      <c r="XAI6"/>
      <c r="XAJ6"/>
      <c r="XAK6"/>
      <c r="XAL6"/>
      <c r="XAM6"/>
      <c r="XAN6"/>
      <c r="XAO6"/>
      <c r="XAP6"/>
      <c r="XAQ6"/>
      <c r="XAR6"/>
      <c r="XAS6"/>
      <c r="XAT6"/>
      <c r="XAU6"/>
      <c r="XAV6"/>
      <c r="XAW6"/>
      <c r="XAX6"/>
      <c r="XAY6"/>
      <c r="XAZ6"/>
      <c r="XBA6"/>
      <c r="XBB6"/>
      <c r="XBC6"/>
      <c r="XBD6"/>
      <c r="XBE6"/>
      <c r="XBF6"/>
      <c r="XBG6"/>
      <c r="XBH6"/>
      <c r="XBI6"/>
      <c r="XBJ6"/>
      <c r="XBK6"/>
      <c r="XBL6"/>
      <c r="XBM6"/>
      <c r="XBN6"/>
      <c r="XBO6"/>
      <c r="XBP6"/>
      <c r="XBQ6"/>
      <c r="XBR6"/>
      <c r="XBS6"/>
      <c r="XBT6"/>
      <c r="XBU6"/>
      <c r="XBV6"/>
      <c r="XBW6"/>
      <c r="XBX6"/>
      <c r="XBY6"/>
      <c r="XBZ6"/>
      <c r="XCA6"/>
      <c r="XCB6"/>
      <c r="XCC6"/>
      <c r="XCD6"/>
      <c r="XCE6"/>
      <c r="XCF6"/>
      <c r="XCG6"/>
      <c r="XCH6"/>
      <c r="XCI6"/>
      <c r="XCJ6"/>
      <c r="XCK6"/>
      <c r="XCL6"/>
      <c r="XCM6"/>
      <c r="XCN6"/>
      <c r="XCO6"/>
      <c r="XCP6"/>
      <c r="XCQ6"/>
      <c r="XCR6"/>
      <c r="XCS6"/>
      <c r="XCT6"/>
      <c r="XCU6"/>
      <c r="XCV6"/>
      <c r="XCW6"/>
      <c r="XCX6"/>
      <c r="XCY6"/>
      <c r="XCZ6"/>
      <c r="XDA6"/>
      <c r="XDB6"/>
      <c r="XDC6"/>
      <c r="XDD6"/>
      <c r="XDE6"/>
      <c r="XDF6"/>
      <c r="XDG6"/>
      <c r="XDH6"/>
      <c r="XDI6"/>
      <c r="XDJ6"/>
      <c r="XDK6"/>
      <c r="XDL6"/>
      <c r="XDM6"/>
      <c r="XDN6"/>
      <c r="XDO6"/>
      <c r="XDP6"/>
      <c r="XDQ6"/>
      <c r="XDR6"/>
      <c r="XDS6"/>
      <c r="XDT6"/>
      <c r="XDU6"/>
      <c r="XDV6"/>
      <c r="XDW6"/>
      <c r="XDX6"/>
      <c r="XDY6"/>
      <c r="XDZ6"/>
      <c r="XEA6"/>
      <c r="XEB6"/>
      <c r="XEC6"/>
      <c r="XED6"/>
      <c r="XEE6"/>
      <c r="XEF6"/>
      <c r="XEG6"/>
      <c r="XEH6"/>
      <c r="XEI6"/>
      <c r="XEJ6"/>
      <c r="XEK6"/>
      <c r="XEL6"/>
      <c r="XEM6"/>
      <c r="XEN6"/>
      <c r="XEO6"/>
      <c r="XEP6"/>
      <c r="XEQ6"/>
      <c r="XER6"/>
      <c r="XES6"/>
      <c r="XET6"/>
      <c r="XEU6"/>
      <c r="XEV6"/>
      <c r="XEW6"/>
      <c r="XEX6"/>
      <c r="XEY6"/>
      <c r="XEZ6"/>
      <c r="XFA6"/>
      <c r="XFB6"/>
      <c r="XFC6"/>
      <c r="XFD6"/>
    </row>
    <row r="7" spans="1:16384">
      <c r="A7" s="61" t="s">
        <v>524</v>
      </c>
      <c r="B7" s="117">
        <v>4000000</v>
      </c>
      <c r="I7" s="35"/>
      <c r="J7" s="134"/>
      <c r="L7" s="35"/>
      <c r="M7" s="35"/>
      <c r="N7" s="67"/>
      <c r="S7" s="72"/>
      <c r="T7" s="72"/>
      <c r="U7" s="72"/>
      <c r="V7" s="72"/>
      <c r="W7" s="72"/>
      <c r="X7" s="72"/>
      <c r="Y7" s="72"/>
      <c r="Z7" s="72"/>
      <c r="AA7" s="72"/>
      <c r="AB7" s="72"/>
      <c r="AC7" s="72"/>
      <c r="AD7" s="72"/>
      <c r="AE7" s="72"/>
      <c r="AF7" s="72"/>
      <c r="AG7" s="72"/>
      <c r="AI7" s="35">
        <f t="shared" si="10"/>
        <v>1.0411985492844529</v>
      </c>
      <c r="AJ7" t="b">
        <f t="shared" si="9"/>
        <v>0</v>
      </c>
      <c r="AK7" s="158">
        <v>44616</v>
      </c>
      <c r="AL7" s="139">
        <f t="shared" si="11"/>
        <v>16450</v>
      </c>
      <c r="AM7" s="34">
        <v>0</v>
      </c>
      <c r="AN7" s="137">
        <v>0</v>
      </c>
      <c r="AO7" s="34">
        <v>0.88</v>
      </c>
      <c r="AP7" s="139">
        <v>16450</v>
      </c>
      <c r="AQ7" s="34">
        <v>20.5</v>
      </c>
      <c r="AR7" t="s">
        <v>502</v>
      </c>
      <c r="AS7" s="138">
        <v>64.400000000000006</v>
      </c>
      <c r="AT7" s="34">
        <v>-0.12</v>
      </c>
      <c r="AU7" s="34">
        <v>7800</v>
      </c>
      <c r="AV7" s="34">
        <v>-3.18</v>
      </c>
      <c r="AW7" s="34">
        <v>10.54</v>
      </c>
      <c r="AX7" s="34">
        <v>1.8000000000000001E-4</v>
      </c>
      <c r="BC7" s="34"/>
      <c r="BU7" s="134"/>
      <c r="BZ7" s="34"/>
      <c r="CR7" s="134"/>
      <c r="CV7">
        <f>CW6-500</f>
        <v>17050</v>
      </c>
      <c r="CW7">
        <f>-MAX(CV7-$CW$6,0)+$CW$4</f>
        <v>79</v>
      </c>
      <c r="CX7">
        <f>$CX$4-MAX($CX$6-CV7,0)</f>
        <v>-426</v>
      </c>
      <c r="CY7">
        <f>CW7+CX7</f>
        <v>-347</v>
      </c>
      <c r="CZ7">
        <f>CY7*50</f>
        <v>-17350</v>
      </c>
      <c r="DB7" s="34">
        <f>-OptionPrice("C",$CV7,$CW$6,2/365,5%,$DC$3,0)+$CW$4</f>
        <v>78.623024194258448</v>
      </c>
      <c r="DC7" s="34">
        <f>-OptionPrice("P",$CV7,$CX$6,2/365,5%,$DC$3,0)+$CX$4</f>
        <v>-421.56941522767374</v>
      </c>
      <c r="DD7" s="134">
        <f>DB7+DC7</f>
        <v>-342.9463910334153</v>
      </c>
    </row>
    <row r="8" spans="1:16384" s="33" customFormat="1">
      <c r="A8" s="61" t="s">
        <v>557</v>
      </c>
      <c r="B8" s="117">
        <v>12</v>
      </c>
      <c r="C8" s="65"/>
      <c r="D8"/>
      <c r="E8"/>
      <c r="F8"/>
      <c r="G8" s="34"/>
      <c r="H8" s="34"/>
      <c r="I8" s="35"/>
      <c r="J8" s="134"/>
      <c r="K8" s="34"/>
      <c r="L8" s="35"/>
      <c r="M8" s="35"/>
      <c r="N8" s="67"/>
      <c r="O8" s="34"/>
      <c r="P8" s="34"/>
      <c r="Q8" s="34"/>
      <c r="R8" s="34"/>
      <c r="S8" s="72"/>
      <c r="T8" s="72"/>
      <c r="U8" s="72"/>
      <c r="V8" s="72"/>
      <c r="W8" s="72"/>
      <c r="X8" s="72"/>
      <c r="Y8" s="72"/>
      <c r="Z8" s="72"/>
      <c r="AA8" s="72"/>
      <c r="AB8" s="72"/>
      <c r="AC8" s="72"/>
      <c r="AD8" s="72"/>
      <c r="AE8" s="72"/>
      <c r="AF8" s="72"/>
      <c r="AG8" s="72"/>
      <c r="AH8"/>
      <c r="AI8" s="35">
        <f t="shared" si="10"/>
        <v>1.0443632865163206</v>
      </c>
      <c r="AJ8" t="b">
        <f t="shared" si="9"/>
        <v>0</v>
      </c>
      <c r="AK8" s="158">
        <v>44616</v>
      </c>
      <c r="AL8" s="139">
        <f t="shared" si="11"/>
        <v>16500</v>
      </c>
      <c r="AM8" s="34">
        <v>46200</v>
      </c>
      <c r="AN8" s="137">
        <v>1250.8499999999999</v>
      </c>
      <c r="AO8" s="34">
        <v>0.87</v>
      </c>
      <c r="AP8" s="139">
        <v>16500</v>
      </c>
      <c r="AQ8" s="34">
        <v>20.67</v>
      </c>
      <c r="AR8" t="s">
        <v>502</v>
      </c>
      <c r="AS8" s="138">
        <v>73</v>
      </c>
      <c r="AT8" s="34">
        <v>-0.13</v>
      </c>
      <c r="AU8" s="34">
        <v>2316900</v>
      </c>
      <c r="AV8" s="34">
        <v>-3.43</v>
      </c>
      <c r="AW8" s="34">
        <v>11.27</v>
      </c>
      <c r="AX8" s="34">
        <v>1.9000000000000001E-4</v>
      </c>
      <c r="AY8"/>
      <c r="AZ8"/>
      <c r="BA8" t="s">
        <v>565</v>
      </c>
      <c r="BB8"/>
      <c r="BC8" s="34" t="s">
        <v>558</v>
      </c>
      <c r="BD8" s="34" t="s">
        <v>559</v>
      </c>
      <c r="BE8" s="34" t="s">
        <v>559</v>
      </c>
      <c r="BF8" s="34" t="s">
        <v>559</v>
      </c>
      <c r="BG8" s="34" t="s">
        <v>559</v>
      </c>
      <c r="BH8" s="34" t="s">
        <v>559</v>
      </c>
      <c r="BI8" s="34" t="s">
        <v>559</v>
      </c>
      <c r="BJ8" s="34" t="s">
        <v>559</v>
      </c>
      <c r="BK8" s="34" t="s">
        <v>559</v>
      </c>
      <c r="BL8" s="34" t="s">
        <v>559</v>
      </c>
      <c r="BM8" s="34" t="s">
        <v>559</v>
      </c>
      <c r="BN8" s="34" t="s">
        <v>559</v>
      </c>
      <c r="BO8" s="34" t="s">
        <v>560</v>
      </c>
      <c r="BP8" s="34" t="s">
        <v>560</v>
      </c>
      <c r="BQ8" s="34" t="s">
        <v>560</v>
      </c>
      <c r="BR8" s="34" t="s">
        <v>560</v>
      </c>
      <c r="BS8" s="34" t="s">
        <v>560</v>
      </c>
      <c r="BT8" s="34" t="s">
        <v>560</v>
      </c>
      <c r="BU8" s="34" t="s">
        <v>561</v>
      </c>
      <c r="BV8"/>
      <c r="BW8"/>
      <c r="BX8" t="s">
        <v>565</v>
      </c>
      <c r="BY8"/>
      <c r="BZ8" s="34" t="s">
        <v>558</v>
      </c>
      <c r="CA8" s="34" t="s">
        <v>559</v>
      </c>
      <c r="CB8" s="34" t="s">
        <v>559</v>
      </c>
      <c r="CC8" s="34" t="s">
        <v>559</v>
      </c>
      <c r="CD8" s="34" t="s">
        <v>559</v>
      </c>
      <c r="CE8" s="34" t="s">
        <v>559</v>
      </c>
      <c r="CF8" s="34" t="s">
        <v>559</v>
      </c>
      <c r="CG8" s="34" t="s">
        <v>559</v>
      </c>
      <c r="CH8" s="34" t="s">
        <v>559</v>
      </c>
      <c r="CI8" s="34" t="s">
        <v>559</v>
      </c>
      <c r="CJ8" s="34" t="s">
        <v>559</v>
      </c>
      <c r="CK8" s="34" t="s">
        <v>559</v>
      </c>
      <c r="CL8" s="34" t="s">
        <v>560</v>
      </c>
      <c r="CM8" s="34" t="s">
        <v>560</v>
      </c>
      <c r="CN8" s="34" t="s">
        <v>560</v>
      </c>
      <c r="CO8" s="34" t="s">
        <v>560</v>
      </c>
      <c r="CP8" s="34" t="s">
        <v>560</v>
      </c>
      <c r="CQ8" s="34" t="s">
        <v>560</v>
      </c>
      <c r="CR8" s="34" t="s">
        <v>561</v>
      </c>
      <c r="CS8" s="34"/>
      <c r="CT8" s="34"/>
      <c r="CU8" s="34"/>
      <c r="CV8">
        <f>CV7+50</f>
        <v>17100</v>
      </c>
      <c r="CW8">
        <f t="shared" ref="CW8:CW24" si="34">-MAX(CV8-$CW$6,0)+$CW$4</f>
        <v>79</v>
      </c>
      <c r="CX8">
        <f t="shared" ref="CX8:CX24" si="35">$CX$4-MAX($CX$6-CV8,0)</f>
        <v>-376</v>
      </c>
      <c r="CY8">
        <f t="shared" ref="CY8:CY24" si="36">CW8+CX8</f>
        <v>-297</v>
      </c>
      <c r="CZ8">
        <f t="shared" ref="CZ8:CZ24" si="37">CY8*50</f>
        <v>-14850</v>
      </c>
      <c r="DA8" s="34"/>
      <c r="DB8" s="34">
        <f t="shared" ref="DB8:DB24" si="38">-OptionPrice("C",$CV8,$CW$6,2/365,5%,$DC$3,0)+$CW$4</f>
        <v>78.182938325552954</v>
      </c>
      <c r="DC8" s="34">
        <f t="shared" ref="DC8:DC24" si="39">-OptionPrice("P",$CV8,$CX$6,2/365,5%,$DC$3,0)+$CX$4</f>
        <v>-372.00950109637779</v>
      </c>
      <c r="DD8" s="134">
        <f t="shared" ref="DD8:DD24" si="40">DB8+DC8</f>
        <v>-293.82656277082481</v>
      </c>
      <c r="DE8" s="34"/>
      <c r="DF8" s="34"/>
      <c r="DG8" s="34"/>
      <c r="DH8" s="34"/>
      <c r="DI8" s="34"/>
      <c r="DJ8" s="34"/>
      <c r="DK8" s="34"/>
      <c r="DL8" s="34"/>
      <c r="DM8" s="34"/>
      <c r="DN8" s="34"/>
      <c r="DO8" s="34"/>
      <c r="DP8" s="34"/>
      <c r="DQ8" s="34"/>
      <c r="DR8" s="34"/>
      <c r="DS8" s="34"/>
      <c r="DT8" s="34"/>
      <c r="DU8" s="34"/>
      <c r="DV8" s="34"/>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c r="AMZ8"/>
      <c r="ANA8"/>
      <c r="ANB8"/>
      <c r="ANC8"/>
      <c r="AND8"/>
      <c r="ANE8"/>
      <c r="ANF8"/>
      <c r="ANG8"/>
      <c r="ANH8"/>
      <c r="ANI8"/>
      <c r="ANJ8"/>
      <c r="ANK8"/>
      <c r="ANL8"/>
      <c r="ANM8"/>
      <c r="ANN8"/>
      <c r="ANO8"/>
      <c r="ANP8"/>
      <c r="ANQ8"/>
      <c r="ANR8"/>
      <c r="ANS8"/>
      <c r="ANT8"/>
      <c r="ANU8"/>
      <c r="ANV8"/>
      <c r="ANW8"/>
      <c r="ANX8"/>
      <c r="ANY8"/>
      <c r="ANZ8"/>
      <c r="AOA8"/>
      <c r="AOB8"/>
      <c r="AOC8"/>
      <c r="AOD8"/>
      <c r="AOE8"/>
      <c r="AOF8"/>
      <c r="AOG8"/>
      <c r="AOH8"/>
      <c r="AOI8"/>
      <c r="AOJ8"/>
      <c r="AOK8"/>
      <c r="AOL8"/>
      <c r="AOM8"/>
      <c r="AON8"/>
      <c r="AOO8"/>
      <c r="AOP8"/>
      <c r="AOQ8"/>
      <c r="AOR8"/>
      <c r="AOS8"/>
      <c r="AOT8"/>
      <c r="AOU8"/>
      <c r="AOV8"/>
      <c r="AOW8"/>
      <c r="AOX8"/>
      <c r="AOY8"/>
      <c r="AOZ8"/>
      <c r="APA8"/>
      <c r="APB8"/>
      <c r="APC8"/>
      <c r="APD8"/>
      <c r="APE8"/>
      <c r="APF8"/>
      <c r="APG8"/>
      <c r="APH8"/>
      <c r="API8"/>
      <c r="APJ8"/>
      <c r="APK8"/>
      <c r="APL8"/>
      <c r="APM8"/>
      <c r="APN8"/>
      <c r="APO8"/>
      <c r="APP8"/>
      <c r="APQ8"/>
      <c r="APR8"/>
      <c r="APS8"/>
      <c r="APT8"/>
      <c r="APU8"/>
      <c r="APV8"/>
      <c r="APW8"/>
      <c r="APX8"/>
      <c r="APY8"/>
      <c r="APZ8"/>
      <c r="AQA8"/>
      <c r="AQB8"/>
      <c r="AQC8"/>
      <c r="AQD8"/>
      <c r="AQE8"/>
      <c r="AQF8"/>
      <c r="AQG8"/>
      <c r="AQH8"/>
      <c r="AQI8"/>
      <c r="AQJ8"/>
      <c r="AQK8"/>
      <c r="AQL8"/>
      <c r="AQM8"/>
      <c r="AQN8"/>
      <c r="AQO8"/>
      <c r="AQP8"/>
      <c r="AQQ8"/>
      <c r="AQR8"/>
      <c r="AQS8"/>
      <c r="AQT8"/>
      <c r="AQU8"/>
      <c r="AQV8"/>
      <c r="AQW8"/>
      <c r="AQX8"/>
      <c r="AQY8"/>
      <c r="AQZ8"/>
      <c r="ARA8"/>
      <c r="ARB8"/>
      <c r="ARC8"/>
      <c r="ARD8"/>
      <c r="ARE8"/>
      <c r="ARF8"/>
      <c r="ARG8"/>
      <c r="ARH8"/>
      <c r="ARI8"/>
      <c r="ARJ8"/>
      <c r="ARK8"/>
      <c r="ARL8"/>
      <c r="ARM8"/>
      <c r="ARN8"/>
      <c r="ARO8"/>
      <c r="ARP8"/>
      <c r="ARQ8"/>
      <c r="ARR8"/>
      <c r="ARS8"/>
      <c r="ART8"/>
      <c r="ARU8"/>
      <c r="ARV8"/>
      <c r="ARW8"/>
      <c r="ARX8"/>
      <c r="ARY8"/>
      <c r="ARZ8"/>
      <c r="ASA8"/>
      <c r="ASB8"/>
      <c r="ASC8"/>
      <c r="ASD8"/>
      <c r="ASE8"/>
      <c r="ASF8"/>
      <c r="ASG8"/>
      <c r="ASH8"/>
      <c r="ASI8"/>
      <c r="ASJ8"/>
      <c r="ASK8"/>
      <c r="ASL8"/>
      <c r="ASM8"/>
      <c r="ASN8"/>
      <c r="ASO8"/>
      <c r="ASP8"/>
      <c r="ASQ8"/>
      <c r="ASR8"/>
      <c r="ASS8"/>
      <c r="AST8"/>
      <c r="ASU8"/>
      <c r="ASV8"/>
      <c r="ASW8"/>
      <c r="ASX8"/>
      <c r="ASY8"/>
      <c r="ASZ8"/>
      <c r="ATA8"/>
      <c r="ATB8"/>
      <c r="ATC8"/>
      <c r="ATD8"/>
      <c r="ATE8"/>
      <c r="ATF8"/>
      <c r="ATG8"/>
      <c r="ATH8"/>
      <c r="ATI8"/>
      <c r="ATJ8"/>
      <c r="ATK8"/>
      <c r="ATL8"/>
      <c r="ATM8"/>
      <c r="ATN8"/>
      <c r="ATO8"/>
      <c r="ATP8"/>
      <c r="ATQ8"/>
      <c r="ATR8"/>
      <c r="ATS8"/>
      <c r="ATT8"/>
      <c r="ATU8"/>
      <c r="ATV8"/>
      <c r="ATW8"/>
      <c r="ATX8"/>
      <c r="ATY8"/>
      <c r="ATZ8"/>
      <c r="AUA8"/>
      <c r="AUB8"/>
      <c r="AUC8"/>
      <c r="AUD8"/>
      <c r="AUE8"/>
      <c r="AUF8"/>
      <c r="AUG8"/>
      <c r="AUH8"/>
      <c r="AUI8"/>
      <c r="AUJ8"/>
      <c r="AUK8"/>
      <c r="AUL8"/>
      <c r="AUM8"/>
      <c r="AUN8"/>
      <c r="AUO8"/>
      <c r="AUP8"/>
      <c r="AUQ8"/>
      <c r="AUR8"/>
      <c r="AUS8"/>
      <c r="AUT8"/>
      <c r="AUU8"/>
      <c r="AUV8"/>
      <c r="AUW8"/>
      <c r="AUX8"/>
      <c r="AUY8"/>
      <c r="AUZ8"/>
      <c r="AVA8"/>
      <c r="AVB8"/>
      <c r="AVC8"/>
      <c r="AVD8"/>
      <c r="AVE8"/>
      <c r="AVF8"/>
      <c r="AVG8"/>
      <c r="AVH8"/>
      <c r="AVI8"/>
      <c r="AVJ8"/>
      <c r="AVK8"/>
      <c r="AVL8"/>
      <c r="AVM8"/>
      <c r="AVN8"/>
      <c r="AVO8"/>
      <c r="AVP8"/>
      <c r="AVQ8"/>
      <c r="AVR8"/>
      <c r="AVS8"/>
      <c r="AVT8"/>
      <c r="AVU8"/>
      <c r="AVV8"/>
      <c r="AVW8"/>
      <c r="AVX8"/>
      <c r="AVY8"/>
      <c r="AVZ8"/>
      <c r="AWA8"/>
      <c r="AWB8"/>
      <c r="AWC8"/>
      <c r="AWD8"/>
      <c r="AWE8"/>
      <c r="AWF8"/>
      <c r="AWG8"/>
      <c r="AWH8"/>
      <c r="AWI8"/>
      <c r="AWJ8"/>
      <c r="AWK8"/>
      <c r="AWL8"/>
      <c r="AWM8"/>
      <c r="AWN8"/>
      <c r="AWO8"/>
      <c r="AWP8"/>
      <c r="AWQ8"/>
      <c r="AWR8"/>
      <c r="AWS8"/>
      <c r="AWT8"/>
      <c r="AWU8"/>
      <c r="AWV8"/>
      <c r="AWW8"/>
      <c r="AWX8"/>
      <c r="AWY8"/>
      <c r="AWZ8"/>
      <c r="AXA8"/>
      <c r="AXB8"/>
      <c r="AXC8"/>
      <c r="AXD8"/>
      <c r="AXE8"/>
      <c r="AXF8"/>
      <c r="AXG8"/>
      <c r="AXH8"/>
      <c r="AXI8"/>
      <c r="AXJ8"/>
      <c r="AXK8"/>
      <c r="AXL8"/>
      <c r="AXM8"/>
      <c r="AXN8"/>
      <c r="AXO8"/>
      <c r="AXP8"/>
      <c r="AXQ8"/>
      <c r="AXR8"/>
      <c r="AXS8"/>
      <c r="AXT8"/>
      <c r="AXU8"/>
      <c r="AXV8"/>
      <c r="AXW8"/>
      <c r="AXX8"/>
      <c r="AXY8"/>
      <c r="AXZ8"/>
      <c r="AYA8"/>
      <c r="AYB8"/>
      <c r="AYC8"/>
      <c r="AYD8"/>
      <c r="AYE8"/>
      <c r="AYF8"/>
      <c r="AYG8"/>
      <c r="AYH8"/>
      <c r="AYI8"/>
      <c r="AYJ8"/>
      <c r="AYK8"/>
      <c r="AYL8"/>
      <c r="AYM8"/>
      <c r="AYN8"/>
      <c r="AYO8"/>
      <c r="AYP8"/>
      <c r="AYQ8"/>
      <c r="AYR8"/>
      <c r="AYS8"/>
      <c r="AYT8"/>
      <c r="AYU8"/>
      <c r="AYV8"/>
      <c r="AYW8"/>
      <c r="AYX8"/>
      <c r="AYY8"/>
      <c r="AYZ8"/>
      <c r="AZA8"/>
      <c r="AZB8"/>
      <c r="AZC8"/>
      <c r="AZD8"/>
      <c r="AZE8"/>
      <c r="AZF8"/>
      <c r="AZG8"/>
      <c r="AZH8"/>
      <c r="AZI8"/>
      <c r="AZJ8"/>
      <c r="AZK8"/>
      <c r="AZL8"/>
      <c r="AZM8"/>
      <c r="AZN8"/>
      <c r="AZO8"/>
      <c r="AZP8"/>
      <c r="AZQ8"/>
      <c r="AZR8"/>
      <c r="AZS8"/>
      <c r="AZT8"/>
      <c r="AZU8"/>
      <c r="AZV8"/>
      <c r="AZW8"/>
      <c r="AZX8"/>
      <c r="AZY8"/>
      <c r="AZZ8"/>
      <c r="BAA8"/>
      <c r="BAB8"/>
      <c r="BAC8"/>
      <c r="BAD8"/>
      <c r="BAE8"/>
      <c r="BAF8"/>
      <c r="BAG8"/>
      <c r="BAH8"/>
      <c r="BAI8"/>
      <c r="BAJ8"/>
      <c r="BAK8"/>
      <c r="BAL8"/>
      <c r="BAM8"/>
      <c r="BAN8"/>
      <c r="BAO8"/>
      <c r="BAP8"/>
      <c r="BAQ8"/>
      <c r="BAR8"/>
      <c r="BAS8"/>
      <c r="BAT8"/>
      <c r="BAU8"/>
      <c r="BAV8"/>
      <c r="BAW8"/>
      <c r="BAX8"/>
      <c r="BAY8"/>
      <c r="BAZ8"/>
      <c r="BBA8"/>
      <c r="BBB8"/>
      <c r="BBC8"/>
      <c r="BBD8"/>
      <c r="BBE8"/>
      <c r="BBF8"/>
      <c r="BBG8"/>
      <c r="BBH8"/>
      <c r="BBI8"/>
      <c r="BBJ8"/>
      <c r="BBK8"/>
      <c r="BBL8"/>
      <c r="BBM8"/>
      <c r="BBN8"/>
      <c r="BBO8"/>
      <c r="BBP8"/>
      <c r="BBQ8"/>
      <c r="BBR8"/>
      <c r="BBS8"/>
      <c r="BBT8"/>
      <c r="BBU8"/>
      <c r="BBV8"/>
      <c r="BBW8"/>
      <c r="BBX8"/>
      <c r="BBY8"/>
      <c r="BBZ8"/>
      <c r="BCA8"/>
      <c r="BCB8"/>
      <c r="BCC8"/>
      <c r="BCD8"/>
      <c r="BCE8"/>
      <c r="BCF8"/>
      <c r="BCG8"/>
      <c r="BCH8"/>
      <c r="BCI8"/>
      <c r="BCJ8"/>
      <c r="BCK8"/>
      <c r="BCL8"/>
      <c r="BCM8"/>
      <c r="BCN8"/>
      <c r="BCO8"/>
      <c r="BCP8"/>
      <c r="BCQ8"/>
      <c r="BCR8"/>
      <c r="BCS8"/>
      <c r="BCT8"/>
      <c r="BCU8"/>
      <c r="BCV8"/>
      <c r="BCW8"/>
      <c r="BCX8"/>
      <c r="BCY8"/>
      <c r="BCZ8"/>
      <c r="BDA8"/>
      <c r="BDB8"/>
      <c r="BDC8"/>
      <c r="BDD8"/>
      <c r="BDE8"/>
      <c r="BDF8"/>
      <c r="BDG8"/>
      <c r="BDH8"/>
      <c r="BDI8"/>
      <c r="BDJ8"/>
      <c r="BDK8"/>
      <c r="BDL8"/>
      <c r="BDM8"/>
      <c r="BDN8"/>
      <c r="BDO8"/>
      <c r="BDP8"/>
      <c r="BDQ8"/>
      <c r="BDR8"/>
      <c r="BDS8"/>
      <c r="BDT8"/>
      <c r="BDU8"/>
      <c r="BDV8"/>
      <c r="BDW8"/>
      <c r="BDX8"/>
      <c r="BDY8"/>
      <c r="BDZ8"/>
      <c r="BEA8"/>
      <c r="BEB8"/>
      <c r="BEC8"/>
      <c r="BED8"/>
      <c r="BEE8"/>
      <c r="BEF8"/>
      <c r="BEG8"/>
      <c r="BEH8"/>
      <c r="BEI8"/>
      <c r="BEJ8"/>
      <c r="BEK8"/>
      <c r="BEL8"/>
      <c r="BEM8"/>
      <c r="BEN8"/>
      <c r="BEO8"/>
      <c r="BEP8"/>
      <c r="BEQ8"/>
      <c r="BER8"/>
      <c r="BES8"/>
      <c r="BET8"/>
      <c r="BEU8"/>
      <c r="BEV8"/>
      <c r="BEW8"/>
      <c r="BEX8"/>
      <c r="BEY8"/>
      <c r="BEZ8"/>
      <c r="BFA8"/>
      <c r="BFB8"/>
      <c r="BFC8"/>
      <c r="BFD8"/>
      <c r="BFE8"/>
      <c r="BFF8"/>
      <c r="BFG8"/>
      <c r="BFH8"/>
      <c r="BFI8"/>
      <c r="BFJ8"/>
      <c r="BFK8"/>
      <c r="BFL8"/>
      <c r="BFM8"/>
      <c r="BFN8"/>
      <c r="BFO8"/>
      <c r="BFP8"/>
      <c r="BFQ8"/>
      <c r="BFR8"/>
      <c r="BFS8"/>
      <c r="BFT8"/>
      <c r="BFU8"/>
      <c r="BFV8"/>
      <c r="BFW8"/>
      <c r="BFX8"/>
      <c r="BFY8"/>
      <c r="BFZ8"/>
      <c r="BGA8"/>
      <c r="BGB8"/>
      <c r="BGC8"/>
      <c r="BGD8"/>
      <c r="BGE8"/>
      <c r="BGF8"/>
      <c r="BGG8"/>
      <c r="BGH8"/>
      <c r="BGI8"/>
      <c r="BGJ8"/>
      <c r="BGK8"/>
      <c r="BGL8"/>
      <c r="BGM8"/>
      <c r="BGN8"/>
      <c r="BGO8"/>
      <c r="BGP8"/>
      <c r="BGQ8"/>
      <c r="BGR8"/>
      <c r="BGS8"/>
      <c r="BGT8"/>
      <c r="BGU8"/>
      <c r="BGV8"/>
      <c r="BGW8"/>
      <c r="BGX8"/>
      <c r="BGY8"/>
      <c r="BGZ8"/>
      <c r="BHA8"/>
      <c r="BHB8"/>
      <c r="BHC8"/>
      <c r="BHD8"/>
      <c r="BHE8"/>
      <c r="BHF8"/>
      <c r="BHG8"/>
      <c r="BHH8"/>
      <c r="BHI8"/>
      <c r="BHJ8"/>
      <c r="BHK8"/>
      <c r="BHL8"/>
      <c r="BHM8"/>
      <c r="BHN8"/>
      <c r="BHO8"/>
      <c r="BHP8"/>
      <c r="BHQ8"/>
      <c r="BHR8"/>
      <c r="BHS8"/>
      <c r="BHT8"/>
      <c r="BHU8"/>
      <c r="BHV8"/>
      <c r="BHW8"/>
      <c r="BHX8"/>
      <c r="BHY8"/>
      <c r="BHZ8"/>
      <c r="BIA8"/>
      <c r="BIB8"/>
      <c r="BIC8"/>
      <c r="BID8"/>
      <c r="BIE8"/>
      <c r="BIF8"/>
      <c r="BIG8"/>
      <c r="BIH8"/>
      <c r="BII8"/>
      <c r="BIJ8"/>
      <c r="BIK8"/>
      <c r="BIL8"/>
      <c r="BIM8"/>
      <c r="BIN8"/>
      <c r="BIO8"/>
      <c r="BIP8"/>
      <c r="BIQ8"/>
      <c r="BIR8"/>
      <c r="BIS8"/>
      <c r="BIT8"/>
      <c r="BIU8"/>
      <c r="BIV8"/>
      <c r="BIW8"/>
      <c r="BIX8"/>
      <c r="BIY8"/>
      <c r="BIZ8"/>
      <c r="BJA8"/>
      <c r="BJB8"/>
      <c r="BJC8"/>
      <c r="BJD8"/>
      <c r="BJE8"/>
      <c r="BJF8"/>
      <c r="BJG8"/>
      <c r="BJH8"/>
      <c r="BJI8"/>
      <c r="BJJ8"/>
      <c r="BJK8"/>
      <c r="BJL8"/>
      <c r="BJM8"/>
      <c r="BJN8"/>
      <c r="BJO8"/>
      <c r="BJP8"/>
      <c r="BJQ8"/>
      <c r="BJR8"/>
      <c r="BJS8"/>
      <c r="BJT8"/>
      <c r="BJU8"/>
      <c r="BJV8"/>
      <c r="BJW8"/>
      <c r="BJX8"/>
      <c r="BJY8"/>
      <c r="BJZ8"/>
      <c r="BKA8"/>
      <c r="BKB8"/>
      <c r="BKC8"/>
      <c r="BKD8"/>
      <c r="BKE8"/>
      <c r="BKF8"/>
      <c r="BKG8"/>
      <c r="BKH8"/>
      <c r="BKI8"/>
      <c r="BKJ8"/>
      <c r="BKK8"/>
      <c r="BKL8"/>
      <c r="BKM8"/>
      <c r="BKN8"/>
      <c r="BKO8"/>
      <c r="BKP8"/>
      <c r="BKQ8"/>
      <c r="BKR8"/>
      <c r="BKS8"/>
      <c r="BKT8"/>
      <c r="BKU8"/>
      <c r="BKV8"/>
      <c r="BKW8"/>
      <c r="BKX8"/>
      <c r="BKY8"/>
      <c r="BKZ8"/>
      <c r="BLA8"/>
      <c r="BLB8"/>
      <c r="BLC8"/>
      <c r="BLD8"/>
      <c r="BLE8"/>
      <c r="BLF8"/>
      <c r="BLG8"/>
      <c r="BLH8"/>
      <c r="BLI8"/>
      <c r="BLJ8"/>
      <c r="BLK8"/>
      <c r="BLL8"/>
      <c r="BLM8"/>
      <c r="BLN8"/>
      <c r="BLO8"/>
      <c r="BLP8"/>
      <c r="BLQ8"/>
      <c r="BLR8"/>
      <c r="BLS8"/>
      <c r="BLT8"/>
      <c r="BLU8"/>
      <c r="BLV8"/>
      <c r="BLW8"/>
      <c r="BLX8"/>
      <c r="BLY8"/>
      <c r="BLZ8"/>
      <c r="BMA8"/>
      <c r="BMB8"/>
      <c r="BMC8"/>
      <c r="BMD8"/>
      <c r="BME8"/>
      <c r="BMF8"/>
      <c r="BMG8"/>
      <c r="BMH8"/>
      <c r="BMI8"/>
      <c r="BMJ8"/>
      <c r="BMK8"/>
      <c r="BML8"/>
      <c r="BMM8"/>
      <c r="BMN8"/>
      <c r="BMO8"/>
      <c r="BMP8"/>
      <c r="BMQ8"/>
      <c r="BMR8"/>
      <c r="BMS8"/>
      <c r="BMT8"/>
      <c r="BMU8"/>
      <c r="BMV8"/>
      <c r="BMW8"/>
      <c r="BMX8"/>
      <c r="BMY8"/>
      <c r="BMZ8"/>
      <c r="BNA8"/>
      <c r="BNB8"/>
      <c r="BNC8"/>
      <c r="BND8"/>
      <c r="BNE8"/>
      <c r="BNF8"/>
      <c r="BNG8"/>
      <c r="BNH8"/>
      <c r="BNI8"/>
      <c r="BNJ8"/>
      <c r="BNK8"/>
      <c r="BNL8"/>
      <c r="BNM8"/>
      <c r="BNN8"/>
      <c r="BNO8"/>
      <c r="BNP8"/>
      <c r="BNQ8"/>
      <c r="BNR8"/>
      <c r="BNS8"/>
      <c r="BNT8"/>
      <c r="BNU8"/>
      <c r="BNV8"/>
      <c r="BNW8"/>
      <c r="BNX8"/>
      <c r="BNY8"/>
      <c r="BNZ8"/>
      <c r="BOA8"/>
      <c r="BOB8"/>
      <c r="BOC8"/>
      <c r="BOD8"/>
      <c r="BOE8"/>
      <c r="BOF8"/>
      <c r="BOG8"/>
      <c r="BOH8"/>
      <c r="BOI8"/>
      <c r="BOJ8"/>
      <c r="BOK8"/>
      <c r="BOL8"/>
      <c r="BOM8"/>
      <c r="BON8"/>
      <c r="BOO8"/>
      <c r="BOP8"/>
      <c r="BOQ8"/>
      <c r="BOR8"/>
      <c r="BOS8"/>
      <c r="BOT8"/>
      <c r="BOU8"/>
      <c r="BOV8"/>
      <c r="BOW8"/>
      <c r="BOX8"/>
      <c r="BOY8"/>
      <c r="BOZ8"/>
      <c r="BPA8"/>
      <c r="BPB8"/>
      <c r="BPC8"/>
      <c r="BPD8"/>
      <c r="BPE8"/>
      <c r="BPF8"/>
      <c r="BPG8"/>
      <c r="BPH8"/>
      <c r="BPI8"/>
      <c r="BPJ8"/>
      <c r="BPK8"/>
      <c r="BPL8"/>
      <c r="BPM8"/>
      <c r="BPN8"/>
      <c r="BPO8"/>
      <c r="BPP8"/>
      <c r="BPQ8"/>
      <c r="BPR8"/>
      <c r="BPS8"/>
      <c r="BPT8"/>
      <c r="BPU8"/>
      <c r="BPV8"/>
      <c r="BPW8"/>
      <c r="BPX8"/>
      <c r="BPY8"/>
      <c r="BPZ8"/>
      <c r="BQA8"/>
      <c r="BQB8"/>
      <c r="BQC8"/>
      <c r="BQD8"/>
      <c r="BQE8"/>
      <c r="BQF8"/>
      <c r="BQG8"/>
      <c r="BQH8"/>
      <c r="BQI8"/>
      <c r="BQJ8"/>
      <c r="BQK8"/>
      <c r="BQL8"/>
      <c r="BQM8"/>
      <c r="BQN8"/>
      <c r="BQO8"/>
      <c r="BQP8"/>
      <c r="BQQ8"/>
      <c r="BQR8"/>
      <c r="BQS8"/>
      <c r="BQT8"/>
      <c r="BQU8"/>
      <c r="BQV8"/>
      <c r="BQW8"/>
      <c r="BQX8"/>
      <c r="BQY8"/>
      <c r="BQZ8"/>
      <c r="BRA8"/>
      <c r="BRB8"/>
      <c r="BRC8"/>
      <c r="BRD8"/>
      <c r="BRE8"/>
      <c r="BRF8"/>
      <c r="BRG8"/>
      <c r="BRH8"/>
      <c r="BRI8"/>
      <c r="BRJ8"/>
      <c r="BRK8"/>
      <c r="BRL8"/>
      <c r="BRM8"/>
      <c r="BRN8"/>
      <c r="BRO8"/>
      <c r="BRP8"/>
      <c r="BRQ8"/>
      <c r="BRR8"/>
      <c r="BRS8"/>
      <c r="BRT8"/>
      <c r="BRU8"/>
      <c r="BRV8"/>
      <c r="BRW8"/>
      <c r="BRX8"/>
      <c r="BRY8"/>
      <c r="BRZ8"/>
      <c r="BSA8"/>
      <c r="BSB8"/>
      <c r="BSC8"/>
      <c r="BSD8"/>
      <c r="BSE8"/>
      <c r="BSF8"/>
      <c r="BSG8"/>
      <c r="BSH8"/>
      <c r="BSI8"/>
      <c r="BSJ8"/>
      <c r="BSK8"/>
      <c r="BSL8"/>
      <c r="BSM8"/>
      <c r="BSN8"/>
      <c r="BSO8"/>
      <c r="BSP8"/>
      <c r="BSQ8"/>
      <c r="BSR8"/>
      <c r="BSS8"/>
      <c r="BST8"/>
      <c r="BSU8"/>
      <c r="BSV8"/>
      <c r="BSW8"/>
      <c r="BSX8"/>
      <c r="BSY8"/>
      <c r="BSZ8"/>
      <c r="BTA8"/>
      <c r="BTB8"/>
      <c r="BTC8"/>
      <c r="BTD8"/>
      <c r="BTE8"/>
      <c r="BTF8"/>
      <c r="BTG8"/>
      <c r="BTH8"/>
      <c r="BTI8"/>
      <c r="BTJ8"/>
      <c r="BTK8"/>
      <c r="BTL8"/>
      <c r="BTM8"/>
      <c r="BTN8"/>
      <c r="BTO8"/>
      <c r="BTP8"/>
      <c r="BTQ8"/>
      <c r="BTR8"/>
      <c r="BTS8"/>
      <c r="BTT8"/>
      <c r="BTU8"/>
      <c r="BTV8"/>
      <c r="BTW8"/>
      <c r="BTX8"/>
      <c r="BTY8"/>
      <c r="BTZ8"/>
      <c r="BUA8"/>
      <c r="BUB8"/>
      <c r="BUC8"/>
      <c r="BUD8"/>
      <c r="BUE8"/>
      <c r="BUF8"/>
      <c r="BUG8"/>
      <c r="BUH8"/>
      <c r="BUI8"/>
      <c r="BUJ8"/>
      <c r="BUK8"/>
      <c r="BUL8"/>
      <c r="BUM8"/>
      <c r="BUN8"/>
      <c r="BUO8"/>
      <c r="BUP8"/>
      <c r="BUQ8"/>
      <c r="BUR8"/>
      <c r="BUS8"/>
      <c r="BUT8"/>
      <c r="BUU8"/>
      <c r="BUV8"/>
      <c r="BUW8"/>
      <c r="BUX8"/>
      <c r="BUY8"/>
      <c r="BUZ8"/>
      <c r="BVA8"/>
      <c r="BVB8"/>
      <c r="BVC8"/>
      <c r="BVD8"/>
      <c r="BVE8"/>
      <c r="BVF8"/>
      <c r="BVG8"/>
      <c r="BVH8"/>
      <c r="BVI8"/>
      <c r="BVJ8"/>
      <c r="BVK8"/>
      <c r="BVL8"/>
      <c r="BVM8"/>
      <c r="BVN8"/>
      <c r="BVO8"/>
      <c r="BVP8"/>
      <c r="BVQ8"/>
      <c r="BVR8"/>
      <c r="BVS8"/>
      <c r="BVT8"/>
      <c r="BVU8"/>
      <c r="BVV8"/>
      <c r="BVW8"/>
      <c r="BVX8"/>
      <c r="BVY8"/>
      <c r="BVZ8"/>
      <c r="BWA8"/>
      <c r="BWB8"/>
      <c r="BWC8"/>
      <c r="BWD8"/>
      <c r="BWE8"/>
      <c r="BWF8"/>
      <c r="BWG8"/>
      <c r="BWH8"/>
      <c r="BWI8"/>
      <c r="BWJ8"/>
      <c r="BWK8"/>
      <c r="BWL8"/>
      <c r="BWM8"/>
      <c r="BWN8"/>
      <c r="BWO8"/>
      <c r="BWP8"/>
      <c r="BWQ8"/>
      <c r="BWR8"/>
      <c r="BWS8"/>
      <c r="BWT8"/>
      <c r="BWU8"/>
      <c r="BWV8"/>
      <c r="BWW8"/>
      <c r="BWX8"/>
      <c r="BWY8"/>
      <c r="BWZ8"/>
      <c r="BXA8"/>
      <c r="BXB8"/>
      <c r="BXC8"/>
      <c r="BXD8"/>
      <c r="BXE8"/>
      <c r="BXF8"/>
      <c r="BXG8"/>
      <c r="BXH8"/>
      <c r="BXI8"/>
      <c r="BXJ8"/>
      <c r="BXK8"/>
      <c r="BXL8"/>
      <c r="BXM8"/>
      <c r="BXN8"/>
      <c r="BXO8"/>
      <c r="BXP8"/>
      <c r="BXQ8"/>
      <c r="BXR8"/>
      <c r="BXS8"/>
      <c r="BXT8"/>
      <c r="BXU8"/>
      <c r="BXV8"/>
      <c r="BXW8"/>
      <c r="BXX8"/>
      <c r="BXY8"/>
      <c r="BXZ8"/>
      <c r="BYA8"/>
      <c r="BYB8"/>
      <c r="BYC8"/>
      <c r="BYD8"/>
      <c r="BYE8"/>
      <c r="BYF8"/>
      <c r="BYG8"/>
      <c r="BYH8"/>
      <c r="BYI8"/>
      <c r="BYJ8"/>
      <c r="BYK8"/>
      <c r="BYL8"/>
      <c r="BYM8"/>
      <c r="BYN8"/>
      <c r="BYO8"/>
      <c r="BYP8"/>
      <c r="BYQ8"/>
      <c r="BYR8"/>
      <c r="BYS8"/>
      <c r="BYT8"/>
      <c r="BYU8"/>
      <c r="BYV8"/>
      <c r="BYW8"/>
      <c r="BYX8"/>
      <c r="BYY8"/>
      <c r="BYZ8"/>
      <c r="BZA8"/>
      <c r="BZB8"/>
      <c r="BZC8"/>
      <c r="BZD8"/>
      <c r="BZE8"/>
      <c r="BZF8"/>
      <c r="BZG8"/>
      <c r="BZH8"/>
      <c r="BZI8"/>
      <c r="BZJ8"/>
      <c r="BZK8"/>
      <c r="BZL8"/>
      <c r="BZM8"/>
      <c r="BZN8"/>
      <c r="BZO8"/>
      <c r="BZP8"/>
      <c r="BZQ8"/>
      <c r="BZR8"/>
      <c r="BZS8"/>
      <c r="BZT8"/>
      <c r="BZU8"/>
      <c r="BZV8"/>
      <c r="BZW8"/>
      <c r="BZX8"/>
      <c r="BZY8"/>
      <c r="BZZ8"/>
      <c r="CAA8"/>
      <c r="CAB8"/>
      <c r="CAC8"/>
      <c r="CAD8"/>
      <c r="CAE8"/>
      <c r="CAF8"/>
      <c r="CAG8"/>
      <c r="CAH8"/>
      <c r="CAI8"/>
      <c r="CAJ8"/>
      <c r="CAK8"/>
      <c r="CAL8"/>
      <c r="CAM8"/>
      <c r="CAN8"/>
      <c r="CAO8"/>
      <c r="CAP8"/>
      <c r="CAQ8"/>
      <c r="CAR8"/>
      <c r="CAS8"/>
      <c r="CAT8"/>
      <c r="CAU8"/>
      <c r="CAV8"/>
      <c r="CAW8"/>
      <c r="CAX8"/>
      <c r="CAY8"/>
      <c r="CAZ8"/>
      <c r="CBA8"/>
      <c r="CBB8"/>
      <c r="CBC8"/>
      <c r="CBD8"/>
      <c r="CBE8"/>
      <c r="CBF8"/>
      <c r="CBG8"/>
      <c r="CBH8"/>
      <c r="CBI8"/>
      <c r="CBJ8"/>
      <c r="CBK8"/>
      <c r="CBL8"/>
      <c r="CBM8"/>
      <c r="CBN8"/>
      <c r="CBO8"/>
      <c r="CBP8"/>
      <c r="CBQ8"/>
      <c r="CBR8"/>
      <c r="CBS8"/>
      <c r="CBT8"/>
      <c r="CBU8"/>
      <c r="CBV8"/>
      <c r="CBW8"/>
      <c r="CBX8"/>
      <c r="CBY8"/>
      <c r="CBZ8"/>
      <c r="CCA8"/>
      <c r="CCB8"/>
      <c r="CCC8"/>
      <c r="CCD8"/>
      <c r="CCE8"/>
      <c r="CCF8"/>
      <c r="CCG8"/>
      <c r="CCH8"/>
      <c r="CCI8"/>
      <c r="CCJ8"/>
      <c r="CCK8"/>
      <c r="CCL8"/>
      <c r="CCM8"/>
      <c r="CCN8"/>
      <c r="CCO8"/>
      <c r="CCP8"/>
      <c r="CCQ8"/>
      <c r="CCR8"/>
      <c r="CCS8"/>
      <c r="CCT8"/>
      <c r="CCU8"/>
      <c r="CCV8"/>
      <c r="CCW8"/>
      <c r="CCX8"/>
      <c r="CCY8"/>
      <c r="CCZ8"/>
      <c r="CDA8"/>
      <c r="CDB8"/>
      <c r="CDC8"/>
      <c r="CDD8"/>
      <c r="CDE8"/>
      <c r="CDF8"/>
      <c r="CDG8"/>
      <c r="CDH8"/>
      <c r="CDI8"/>
      <c r="CDJ8"/>
      <c r="CDK8"/>
      <c r="CDL8"/>
      <c r="CDM8"/>
      <c r="CDN8"/>
      <c r="CDO8"/>
      <c r="CDP8"/>
      <c r="CDQ8"/>
      <c r="CDR8"/>
      <c r="CDS8"/>
      <c r="CDT8"/>
      <c r="CDU8"/>
      <c r="CDV8"/>
      <c r="CDW8"/>
      <c r="CDX8"/>
      <c r="CDY8"/>
      <c r="CDZ8"/>
      <c r="CEA8"/>
      <c r="CEB8"/>
      <c r="CEC8"/>
      <c r="CED8"/>
      <c r="CEE8"/>
      <c r="CEF8"/>
      <c r="CEG8"/>
      <c r="CEH8"/>
      <c r="CEI8"/>
      <c r="CEJ8"/>
      <c r="CEK8"/>
      <c r="CEL8"/>
      <c r="CEM8"/>
      <c r="CEN8"/>
      <c r="CEO8"/>
      <c r="CEP8"/>
      <c r="CEQ8"/>
      <c r="CER8"/>
      <c r="CES8"/>
      <c r="CET8"/>
      <c r="CEU8"/>
      <c r="CEV8"/>
      <c r="CEW8"/>
      <c r="CEX8"/>
      <c r="CEY8"/>
      <c r="CEZ8"/>
      <c r="CFA8"/>
      <c r="CFB8"/>
      <c r="CFC8"/>
      <c r="CFD8"/>
      <c r="CFE8"/>
      <c r="CFF8"/>
      <c r="CFG8"/>
      <c r="CFH8"/>
      <c r="CFI8"/>
      <c r="CFJ8"/>
      <c r="CFK8"/>
      <c r="CFL8"/>
      <c r="CFM8"/>
      <c r="CFN8"/>
      <c r="CFO8"/>
      <c r="CFP8"/>
      <c r="CFQ8"/>
      <c r="CFR8"/>
      <c r="CFS8"/>
      <c r="CFT8"/>
      <c r="CFU8"/>
      <c r="CFV8"/>
      <c r="CFW8"/>
      <c r="CFX8"/>
      <c r="CFY8"/>
      <c r="CFZ8"/>
      <c r="CGA8"/>
      <c r="CGB8"/>
      <c r="CGC8"/>
      <c r="CGD8"/>
      <c r="CGE8"/>
      <c r="CGF8"/>
      <c r="CGG8"/>
      <c r="CGH8"/>
      <c r="CGI8"/>
      <c r="CGJ8"/>
      <c r="CGK8"/>
      <c r="CGL8"/>
      <c r="CGM8"/>
      <c r="CGN8"/>
      <c r="CGO8"/>
      <c r="CGP8"/>
      <c r="CGQ8"/>
      <c r="CGR8"/>
      <c r="CGS8"/>
      <c r="CGT8"/>
      <c r="CGU8"/>
      <c r="CGV8"/>
      <c r="CGW8"/>
      <c r="CGX8"/>
      <c r="CGY8"/>
      <c r="CGZ8"/>
      <c r="CHA8"/>
      <c r="CHB8"/>
      <c r="CHC8"/>
      <c r="CHD8"/>
      <c r="CHE8"/>
      <c r="CHF8"/>
      <c r="CHG8"/>
      <c r="CHH8"/>
      <c r="CHI8"/>
      <c r="CHJ8"/>
      <c r="CHK8"/>
      <c r="CHL8"/>
      <c r="CHM8"/>
      <c r="CHN8"/>
      <c r="CHO8"/>
      <c r="CHP8"/>
      <c r="CHQ8"/>
      <c r="CHR8"/>
      <c r="CHS8"/>
      <c r="CHT8"/>
      <c r="CHU8"/>
      <c r="CHV8"/>
      <c r="CHW8"/>
      <c r="CHX8"/>
      <c r="CHY8"/>
      <c r="CHZ8"/>
      <c r="CIA8"/>
      <c r="CIB8"/>
      <c r="CIC8"/>
      <c r="CID8"/>
      <c r="CIE8"/>
      <c r="CIF8"/>
      <c r="CIG8"/>
      <c r="CIH8"/>
      <c r="CII8"/>
      <c r="CIJ8"/>
      <c r="CIK8"/>
      <c r="CIL8"/>
      <c r="CIM8"/>
      <c r="CIN8"/>
      <c r="CIO8"/>
      <c r="CIP8"/>
      <c r="CIQ8"/>
      <c r="CIR8"/>
      <c r="CIS8"/>
      <c r="CIT8"/>
      <c r="CIU8"/>
      <c r="CIV8"/>
      <c r="CIW8"/>
      <c r="CIX8"/>
      <c r="CIY8"/>
      <c r="CIZ8"/>
      <c r="CJA8"/>
      <c r="CJB8"/>
      <c r="CJC8"/>
      <c r="CJD8"/>
      <c r="CJE8"/>
      <c r="CJF8"/>
      <c r="CJG8"/>
      <c r="CJH8"/>
      <c r="CJI8"/>
      <c r="CJJ8"/>
      <c r="CJK8"/>
      <c r="CJL8"/>
      <c r="CJM8"/>
      <c r="CJN8"/>
      <c r="CJO8"/>
      <c r="CJP8"/>
      <c r="CJQ8"/>
      <c r="CJR8"/>
      <c r="CJS8"/>
      <c r="CJT8"/>
      <c r="CJU8"/>
      <c r="CJV8"/>
      <c r="CJW8"/>
      <c r="CJX8"/>
      <c r="CJY8"/>
      <c r="CJZ8"/>
      <c r="CKA8"/>
      <c r="CKB8"/>
      <c r="CKC8"/>
      <c r="CKD8"/>
      <c r="CKE8"/>
      <c r="CKF8"/>
      <c r="CKG8"/>
      <c r="CKH8"/>
      <c r="CKI8"/>
      <c r="CKJ8"/>
      <c r="CKK8"/>
      <c r="CKL8"/>
      <c r="CKM8"/>
      <c r="CKN8"/>
      <c r="CKO8"/>
      <c r="CKP8"/>
      <c r="CKQ8"/>
      <c r="CKR8"/>
      <c r="CKS8"/>
      <c r="CKT8"/>
      <c r="CKU8"/>
      <c r="CKV8"/>
      <c r="CKW8"/>
      <c r="CKX8"/>
      <c r="CKY8"/>
      <c r="CKZ8"/>
      <c r="CLA8"/>
      <c r="CLB8"/>
      <c r="CLC8"/>
      <c r="CLD8"/>
      <c r="CLE8"/>
      <c r="CLF8"/>
      <c r="CLG8"/>
      <c r="CLH8"/>
      <c r="CLI8"/>
      <c r="CLJ8"/>
      <c r="CLK8"/>
      <c r="CLL8"/>
      <c r="CLM8"/>
      <c r="CLN8"/>
      <c r="CLO8"/>
      <c r="CLP8"/>
      <c r="CLQ8"/>
      <c r="CLR8"/>
      <c r="CLS8"/>
      <c r="CLT8"/>
      <c r="CLU8"/>
      <c r="CLV8"/>
      <c r="CLW8"/>
      <c r="CLX8"/>
      <c r="CLY8"/>
      <c r="CLZ8"/>
      <c r="CMA8"/>
      <c r="CMB8"/>
      <c r="CMC8"/>
      <c r="CMD8"/>
      <c r="CME8"/>
      <c r="CMF8"/>
      <c r="CMG8"/>
      <c r="CMH8"/>
      <c r="CMI8"/>
      <c r="CMJ8"/>
      <c r="CMK8"/>
      <c r="CML8"/>
      <c r="CMM8"/>
      <c r="CMN8"/>
      <c r="CMO8"/>
      <c r="CMP8"/>
      <c r="CMQ8"/>
      <c r="CMR8"/>
      <c r="CMS8"/>
      <c r="CMT8"/>
      <c r="CMU8"/>
      <c r="CMV8"/>
      <c r="CMW8"/>
      <c r="CMX8"/>
      <c r="CMY8"/>
      <c r="CMZ8"/>
      <c r="CNA8"/>
      <c r="CNB8"/>
      <c r="CNC8"/>
      <c r="CND8"/>
      <c r="CNE8"/>
      <c r="CNF8"/>
      <c r="CNG8"/>
      <c r="CNH8"/>
      <c r="CNI8"/>
      <c r="CNJ8"/>
      <c r="CNK8"/>
      <c r="CNL8"/>
      <c r="CNM8"/>
      <c r="CNN8"/>
      <c r="CNO8"/>
      <c r="CNP8"/>
      <c r="CNQ8"/>
      <c r="CNR8"/>
      <c r="CNS8"/>
      <c r="CNT8"/>
      <c r="CNU8"/>
      <c r="CNV8"/>
      <c r="CNW8"/>
      <c r="CNX8"/>
      <c r="CNY8"/>
      <c r="CNZ8"/>
      <c r="COA8"/>
      <c r="COB8"/>
      <c r="COC8"/>
      <c r="COD8"/>
      <c r="COE8"/>
      <c r="COF8"/>
      <c r="COG8"/>
      <c r="COH8"/>
      <c r="COI8"/>
      <c r="COJ8"/>
      <c r="COK8"/>
      <c r="COL8"/>
      <c r="COM8"/>
      <c r="CON8"/>
      <c r="COO8"/>
      <c r="COP8"/>
      <c r="COQ8"/>
      <c r="COR8"/>
      <c r="COS8"/>
      <c r="COT8"/>
      <c r="COU8"/>
      <c r="COV8"/>
      <c r="COW8"/>
      <c r="COX8"/>
      <c r="COY8"/>
      <c r="COZ8"/>
      <c r="CPA8"/>
      <c r="CPB8"/>
      <c r="CPC8"/>
      <c r="CPD8"/>
      <c r="CPE8"/>
      <c r="CPF8"/>
      <c r="CPG8"/>
      <c r="CPH8"/>
      <c r="CPI8"/>
      <c r="CPJ8"/>
      <c r="CPK8"/>
      <c r="CPL8"/>
      <c r="CPM8"/>
      <c r="CPN8"/>
      <c r="CPO8"/>
      <c r="CPP8"/>
      <c r="CPQ8"/>
      <c r="CPR8"/>
      <c r="CPS8"/>
      <c r="CPT8"/>
      <c r="CPU8"/>
      <c r="CPV8"/>
      <c r="CPW8"/>
      <c r="CPX8"/>
      <c r="CPY8"/>
      <c r="CPZ8"/>
      <c r="CQA8"/>
      <c r="CQB8"/>
      <c r="CQC8"/>
      <c r="CQD8"/>
      <c r="CQE8"/>
      <c r="CQF8"/>
      <c r="CQG8"/>
      <c r="CQH8"/>
      <c r="CQI8"/>
      <c r="CQJ8"/>
      <c r="CQK8"/>
      <c r="CQL8"/>
      <c r="CQM8"/>
      <c r="CQN8"/>
      <c r="CQO8"/>
      <c r="CQP8"/>
      <c r="CQQ8"/>
      <c r="CQR8"/>
      <c r="CQS8"/>
      <c r="CQT8"/>
      <c r="CQU8"/>
      <c r="CQV8"/>
      <c r="CQW8"/>
      <c r="CQX8"/>
      <c r="CQY8"/>
      <c r="CQZ8"/>
      <c r="CRA8"/>
      <c r="CRB8"/>
      <c r="CRC8"/>
      <c r="CRD8"/>
      <c r="CRE8"/>
      <c r="CRF8"/>
      <c r="CRG8"/>
      <c r="CRH8"/>
      <c r="CRI8"/>
      <c r="CRJ8"/>
      <c r="CRK8"/>
      <c r="CRL8"/>
      <c r="CRM8"/>
      <c r="CRN8"/>
      <c r="CRO8"/>
      <c r="CRP8"/>
      <c r="CRQ8"/>
      <c r="CRR8"/>
      <c r="CRS8"/>
      <c r="CRT8"/>
      <c r="CRU8"/>
      <c r="CRV8"/>
      <c r="CRW8"/>
      <c r="CRX8"/>
      <c r="CRY8"/>
      <c r="CRZ8"/>
      <c r="CSA8"/>
      <c r="CSB8"/>
      <c r="CSC8"/>
      <c r="CSD8"/>
      <c r="CSE8"/>
      <c r="CSF8"/>
      <c r="CSG8"/>
      <c r="CSH8"/>
      <c r="CSI8"/>
      <c r="CSJ8"/>
      <c r="CSK8"/>
      <c r="CSL8"/>
      <c r="CSM8"/>
      <c r="CSN8"/>
      <c r="CSO8"/>
      <c r="CSP8"/>
      <c r="CSQ8"/>
      <c r="CSR8"/>
      <c r="CSS8"/>
      <c r="CST8"/>
      <c r="CSU8"/>
      <c r="CSV8"/>
      <c r="CSW8"/>
      <c r="CSX8"/>
      <c r="CSY8"/>
      <c r="CSZ8"/>
      <c r="CTA8"/>
      <c r="CTB8"/>
      <c r="CTC8"/>
      <c r="CTD8"/>
      <c r="CTE8"/>
      <c r="CTF8"/>
      <c r="CTG8"/>
      <c r="CTH8"/>
      <c r="CTI8"/>
      <c r="CTJ8"/>
      <c r="CTK8"/>
      <c r="CTL8"/>
      <c r="CTM8"/>
      <c r="CTN8"/>
      <c r="CTO8"/>
      <c r="CTP8"/>
      <c r="CTQ8"/>
      <c r="CTR8"/>
      <c r="CTS8"/>
      <c r="CTT8"/>
      <c r="CTU8"/>
      <c r="CTV8"/>
      <c r="CTW8"/>
      <c r="CTX8"/>
      <c r="CTY8"/>
      <c r="CTZ8"/>
      <c r="CUA8"/>
      <c r="CUB8"/>
      <c r="CUC8"/>
      <c r="CUD8"/>
      <c r="CUE8"/>
      <c r="CUF8"/>
      <c r="CUG8"/>
      <c r="CUH8"/>
      <c r="CUI8"/>
      <c r="CUJ8"/>
      <c r="CUK8"/>
      <c r="CUL8"/>
      <c r="CUM8"/>
      <c r="CUN8"/>
      <c r="CUO8"/>
      <c r="CUP8"/>
      <c r="CUQ8"/>
      <c r="CUR8"/>
      <c r="CUS8"/>
      <c r="CUT8"/>
      <c r="CUU8"/>
      <c r="CUV8"/>
      <c r="CUW8"/>
      <c r="CUX8"/>
      <c r="CUY8"/>
      <c r="CUZ8"/>
      <c r="CVA8"/>
      <c r="CVB8"/>
      <c r="CVC8"/>
      <c r="CVD8"/>
      <c r="CVE8"/>
      <c r="CVF8"/>
      <c r="CVG8"/>
      <c r="CVH8"/>
      <c r="CVI8"/>
      <c r="CVJ8"/>
      <c r="CVK8"/>
      <c r="CVL8"/>
      <c r="CVM8"/>
      <c r="CVN8"/>
      <c r="CVO8"/>
      <c r="CVP8"/>
      <c r="CVQ8"/>
      <c r="CVR8"/>
      <c r="CVS8"/>
      <c r="CVT8"/>
      <c r="CVU8"/>
      <c r="CVV8"/>
      <c r="CVW8"/>
      <c r="CVX8"/>
      <c r="CVY8"/>
      <c r="CVZ8"/>
      <c r="CWA8"/>
      <c r="CWB8"/>
      <c r="CWC8"/>
      <c r="CWD8"/>
      <c r="CWE8"/>
      <c r="CWF8"/>
      <c r="CWG8"/>
      <c r="CWH8"/>
      <c r="CWI8"/>
      <c r="CWJ8"/>
      <c r="CWK8"/>
      <c r="CWL8"/>
      <c r="CWM8"/>
      <c r="CWN8"/>
      <c r="CWO8"/>
      <c r="CWP8"/>
      <c r="CWQ8"/>
      <c r="CWR8"/>
      <c r="CWS8"/>
      <c r="CWT8"/>
      <c r="CWU8"/>
      <c r="CWV8"/>
      <c r="CWW8"/>
      <c r="CWX8"/>
      <c r="CWY8"/>
      <c r="CWZ8"/>
      <c r="CXA8"/>
      <c r="CXB8"/>
      <c r="CXC8"/>
      <c r="CXD8"/>
      <c r="CXE8"/>
      <c r="CXF8"/>
      <c r="CXG8"/>
      <c r="CXH8"/>
      <c r="CXI8"/>
      <c r="CXJ8"/>
      <c r="CXK8"/>
      <c r="CXL8"/>
      <c r="CXM8"/>
      <c r="CXN8"/>
      <c r="CXO8"/>
      <c r="CXP8"/>
      <c r="CXQ8"/>
      <c r="CXR8"/>
      <c r="CXS8"/>
      <c r="CXT8"/>
      <c r="CXU8"/>
      <c r="CXV8"/>
      <c r="CXW8"/>
      <c r="CXX8"/>
      <c r="CXY8"/>
      <c r="CXZ8"/>
      <c r="CYA8"/>
      <c r="CYB8"/>
      <c r="CYC8"/>
      <c r="CYD8"/>
      <c r="CYE8"/>
      <c r="CYF8"/>
      <c r="CYG8"/>
      <c r="CYH8"/>
      <c r="CYI8"/>
      <c r="CYJ8"/>
      <c r="CYK8"/>
      <c r="CYL8"/>
      <c r="CYM8"/>
      <c r="CYN8"/>
      <c r="CYO8"/>
      <c r="CYP8"/>
      <c r="CYQ8"/>
      <c r="CYR8"/>
      <c r="CYS8"/>
      <c r="CYT8"/>
      <c r="CYU8"/>
      <c r="CYV8"/>
      <c r="CYW8"/>
      <c r="CYX8"/>
      <c r="CYY8"/>
      <c r="CYZ8"/>
      <c r="CZA8"/>
      <c r="CZB8"/>
      <c r="CZC8"/>
      <c r="CZD8"/>
      <c r="CZE8"/>
      <c r="CZF8"/>
      <c r="CZG8"/>
      <c r="CZH8"/>
      <c r="CZI8"/>
      <c r="CZJ8"/>
      <c r="CZK8"/>
      <c r="CZL8"/>
      <c r="CZM8"/>
      <c r="CZN8"/>
      <c r="CZO8"/>
      <c r="CZP8"/>
      <c r="CZQ8"/>
      <c r="CZR8"/>
      <c r="CZS8"/>
      <c r="CZT8"/>
      <c r="CZU8"/>
      <c r="CZV8"/>
      <c r="CZW8"/>
      <c r="CZX8"/>
      <c r="CZY8"/>
      <c r="CZZ8"/>
      <c r="DAA8"/>
      <c r="DAB8"/>
      <c r="DAC8"/>
      <c r="DAD8"/>
      <c r="DAE8"/>
      <c r="DAF8"/>
      <c r="DAG8"/>
      <c r="DAH8"/>
      <c r="DAI8"/>
      <c r="DAJ8"/>
      <c r="DAK8"/>
      <c r="DAL8"/>
      <c r="DAM8"/>
      <c r="DAN8"/>
      <c r="DAO8"/>
      <c r="DAP8"/>
      <c r="DAQ8"/>
      <c r="DAR8"/>
      <c r="DAS8"/>
      <c r="DAT8"/>
      <c r="DAU8"/>
      <c r="DAV8"/>
      <c r="DAW8"/>
      <c r="DAX8"/>
      <c r="DAY8"/>
      <c r="DAZ8"/>
      <c r="DBA8"/>
      <c r="DBB8"/>
      <c r="DBC8"/>
      <c r="DBD8"/>
      <c r="DBE8"/>
      <c r="DBF8"/>
      <c r="DBG8"/>
      <c r="DBH8"/>
      <c r="DBI8"/>
      <c r="DBJ8"/>
      <c r="DBK8"/>
      <c r="DBL8"/>
      <c r="DBM8"/>
      <c r="DBN8"/>
      <c r="DBO8"/>
      <c r="DBP8"/>
      <c r="DBQ8"/>
      <c r="DBR8"/>
      <c r="DBS8"/>
      <c r="DBT8"/>
      <c r="DBU8"/>
      <c r="DBV8"/>
      <c r="DBW8"/>
      <c r="DBX8"/>
      <c r="DBY8"/>
      <c r="DBZ8"/>
      <c r="DCA8"/>
      <c r="DCB8"/>
      <c r="DCC8"/>
      <c r="DCD8"/>
      <c r="DCE8"/>
      <c r="DCF8"/>
      <c r="DCG8"/>
      <c r="DCH8"/>
      <c r="DCI8"/>
      <c r="DCJ8"/>
      <c r="DCK8"/>
      <c r="DCL8"/>
      <c r="DCM8"/>
      <c r="DCN8"/>
      <c r="DCO8"/>
      <c r="DCP8"/>
      <c r="DCQ8"/>
      <c r="DCR8"/>
      <c r="DCS8"/>
      <c r="DCT8"/>
      <c r="DCU8"/>
      <c r="DCV8"/>
      <c r="DCW8"/>
      <c r="DCX8"/>
      <c r="DCY8"/>
      <c r="DCZ8"/>
      <c r="DDA8"/>
      <c r="DDB8"/>
      <c r="DDC8"/>
      <c r="DDD8"/>
      <c r="DDE8"/>
      <c r="DDF8"/>
      <c r="DDG8"/>
      <c r="DDH8"/>
      <c r="DDI8"/>
      <c r="DDJ8"/>
      <c r="DDK8"/>
      <c r="DDL8"/>
      <c r="DDM8"/>
      <c r="DDN8"/>
      <c r="DDO8"/>
      <c r="DDP8"/>
      <c r="DDQ8"/>
      <c r="DDR8"/>
      <c r="DDS8"/>
      <c r="DDT8"/>
      <c r="DDU8"/>
      <c r="DDV8"/>
      <c r="DDW8"/>
      <c r="DDX8"/>
      <c r="DDY8"/>
      <c r="DDZ8"/>
      <c r="DEA8"/>
      <c r="DEB8"/>
      <c r="DEC8"/>
      <c r="DED8"/>
      <c r="DEE8"/>
      <c r="DEF8"/>
      <c r="DEG8"/>
      <c r="DEH8"/>
      <c r="DEI8"/>
      <c r="DEJ8"/>
      <c r="DEK8"/>
      <c r="DEL8"/>
      <c r="DEM8"/>
      <c r="DEN8"/>
      <c r="DEO8"/>
      <c r="DEP8"/>
      <c r="DEQ8"/>
      <c r="DER8"/>
      <c r="DES8"/>
      <c r="DET8"/>
      <c r="DEU8"/>
      <c r="DEV8"/>
      <c r="DEW8"/>
      <c r="DEX8"/>
      <c r="DEY8"/>
      <c r="DEZ8"/>
      <c r="DFA8"/>
      <c r="DFB8"/>
      <c r="DFC8"/>
      <c r="DFD8"/>
      <c r="DFE8"/>
      <c r="DFF8"/>
      <c r="DFG8"/>
      <c r="DFH8"/>
      <c r="DFI8"/>
      <c r="DFJ8"/>
      <c r="DFK8"/>
      <c r="DFL8"/>
      <c r="DFM8"/>
      <c r="DFN8"/>
      <c r="DFO8"/>
      <c r="DFP8"/>
      <c r="DFQ8"/>
      <c r="DFR8"/>
      <c r="DFS8"/>
      <c r="DFT8"/>
      <c r="DFU8"/>
      <c r="DFV8"/>
      <c r="DFW8"/>
      <c r="DFX8"/>
      <c r="DFY8"/>
      <c r="DFZ8"/>
      <c r="DGA8"/>
      <c r="DGB8"/>
      <c r="DGC8"/>
      <c r="DGD8"/>
      <c r="DGE8"/>
      <c r="DGF8"/>
      <c r="DGG8"/>
      <c r="DGH8"/>
      <c r="DGI8"/>
      <c r="DGJ8"/>
      <c r="DGK8"/>
      <c r="DGL8"/>
      <c r="DGM8"/>
      <c r="DGN8"/>
      <c r="DGO8"/>
      <c r="DGP8"/>
      <c r="DGQ8"/>
      <c r="DGR8"/>
      <c r="DGS8"/>
      <c r="DGT8"/>
      <c r="DGU8"/>
      <c r="DGV8"/>
      <c r="DGW8"/>
      <c r="DGX8"/>
      <c r="DGY8"/>
      <c r="DGZ8"/>
      <c r="DHA8"/>
      <c r="DHB8"/>
      <c r="DHC8"/>
      <c r="DHD8"/>
      <c r="DHE8"/>
      <c r="DHF8"/>
      <c r="DHG8"/>
      <c r="DHH8"/>
      <c r="DHI8"/>
      <c r="DHJ8"/>
      <c r="DHK8"/>
      <c r="DHL8"/>
      <c r="DHM8"/>
      <c r="DHN8"/>
      <c r="DHO8"/>
      <c r="DHP8"/>
      <c r="DHQ8"/>
      <c r="DHR8"/>
      <c r="DHS8"/>
      <c r="DHT8"/>
      <c r="DHU8"/>
      <c r="DHV8"/>
      <c r="DHW8"/>
      <c r="DHX8"/>
      <c r="DHY8"/>
      <c r="DHZ8"/>
      <c r="DIA8"/>
      <c r="DIB8"/>
      <c r="DIC8"/>
      <c r="DID8"/>
      <c r="DIE8"/>
      <c r="DIF8"/>
      <c r="DIG8"/>
      <c r="DIH8"/>
      <c r="DII8"/>
      <c r="DIJ8"/>
      <c r="DIK8"/>
      <c r="DIL8"/>
      <c r="DIM8"/>
      <c r="DIN8"/>
      <c r="DIO8"/>
      <c r="DIP8"/>
      <c r="DIQ8"/>
      <c r="DIR8"/>
      <c r="DIS8"/>
      <c r="DIT8"/>
      <c r="DIU8"/>
      <c r="DIV8"/>
      <c r="DIW8"/>
      <c r="DIX8"/>
      <c r="DIY8"/>
      <c r="DIZ8"/>
      <c r="DJA8"/>
      <c r="DJB8"/>
      <c r="DJC8"/>
      <c r="DJD8"/>
      <c r="DJE8"/>
      <c r="DJF8"/>
      <c r="DJG8"/>
      <c r="DJH8"/>
      <c r="DJI8"/>
      <c r="DJJ8"/>
      <c r="DJK8"/>
      <c r="DJL8"/>
      <c r="DJM8"/>
      <c r="DJN8"/>
      <c r="DJO8"/>
      <c r="DJP8"/>
      <c r="DJQ8"/>
      <c r="DJR8"/>
      <c r="DJS8"/>
      <c r="DJT8"/>
      <c r="DJU8"/>
      <c r="DJV8"/>
      <c r="DJW8"/>
      <c r="DJX8"/>
      <c r="DJY8"/>
      <c r="DJZ8"/>
      <c r="DKA8"/>
      <c r="DKB8"/>
      <c r="DKC8"/>
      <c r="DKD8"/>
      <c r="DKE8"/>
      <c r="DKF8"/>
      <c r="DKG8"/>
      <c r="DKH8"/>
      <c r="DKI8"/>
      <c r="DKJ8"/>
      <c r="DKK8"/>
      <c r="DKL8"/>
      <c r="DKM8"/>
      <c r="DKN8"/>
      <c r="DKO8"/>
      <c r="DKP8"/>
      <c r="DKQ8"/>
      <c r="DKR8"/>
      <c r="DKS8"/>
      <c r="DKT8"/>
      <c r="DKU8"/>
      <c r="DKV8"/>
      <c r="DKW8"/>
      <c r="DKX8"/>
      <c r="DKY8"/>
      <c r="DKZ8"/>
      <c r="DLA8"/>
      <c r="DLB8"/>
      <c r="DLC8"/>
      <c r="DLD8"/>
      <c r="DLE8"/>
      <c r="DLF8"/>
      <c r="DLG8"/>
      <c r="DLH8"/>
      <c r="DLI8"/>
      <c r="DLJ8"/>
      <c r="DLK8"/>
      <c r="DLL8"/>
      <c r="DLM8"/>
      <c r="DLN8"/>
      <c r="DLO8"/>
      <c r="DLP8"/>
      <c r="DLQ8"/>
      <c r="DLR8"/>
      <c r="DLS8"/>
      <c r="DLT8"/>
      <c r="DLU8"/>
      <c r="DLV8"/>
      <c r="DLW8"/>
      <c r="DLX8"/>
      <c r="DLY8"/>
      <c r="DLZ8"/>
      <c r="DMA8"/>
      <c r="DMB8"/>
      <c r="DMC8"/>
      <c r="DMD8"/>
      <c r="DME8"/>
      <c r="DMF8"/>
      <c r="DMG8"/>
      <c r="DMH8"/>
      <c r="DMI8"/>
      <c r="DMJ8"/>
      <c r="DMK8"/>
      <c r="DML8"/>
      <c r="DMM8"/>
      <c r="DMN8"/>
      <c r="DMO8"/>
      <c r="DMP8"/>
      <c r="DMQ8"/>
      <c r="DMR8"/>
      <c r="DMS8"/>
      <c r="DMT8"/>
      <c r="DMU8"/>
      <c r="DMV8"/>
      <c r="DMW8"/>
      <c r="DMX8"/>
      <c r="DMY8"/>
      <c r="DMZ8"/>
      <c r="DNA8"/>
      <c r="DNB8"/>
      <c r="DNC8"/>
      <c r="DND8"/>
      <c r="DNE8"/>
      <c r="DNF8"/>
      <c r="DNG8"/>
      <c r="DNH8"/>
      <c r="DNI8"/>
      <c r="DNJ8"/>
      <c r="DNK8"/>
      <c r="DNL8"/>
      <c r="DNM8"/>
      <c r="DNN8"/>
      <c r="DNO8"/>
      <c r="DNP8"/>
      <c r="DNQ8"/>
      <c r="DNR8"/>
      <c r="DNS8"/>
      <c r="DNT8"/>
      <c r="DNU8"/>
      <c r="DNV8"/>
      <c r="DNW8"/>
      <c r="DNX8"/>
      <c r="DNY8"/>
      <c r="DNZ8"/>
      <c r="DOA8"/>
      <c r="DOB8"/>
      <c r="DOC8"/>
      <c r="DOD8"/>
      <c r="DOE8"/>
      <c r="DOF8"/>
      <c r="DOG8"/>
      <c r="DOH8"/>
      <c r="DOI8"/>
      <c r="DOJ8"/>
      <c r="DOK8"/>
      <c r="DOL8"/>
      <c r="DOM8"/>
      <c r="DON8"/>
      <c r="DOO8"/>
      <c r="DOP8"/>
      <c r="DOQ8"/>
      <c r="DOR8"/>
      <c r="DOS8"/>
      <c r="DOT8"/>
      <c r="DOU8"/>
      <c r="DOV8"/>
      <c r="DOW8"/>
      <c r="DOX8"/>
      <c r="DOY8"/>
      <c r="DOZ8"/>
      <c r="DPA8"/>
      <c r="DPB8"/>
      <c r="DPC8"/>
      <c r="DPD8"/>
      <c r="DPE8"/>
      <c r="DPF8"/>
      <c r="DPG8"/>
      <c r="DPH8"/>
      <c r="DPI8"/>
      <c r="DPJ8"/>
      <c r="DPK8"/>
      <c r="DPL8"/>
      <c r="DPM8"/>
      <c r="DPN8"/>
      <c r="DPO8"/>
      <c r="DPP8"/>
      <c r="DPQ8"/>
      <c r="DPR8"/>
      <c r="DPS8"/>
      <c r="DPT8"/>
      <c r="DPU8"/>
      <c r="DPV8"/>
      <c r="DPW8"/>
      <c r="DPX8"/>
      <c r="DPY8"/>
      <c r="DPZ8"/>
      <c r="DQA8"/>
      <c r="DQB8"/>
      <c r="DQC8"/>
      <c r="DQD8"/>
      <c r="DQE8"/>
      <c r="DQF8"/>
      <c r="DQG8"/>
      <c r="DQH8"/>
      <c r="DQI8"/>
      <c r="DQJ8"/>
      <c r="DQK8"/>
      <c r="DQL8"/>
      <c r="DQM8"/>
      <c r="DQN8"/>
      <c r="DQO8"/>
      <c r="DQP8"/>
      <c r="DQQ8"/>
      <c r="DQR8"/>
      <c r="DQS8"/>
      <c r="DQT8"/>
      <c r="DQU8"/>
      <c r="DQV8"/>
      <c r="DQW8"/>
      <c r="DQX8"/>
      <c r="DQY8"/>
      <c r="DQZ8"/>
      <c r="DRA8"/>
      <c r="DRB8"/>
      <c r="DRC8"/>
      <c r="DRD8"/>
      <c r="DRE8"/>
      <c r="DRF8"/>
      <c r="DRG8"/>
      <c r="DRH8"/>
      <c r="DRI8"/>
      <c r="DRJ8"/>
      <c r="DRK8"/>
      <c r="DRL8"/>
      <c r="DRM8"/>
      <c r="DRN8"/>
      <c r="DRO8"/>
      <c r="DRP8"/>
      <c r="DRQ8"/>
      <c r="DRR8"/>
      <c r="DRS8"/>
      <c r="DRT8"/>
      <c r="DRU8"/>
      <c r="DRV8"/>
      <c r="DRW8"/>
      <c r="DRX8"/>
      <c r="DRY8"/>
      <c r="DRZ8"/>
      <c r="DSA8"/>
      <c r="DSB8"/>
      <c r="DSC8"/>
      <c r="DSD8"/>
      <c r="DSE8"/>
      <c r="DSF8"/>
      <c r="DSG8"/>
      <c r="DSH8"/>
      <c r="DSI8"/>
      <c r="DSJ8"/>
      <c r="DSK8"/>
      <c r="DSL8"/>
      <c r="DSM8"/>
      <c r="DSN8"/>
      <c r="DSO8"/>
      <c r="DSP8"/>
      <c r="DSQ8"/>
      <c r="DSR8"/>
      <c r="DSS8"/>
      <c r="DST8"/>
      <c r="DSU8"/>
      <c r="DSV8"/>
      <c r="DSW8"/>
      <c r="DSX8"/>
      <c r="DSY8"/>
      <c r="DSZ8"/>
      <c r="DTA8"/>
      <c r="DTB8"/>
      <c r="DTC8"/>
      <c r="DTD8"/>
      <c r="DTE8"/>
      <c r="DTF8"/>
      <c r="DTG8"/>
      <c r="DTH8"/>
      <c r="DTI8"/>
      <c r="DTJ8"/>
      <c r="DTK8"/>
      <c r="DTL8"/>
      <c r="DTM8"/>
      <c r="DTN8"/>
      <c r="DTO8"/>
      <c r="DTP8"/>
      <c r="DTQ8"/>
      <c r="DTR8"/>
      <c r="DTS8"/>
      <c r="DTT8"/>
      <c r="DTU8"/>
      <c r="DTV8"/>
      <c r="DTW8"/>
      <c r="DTX8"/>
      <c r="DTY8"/>
      <c r="DTZ8"/>
      <c r="DUA8"/>
      <c r="DUB8"/>
      <c r="DUC8"/>
      <c r="DUD8"/>
      <c r="DUE8"/>
      <c r="DUF8"/>
      <c r="DUG8"/>
      <c r="DUH8"/>
      <c r="DUI8"/>
      <c r="DUJ8"/>
      <c r="DUK8"/>
      <c r="DUL8"/>
      <c r="DUM8"/>
      <c r="DUN8"/>
      <c r="DUO8"/>
      <c r="DUP8"/>
      <c r="DUQ8"/>
      <c r="DUR8"/>
      <c r="DUS8"/>
      <c r="DUT8"/>
      <c r="DUU8"/>
      <c r="DUV8"/>
      <c r="DUW8"/>
      <c r="DUX8"/>
      <c r="DUY8"/>
      <c r="DUZ8"/>
      <c r="DVA8"/>
      <c r="DVB8"/>
      <c r="DVC8"/>
      <c r="DVD8"/>
      <c r="DVE8"/>
      <c r="DVF8"/>
      <c r="DVG8"/>
      <c r="DVH8"/>
      <c r="DVI8"/>
      <c r="DVJ8"/>
      <c r="DVK8"/>
      <c r="DVL8"/>
      <c r="DVM8"/>
      <c r="DVN8"/>
      <c r="DVO8"/>
      <c r="DVP8"/>
      <c r="DVQ8"/>
      <c r="DVR8"/>
      <c r="DVS8"/>
      <c r="DVT8"/>
      <c r="DVU8"/>
      <c r="DVV8"/>
      <c r="DVW8"/>
      <c r="DVX8"/>
      <c r="DVY8"/>
      <c r="DVZ8"/>
      <c r="DWA8"/>
      <c r="DWB8"/>
      <c r="DWC8"/>
      <c r="DWD8"/>
      <c r="DWE8"/>
      <c r="DWF8"/>
      <c r="DWG8"/>
      <c r="DWH8"/>
      <c r="DWI8"/>
      <c r="DWJ8"/>
      <c r="DWK8"/>
      <c r="DWL8"/>
      <c r="DWM8"/>
      <c r="DWN8"/>
      <c r="DWO8"/>
      <c r="DWP8"/>
      <c r="DWQ8"/>
      <c r="DWR8"/>
      <c r="DWS8"/>
      <c r="DWT8"/>
      <c r="DWU8"/>
      <c r="DWV8"/>
      <c r="DWW8"/>
      <c r="DWX8"/>
      <c r="DWY8"/>
      <c r="DWZ8"/>
      <c r="DXA8"/>
      <c r="DXB8"/>
      <c r="DXC8"/>
      <c r="DXD8"/>
      <c r="DXE8"/>
      <c r="DXF8"/>
      <c r="DXG8"/>
      <c r="DXH8"/>
      <c r="DXI8"/>
      <c r="DXJ8"/>
      <c r="DXK8"/>
      <c r="DXL8"/>
      <c r="DXM8"/>
      <c r="DXN8"/>
      <c r="DXO8"/>
      <c r="DXP8"/>
      <c r="DXQ8"/>
      <c r="DXR8"/>
      <c r="DXS8"/>
      <c r="DXT8"/>
      <c r="DXU8"/>
      <c r="DXV8"/>
      <c r="DXW8"/>
      <c r="DXX8"/>
      <c r="DXY8"/>
      <c r="DXZ8"/>
      <c r="DYA8"/>
      <c r="DYB8"/>
      <c r="DYC8"/>
      <c r="DYD8"/>
      <c r="DYE8"/>
      <c r="DYF8"/>
      <c r="DYG8"/>
      <c r="DYH8"/>
      <c r="DYI8"/>
      <c r="DYJ8"/>
      <c r="DYK8"/>
      <c r="DYL8"/>
      <c r="DYM8"/>
      <c r="DYN8"/>
      <c r="DYO8"/>
      <c r="DYP8"/>
      <c r="DYQ8"/>
      <c r="DYR8"/>
      <c r="DYS8"/>
      <c r="DYT8"/>
      <c r="DYU8"/>
      <c r="DYV8"/>
      <c r="DYW8"/>
      <c r="DYX8"/>
      <c r="DYY8"/>
      <c r="DYZ8"/>
      <c r="DZA8"/>
      <c r="DZB8"/>
      <c r="DZC8"/>
      <c r="DZD8"/>
      <c r="DZE8"/>
      <c r="DZF8"/>
      <c r="DZG8"/>
      <c r="DZH8"/>
      <c r="DZI8"/>
      <c r="DZJ8"/>
      <c r="DZK8"/>
      <c r="DZL8"/>
      <c r="DZM8"/>
      <c r="DZN8"/>
      <c r="DZO8"/>
      <c r="DZP8"/>
      <c r="DZQ8"/>
      <c r="DZR8"/>
      <c r="DZS8"/>
      <c r="DZT8"/>
      <c r="DZU8"/>
      <c r="DZV8"/>
      <c r="DZW8"/>
      <c r="DZX8"/>
      <c r="DZY8"/>
      <c r="DZZ8"/>
      <c r="EAA8"/>
      <c r="EAB8"/>
      <c r="EAC8"/>
      <c r="EAD8"/>
      <c r="EAE8"/>
      <c r="EAF8"/>
      <c r="EAG8"/>
      <c r="EAH8"/>
      <c r="EAI8"/>
      <c r="EAJ8"/>
      <c r="EAK8"/>
      <c r="EAL8"/>
      <c r="EAM8"/>
      <c r="EAN8"/>
      <c r="EAO8"/>
      <c r="EAP8"/>
      <c r="EAQ8"/>
      <c r="EAR8"/>
      <c r="EAS8"/>
      <c r="EAT8"/>
      <c r="EAU8"/>
      <c r="EAV8"/>
      <c r="EAW8"/>
      <c r="EAX8"/>
      <c r="EAY8"/>
      <c r="EAZ8"/>
      <c r="EBA8"/>
      <c r="EBB8"/>
      <c r="EBC8"/>
      <c r="EBD8"/>
      <c r="EBE8"/>
      <c r="EBF8"/>
      <c r="EBG8"/>
      <c r="EBH8"/>
      <c r="EBI8"/>
      <c r="EBJ8"/>
      <c r="EBK8"/>
      <c r="EBL8"/>
      <c r="EBM8"/>
      <c r="EBN8"/>
      <c r="EBO8"/>
      <c r="EBP8"/>
      <c r="EBQ8"/>
      <c r="EBR8"/>
      <c r="EBS8"/>
      <c r="EBT8"/>
      <c r="EBU8"/>
      <c r="EBV8"/>
      <c r="EBW8"/>
      <c r="EBX8"/>
      <c r="EBY8"/>
      <c r="EBZ8"/>
      <c r="ECA8"/>
      <c r="ECB8"/>
      <c r="ECC8"/>
      <c r="ECD8"/>
      <c r="ECE8"/>
      <c r="ECF8"/>
      <c r="ECG8"/>
      <c r="ECH8"/>
      <c r="ECI8"/>
      <c r="ECJ8"/>
      <c r="ECK8"/>
      <c r="ECL8"/>
      <c r="ECM8"/>
      <c r="ECN8"/>
      <c r="ECO8"/>
      <c r="ECP8"/>
      <c r="ECQ8"/>
      <c r="ECR8"/>
      <c r="ECS8"/>
      <c r="ECT8"/>
      <c r="ECU8"/>
      <c r="ECV8"/>
      <c r="ECW8"/>
      <c r="ECX8"/>
      <c r="ECY8"/>
      <c r="ECZ8"/>
      <c r="EDA8"/>
      <c r="EDB8"/>
      <c r="EDC8"/>
      <c r="EDD8"/>
      <c r="EDE8"/>
      <c r="EDF8"/>
      <c r="EDG8"/>
      <c r="EDH8"/>
      <c r="EDI8"/>
      <c r="EDJ8"/>
      <c r="EDK8"/>
      <c r="EDL8"/>
      <c r="EDM8"/>
      <c r="EDN8"/>
      <c r="EDO8"/>
      <c r="EDP8"/>
      <c r="EDQ8"/>
      <c r="EDR8"/>
      <c r="EDS8"/>
      <c r="EDT8"/>
      <c r="EDU8"/>
      <c r="EDV8"/>
      <c r="EDW8"/>
      <c r="EDX8"/>
      <c r="EDY8"/>
      <c r="EDZ8"/>
      <c r="EEA8"/>
      <c r="EEB8"/>
      <c r="EEC8"/>
      <c r="EED8"/>
      <c r="EEE8"/>
      <c r="EEF8"/>
      <c r="EEG8"/>
      <c r="EEH8"/>
      <c r="EEI8"/>
      <c r="EEJ8"/>
      <c r="EEK8"/>
      <c r="EEL8"/>
      <c r="EEM8"/>
      <c r="EEN8"/>
      <c r="EEO8"/>
      <c r="EEP8"/>
      <c r="EEQ8"/>
      <c r="EER8"/>
      <c r="EES8"/>
      <c r="EET8"/>
      <c r="EEU8"/>
      <c r="EEV8"/>
      <c r="EEW8"/>
      <c r="EEX8"/>
      <c r="EEY8"/>
      <c r="EEZ8"/>
      <c r="EFA8"/>
      <c r="EFB8"/>
      <c r="EFC8"/>
      <c r="EFD8"/>
      <c r="EFE8"/>
      <c r="EFF8"/>
      <c r="EFG8"/>
      <c r="EFH8"/>
      <c r="EFI8"/>
      <c r="EFJ8"/>
      <c r="EFK8"/>
      <c r="EFL8"/>
      <c r="EFM8"/>
      <c r="EFN8"/>
      <c r="EFO8"/>
      <c r="EFP8"/>
      <c r="EFQ8"/>
      <c r="EFR8"/>
      <c r="EFS8"/>
      <c r="EFT8"/>
      <c r="EFU8"/>
      <c r="EFV8"/>
      <c r="EFW8"/>
      <c r="EFX8"/>
      <c r="EFY8"/>
      <c r="EFZ8"/>
      <c r="EGA8"/>
      <c r="EGB8"/>
      <c r="EGC8"/>
      <c r="EGD8"/>
      <c r="EGE8"/>
      <c r="EGF8"/>
      <c r="EGG8"/>
      <c r="EGH8"/>
      <c r="EGI8"/>
      <c r="EGJ8"/>
      <c r="EGK8"/>
      <c r="EGL8"/>
      <c r="EGM8"/>
      <c r="EGN8"/>
      <c r="EGO8"/>
      <c r="EGP8"/>
      <c r="EGQ8"/>
      <c r="EGR8"/>
      <c r="EGS8"/>
      <c r="EGT8"/>
      <c r="EGU8"/>
      <c r="EGV8"/>
      <c r="EGW8"/>
      <c r="EGX8"/>
      <c r="EGY8"/>
      <c r="EGZ8"/>
      <c r="EHA8"/>
      <c r="EHB8"/>
      <c r="EHC8"/>
      <c r="EHD8"/>
      <c r="EHE8"/>
      <c r="EHF8"/>
      <c r="EHG8"/>
      <c r="EHH8"/>
      <c r="EHI8"/>
      <c r="EHJ8"/>
      <c r="EHK8"/>
      <c r="EHL8"/>
      <c r="EHM8"/>
      <c r="EHN8"/>
      <c r="EHO8"/>
      <c r="EHP8"/>
      <c r="EHQ8"/>
      <c r="EHR8"/>
      <c r="EHS8"/>
      <c r="EHT8"/>
      <c r="EHU8"/>
      <c r="EHV8"/>
      <c r="EHW8"/>
      <c r="EHX8"/>
      <c r="EHY8"/>
      <c r="EHZ8"/>
      <c r="EIA8"/>
      <c r="EIB8"/>
      <c r="EIC8"/>
      <c r="EID8"/>
      <c r="EIE8"/>
      <c r="EIF8"/>
      <c r="EIG8"/>
      <c r="EIH8"/>
      <c r="EII8"/>
      <c r="EIJ8"/>
      <c r="EIK8"/>
      <c r="EIL8"/>
      <c r="EIM8"/>
      <c r="EIN8"/>
      <c r="EIO8"/>
      <c r="EIP8"/>
      <c r="EIQ8"/>
      <c r="EIR8"/>
      <c r="EIS8"/>
      <c r="EIT8"/>
      <c r="EIU8"/>
      <c r="EIV8"/>
      <c r="EIW8"/>
      <c r="EIX8"/>
      <c r="EIY8"/>
      <c r="EIZ8"/>
      <c r="EJA8"/>
      <c r="EJB8"/>
      <c r="EJC8"/>
      <c r="EJD8"/>
      <c r="EJE8"/>
      <c r="EJF8"/>
      <c r="EJG8"/>
      <c r="EJH8"/>
      <c r="EJI8"/>
      <c r="EJJ8"/>
      <c r="EJK8"/>
      <c r="EJL8"/>
      <c r="EJM8"/>
      <c r="EJN8"/>
      <c r="EJO8"/>
      <c r="EJP8"/>
      <c r="EJQ8"/>
      <c r="EJR8"/>
      <c r="EJS8"/>
      <c r="EJT8"/>
      <c r="EJU8"/>
      <c r="EJV8"/>
      <c r="EJW8"/>
      <c r="EJX8"/>
      <c r="EJY8"/>
      <c r="EJZ8"/>
      <c r="EKA8"/>
      <c r="EKB8"/>
      <c r="EKC8"/>
      <c r="EKD8"/>
      <c r="EKE8"/>
      <c r="EKF8"/>
      <c r="EKG8"/>
      <c r="EKH8"/>
      <c r="EKI8"/>
      <c r="EKJ8"/>
      <c r="EKK8"/>
      <c r="EKL8"/>
      <c r="EKM8"/>
      <c r="EKN8"/>
      <c r="EKO8"/>
      <c r="EKP8"/>
      <c r="EKQ8"/>
      <c r="EKR8"/>
      <c r="EKS8"/>
      <c r="EKT8"/>
      <c r="EKU8"/>
      <c r="EKV8"/>
      <c r="EKW8"/>
      <c r="EKX8"/>
      <c r="EKY8"/>
      <c r="EKZ8"/>
      <c r="ELA8"/>
      <c r="ELB8"/>
      <c r="ELC8"/>
      <c r="ELD8"/>
      <c r="ELE8"/>
      <c r="ELF8"/>
      <c r="ELG8"/>
      <c r="ELH8"/>
      <c r="ELI8"/>
      <c r="ELJ8"/>
      <c r="ELK8"/>
      <c r="ELL8"/>
      <c r="ELM8"/>
      <c r="ELN8"/>
      <c r="ELO8"/>
      <c r="ELP8"/>
      <c r="ELQ8"/>
      <c r="ELR8"/>
      <c r="ELS8"/>
      <c r="ELT8"/>
      <c r="ELU8"/>
      <c r="ELV8"/>
      <c r="ELW8"/>
      <c r="ELX8"/>
      <c r="ELY8"/>
      <c r="ELZ8"/>
      <c r="EMA8"/>
      <c r="EMB8"/>
      <c r="EMC8"/>
      <c r="EMD8"/>
      <c r="EME8"/>
      <c r="EMF8"/>
      <c r="EMG8"/>
      <c r="EMH8"/>
      <c r="EMI8"/>
      <c r="EMJ8"/>
      <c r="EMK8"/>
      <c r="EML8"/>
      <c r="EMM8"/>
      <c r="EMN8"/>
      <c r="EMO8"/>
      <c r="EMP8"/>
      <c r="EMQ8"/>
      <c r="EMR8"/>
      <c r="EMS8"/>
      <c r="EMT8"/>
      <c r="EMU8"/>
      <c r="EMV8"/>
      <c r="EMW8"/>
      <c r="EMX8"/>
      <c r="EMY8"/>
      <c r="EMZ8"/>
      <c r="ENA8"/>
      <c r="ENB8"/>
      <c r="ENC8"/>
      <c r="END8"/>
      <c r="ENE8"/>
      <c r="ENF8"/>
      <c r="ENG8"/>
      <c r="ENH8"/>
      <c r="ENI8"/>
      <c r="ENJ8"/>
      <c r="ENK8"/>
      <c r="ENL8"/>
      <c r="ENM8"/>
      <c r="ENN8"/>
      <c r="ENO8"/>
      <c r="ENP8"/>
      <c r="ENQ8"/>
      <c r="ENR8"/>
      <c r="ENS8"/>
      <c r="ENT8"/>
      <c r="ENU8"/>
      <c r="ENV8"/>
      <c r="ENW8"/>
      <c r="ENX8"/>
      <c r="ENY8"/>
      <c r="ENZ8"/>
      <c r="EOA8"/>
      <c r="EOB8"/>
      <c r="EOC8"/>
      <c r="EOD8"/>
      <c r="EOE8"/>
      <c r="EOF8"/>
      <c r="EOG8"/>
      <c r="EOH8"/>
      <c r="EOI8"/>
      <c r="EOJ8"/>
      <c r="EOK8"/>
      <c r="EOL8"/>
      <c r="EOM8"/>
      <c r="EON8"/>
      <c r="EOO8"/>
      <c r="EOP8"/>
      <c r="EOQ8"/>
      <c r="EOR8"/>
      <c r="EOS8"/>
      <c r="EOT8"/>
      <c r="EOU8"/>
      <c r="EOV8"/>
      <c r="EOW8"/>
      <c r="EOX8"/>
      <c r="EOY8"/>
      <c r="EOZ8"/>
      <c r="EPA8"/>
      <c r="EPB8"/>
      <c r="EPC8"/>
      <c r="EPD8"/>
      <c r="EPE8"/>
      <c r="EPF8"/>
      <c r="EPG8"/>
      <c r="EPH8"/>
      <c r="EPI8"/>
      <c r="EPJ8"/>
      <c r="EPK8"/>
      <c r="EPL8"/>
      <c r="EPM8"/>
      <c r="EPN8"/>
      <c r="EPO8"/>
      <c r="EPP8"/>
      <c r="EPQ8"/>
      <c r="EPR8"/>
      <c r="EPS8"/>
      <c r="EPT8"/>
      <c r="EPU8"/>
      <c r="EPV8"/>
      <c r="EPW8"/>
      <c r="EPX8"/>
      <c r="EPY8"/>
      <c r="EPZ8"/>
      <c r="EQA8"/>
      <c r="EQB8"/>
      <c r="EQC8"/>
      <c r="EQD8"/>
      <c r="EQE8"/>
      <c r="EQF8"/>
      <c r="EQG8"/>
      <c r="EQH8"/>
      <c r="EQI8"/>
      <c r="EQJ8"/>
      <c r="EQK8"/>
      <c r="EQL8"/>
      <c r="EQM8"/>
      <c r="EQN8"/>
      <c r="EQO8"/>
      <c r="EQP8"/>
      <c r="EQQ8"/>
      <c r="EQR8"/>
      <c r="EQS8"/>
      <c r="EQT8"/>
      <c r="EQU8"/>
      <c r="EQV8"/>
      <c r="EQW8"/>
      <c r="EQX8"/>
      <c r="EQY8"/>
      <c r="EQZ8"/>
      <c r="ERA8"/>
      <c r="ERB8"/>
      <c r="ERC8"/>
      <c r="ERD8"/>
      <c r="ERE8"/>
      <c r="ERF8"/>
      <c r="ERG8"/>
      <c r="ERH8"/>
      <c r="ERI8"/>
      <c r="ERJ8"/>
      <c r="ERK8"/>
      <c r="ERL8"/>
      <c r="ERM8"/>
      <c r="ERN8"/>
      <c r="ERO8"/>
      <c r="ERP8"/>
      <c r="ERQ8"/>
      <c r="ERR8"/>
      <c r="ERS8"/>
      <c r="ERT8"/>
      <c r="ERU8"/>
      <c r="ERV8"/>
      <c r="ERW8"/>
      <c r="ERX8"/>
      <c r="ERY8"/>
      <c r="ERZ8"/>
      <c r="ESA8"/>
      <c r="ESB8"/>
      <c r="ESC8"/>
      <c r="ESD8"/>
      <c r="ESE8"/>
      <c r="ESF8"/>
      <c r="ESG8"/>
      <c r="ESH8"/>
      <c r="ESI8"/>
      <c r="ESJ8"/>
      <c r="ESK8"/>
      <c r="ESL8"/>
      <c r="ESM8"/>
      <c r="ESN8"/>
      <c r="ESO8"/>
      <c r="ESP8"/>
      <c r="ESQ8"/>
      <c r="ESR8"/>
      <c r="ESS8"/>
      <c r="EST8"/>
      <c r="ESU8"/>
      <c r="ESV8"/>
      <c r="ESW8"/>
      <c r="ESX8"/>
      <c r="ESY8"/>
      <c r="ESZ8"/>
      <c r="ETA8"/>
      <c r="ETB8"/>
      <c r="ETC8"/>
      <c r="ETD8"/>
      <c r="ETE8"/>
      <c r="ETF8"/>
      <c r="ETG8"/>
      <c r="ETH8"/>
      <c r="ETI8"/>
      <c r="ETJ8"/>
      <c r="ETK8"/>
      <c r="ETL8"/>
      <c r="ETM8"/>
      <c r="ETN8"/>
      <c r="ETO8"/>
      <c r="ETP8"/>
      <c r="ETQ8"/>
      <c r="ETR8"/>
      <c r="ETS8"/>
      <c r="ETT8"/>
      <c r="ETU8"/>
      <c r="ETV8"/>
      <c r="ETW8"/>
      <c r="ETX8"/>
      <c r="ETY8"/>
      <c r="ETZ8"/>
      <c r="EUA8"/>
      <c r="EUB8"/>
      <c r="EUC8"/>
      <c r="EUD8"/>
      <c r="EUE8"/>
      <c r="EUF8"/>
      <c r="EUG8"/>
      <c r="EUH8"/>
      <c r="EUI8"/>
      <c r="EUJ8"/>
      <c r="EUK8"/>
      <c r="EUL8"/>
      <c r="EUM8"/>
      <c r="EUN8"/>
      <c r="EUO8"/>
      <c r="EUP8"/>
      <c r="EUQ8"/>
      <c r="EUR8"/>
      <c r="EUS8"/>
      <c r="EUT8"/>
      <c r="EUU8"/>
      <c r="EUV8"/>
      <c r="EUW8"/>
      <c r="EUX8"/>
      <c r="EUY8"/>
      <c r="EUZ8"/>
      <c r="EVA8"/>
      <c r="EVB8"/>
      <c r="EVC8"/>
      <c r="EVD8"/>
      <c r="EVE8"/>
      <c r="EVF8"/>
      <c r="EVG8"/>
      <c r="EVH8"/>
      <c r="EVI8"/>
      <c r="EVJ8"/>
      <c r="EVK8"/>
      <c r="EVL8"/>
      <c r="EVM8"/>
      <c r="EVN8"/>
      <c r="EVO8"/>
      <c r="EVP8"/>
      <c r="EVQ8"/>
      <c r="EVR8"/>
      <c r="EVS8"/>
      <c r="EVT8"/>
      <c r="EVU8"/>
      <c r="EVV8"/>
      <c r="EVW8"/>
      <c r="EVX8"/>
      <c r="EVY8"/>
      <c r="EVZ8"/>
      <c r="EWA8"/>
      <c r="EWB8"/>
      <c r="EWC8"/>
      <c r="EWD8"/>
      <c r="EWE8"/>
      <c r="EWF8"/>
      <c r="EWG8"/>
      <c r="EWH8"/>
      <c r="EWI8"/>
      <c r="EWJ8"/>
      <c r="EWK8"/>
      <c r="EWL8"/>
      <c r="EWM8"/>
      <c r="EWN8"/>
      <c r="EWO8"/>
      <c r="EWP8"/>
      <c r="EWQ8"/>
      <c r="EWR8"/>
      <c r="EWS8"/>
      <c r="EWT8"/>
      <c r="EWU8"/>
      <c r="EWV8"/>
      <c r="EWW8"/>
      <c r="EWX8"/>
      <c r="EWY8"/>
      <c r="EWZ8"/>
      <c r="EXA8"/>
      <c r="EXB8"/>
      <c r="EXC8"/>
      <c r="EXD8"/>
      <c r="EXE8"/>
      <c r="EXF8"/>
      <c r="EXG8"/>
      <c r="EXH8"/>
      <c r="EXI8"/>
      <c r="EXJ8"/>
      <c r="EXK8"/>
      <c r="EXL8"/>
      <c r="EXM8"/>
      <c r="EXN8"/>
      <c r="EXO8"/>
      <c r="EXP8"/>
      <c r="EXQ8"/>
      <c r="EXR8"/>
      <c r="EXS8"/>
      <c r="EXT8"/>
      <c r="EXU8"/>
      <c r="EXV8"/>
      <c r="EXW8"/>
      <c r="EXX8"/>
      <c r="EXY8"/>
      <c r="EXZ8"/>
      <c r="EYA8"/>
      <c r="EYB8"/>
      <c r="EYC8"/>
      <c r="EYD8"/>
      <c r="EYE8"/>
      <c r="EYF8"/>
      <c r="EYG8"/>
      <c r="EYH8"/>
      <c r="EYI8"/>
      <c r="EYJ8"/>
      <c r="EYK8"/>
      <c r="EYL8"/>
      <c r="EYM8"/>
      <c r="EYN8"/>
      <c r="EYO8"/>
      <c r="EYP8"/>
      <c r="EYQ8"/>
      <c r="EYR8"/>
      <c r="EYS8"/>
      <c r="EYT8"/>
      <c r="EYU8"/>
      <c r="EYV8"/>
      <c r="EYW8"/>
      <c r="EYX8"/>
      <c r="EYY8"/>
      <c r="EYZ8"/>
      <c r="EZA8"/>
      <c r="EZB8"/>
      <c r="EZC8"/>
      <c r="EZD8"/>
      <c r="EZE8"/>
      <c r="EZF8"/>
      <c r="EZG8"/>
      <c r="EZH8"/>
      <c r="EZI8"/>
      <c r="EZJ8"/>
      <c r="EZK8"/>
      <c r="EZL8"/>
      <c r="EZM8"/>
      <c r="EZN8"/>
      <c r="EZO8"/>
      <c r="EZP8"/>
      <c r="EZQ8"/>
      <c r="EZR8"/>
      <c r="EZS8"/>
      <c r="EZT8"/>
      <c r="EZU8"/>
      <c r="EZV8"/>
      <c r="EZW8"/>
      <c r="EZX8"/>
      <c r="EZY8"/>
      <c r="EZZ8"/>
      <c r="FAA8"/>
      <c r="FAB8"/>
      <c r="FAC8"/>
      <c r="FAD8"/>
      <c r="FAE8"/>
      <c r="FAF8"/>
      <c r="FAG8"/>
      <c r="FAH8"/>
      <c r="FAI8"/>
      <c r="FAJ8"/>
      <c r="FAK8"/>
      <c r="FAL8"/>
      <c r="FAM8"/>
      <c r="FAN8"/>
      <c r="FAO8"/>
      <c r="FAP8"/>
      <c r="FAQ8"/>
      <c r="FAR8"/>
      <c r="FAS8"/>
      <c r="FAT8"/>
      <c r="FAU8"/>
      <c r="FAV8"/>
      <c r="FAW8"/>
      <c r="FAX8"/>
      <c r="FAY8"/>
      <c r="FAZ8"/>
      <c r="FBA8"/>
      <c r="FBB8"/>
      <c r="FBC8"/>
      <c r="FBD8"/>
      <c r="FBE8"/>
      <c r="FBF8"/>
      <c r="FBG8"/>
      <c r="FBH8"/>
      <c r="FBI8"/>
      <c r="FBJ8"/>
      <c r="FBK8"/>
      <c r="FBL8"/>
      <c r="FBM8"/>
      <c r="FBN8"/>
      <c r="FBO8"/>
      <c r="FBP8"/>
      <c r="FBQ8"/>
      <c r="FBR8"/>
      <c r="FBS8"/>
      <c r="FBT8"/>
      <c r="FBU8"/>
      <c r="FBV8"/>
      <c r="FBW8"/>
      <c r="FBX8"/>
      <c r="FBY8"/>
      <c r="FBZ8"/>
      <c r="FCA8"/>
      <c r="FCB8"/>
      <c r="FCC8"/>
      <c r="FCD8"/>
      <c r="FCE8"/>
      <c r="FCF8"/>
      <c r="FCG8"/>
      <c r="FCH8"/>
      <c r="FCI8"/>
      <c r="FCJ8"/>
      <c r="FCK8"/>
      <c r="FCL8"/>
      <c r="FCM8"/>
      <c r="FCN8"/>
      <c r="FCO8"/>
      <c r="FCP8"/>
      <c r="FCQ8"/>
      <c r="FCR8"/>
      <c r="FCS8"/>
      <c r="FCT8"/>
      <c r="FCU8"/>
      <c r="FCV8"/>
      <c r="FCW8"/>
      <c r="FCX8"/>
      <c r="FCY8"/>
      <c r="FCZ8"/>
      <c r="FDA8"/>
      <c r="FDB8"/>
      <c r="FDC8"/>
      <c r="FDD8"/>
      <c r="FDE8"/>
      <c r="FDF8"/>
      <c r="FDG8"/>
      <c r="FDH8"/>
      <c r="FDI8"/>
      <c r="FDJ8"/>
      <c r="FDK8"/>
      <c r="FDL8"/>
      <c r="FDM8"/>
      <c r="FDN8"/>
      <c r="FDO8"/>
      <c r="FDP8"/>
      <c r="FDQ8"/>
      <c r="FDR8"/>
      <c r="FDS8"/>
      <c r="FDT8"/>
      <c r="FDU8"/>
      <c r="FDV8"/>
      <c r="FDW8"/>
      <c r="FDX8"/>
      <c r="FDY8"/>
      <c r="FDZ8"/>
      <c r="FEA8"/>
      <c r="FEB8"/>
      <c r="FEC8"/>
      <c r="FED8"/>
      <c r="FEE8"/>
      <c r="FEF8"/>
      <c r="FEG8"/>
      <c r="FEH8"/>
      <c r="FEI8"/>
      <c r="FEJ8"/>
      <c r="FEK8"/>
      <c r="FEL8"/>
      <c r="FEM8"/>
      <c r="FEN8"/>
      <c r="FEO8"/>
      <c r="FEP8"/>
      <c r="FEQ8"/>
      <c r="FER8"/>
      <c r="FES8"/>
      <c r="FET8"/>
      <c r="FEU8"/>
      <c r="FEV8"/>
      <c r="FEW8"/>
      <c r="FEX8"/>
      <c r="FEY8"/>
      <c r="FEZ8"/>
      <c r="FFA8"/>
      <c r="FFB8"/>
      <c r="FFC8"/>
      <c r="FFD8"/>
      <c r="FFE8"/>
      <c r="FFF8"/>
      <c r="FFG8"/>
      <c r="FFH8"/>
      <c r="FFI8"/>
      <c r="FFJ8"/>
      <c r="FFK8"/>
      <c r="FFL8"/>
      <c r="FFM8"/>
      <c r="FFN8"/>
      <c r="FFO8"/>
      <c r="FFP8"/>
      <c r="FFQ8"/>
      <c r="FFR8"/>
      <c r="FFS8"/>
      <c r="FFT8"/>
      <c r="FFU8"/>
      <c r="FFV8"/>
      <c r="FFW8"/>
      <c r="FFX8"/>
      <c r="FFY8"/>
      <c r="FFZ8"/>
      <c r="FGA8"/>
      <c r="FGB8"/>
      <c r="FGC8"/>
      <c r="FGD8"/>
      <c r="FGE8"/>
      <c r="FGF8"/>
      <c r="FGG8"/>
      <c r="FGH8"/>
      <c r="FGI8"/>
      <c r="FGJ8"/>
      <c r="FGK8"/>
      <c r="FGL8"/>
      <c r="FGM8"/>
      <c r="FGN8"/>
      <c r="FGO8"/>
      <c r="FGP8"/>
      <c r="FGQ8"/>
      <c r="FGR8"/>
      <c r="FGS8"/>
      <c r="FGT8"/>
      <c r="FGU8"/>
      <c r="FGV8"/>
      <c r="FGW8"/>
      <c r="FGX8"/>
      <c r="FGY8"/>
      <c r="FGZ8"/>
      <c r="FHA8"/>
      <c r="FHB8"/>
      <c r="FHC8"/>
      <c r="FHD8"/>
      <c r="FHE8"/>
      <c r="FHF8"/>
      <c r="FHG8"/>
      <c r="FHH8"/>
      <c r="FHI8"/>
      <c r="FHJ8"/>
      <c r="FHK8"/>
      <c r="FHL8"/>
      <c r="FHM8"/>
      <c r="FHN8"/>
      <c r="FHO8"/>
      <c r="FHP8"/>
      <c r="FHQ8"/>
      <c r="FHR8"/>
      <c r="FHS8"/>
      <c r="FHT8"/>
      <c r="FHU8"/>
      <c r="FHV8"/>
      <c r="FHW8"/>
      <c r="FHX8"/>
      <c r="FHY8"/>
      <c r="FHZ8"/>
      <c r="FIA8"/>
      <c r="FIB8"/>
      <c r="FIC8"/>
      <c r="FID8"/>
      <c r="FIE8"/>
      <c r="FIF8"/>
      <c r="FIG8"/>
      <c r="FIH8"/>
      <c r="FII8"/>
      <c r="FIJ8"/>
      <c r="FIK8"/>
      <c r="FIL8"/>
      <c r="FIM8"/>
      <c r="FIN8"/>
      <c r="FIO8"/>
      <c r="FIP8"/>
      <c r="FIQ8"/>
      <c r="FIR8"/>
      <c r="FIS8"/>
      <c r="FIT8"/>
      <c r="FIU8"/>
      <c r="FIV8"/>
      <c r="FIW8"/>
      <c r="FIX8"/>
      <c r="FIY8"/>
      <c r="FIZ8"/>
      <c r="FJA8"/>
      <c r="FJB8"/>
      <c r="FJC8"/>
      <c r="FJD8"/>
      <c r="FJE8"/>
      <c r="FJF8"/>
      <c r="FJG8"/>
      <c r="FJH8"/>
      <c r="FJI8"/>
      <c r="FJJ8"/>
      <c r="FJK8"/>
      <c r="FJL8"/>
      <c r="FJM8"/>
      <c r="FJN8"/>
      <c r="FJO8"/>
      <c r="FJP8"/>
      <c r="FJQ8"/>
      <c r="FJR8"/>
      <c r="FJS8"/>
      <c r="FJT8"/>
      <c r="FJU8"/>
      <c r="FJV8"/>
      <c r="FJW8"/>
      <c r="FJX8"/>
      <c r="FJY8"/>
      <c r="FJZ8"/>
      <c r="FKA8"/>
      <c r="FKB8"/>
      <c r="FKC8"/>
      <c r="FKD8"/>
      <c r="FKE8"/>
      <c r="FKF8"/>
      <c r="FKG8"/>
      <c r="FKH8"/>
      <c r="FKI8"/>
      <c r="FKJ8"/>
      <c r="FKK8"/>
      <c r="FKL8"/>
      <c r="FKM8"/>
      <c r="FKN8"/>
      <c r="FKO8"/>
      <c r="FKP8"/>
      <c r="FKQ8"/>
      <c r="FKR8"/>
      <c r="FKS8"/>
      <c r="FKT8"/>
      <c r="FKU8"/>
      <c r="FKV8"/>
      <c r="FKW8"/>
      <c r="FKX8"/>
      <c r="FKY8"/>
      <c r="FKZ8"/>
      <c r="FLA8"/>
      <c r="FLB8"/>
      <c r="FLC8"/>
      <c r="FLD8"/>
      <c r="FLE8"/>
      <c r="FLF8"/>
      <c r="FLG8"/>
      <c r="FLH8"/>
      <c r="FLI8"/>
      <c r="FLJ8"/>
      <c r="FLK8"/>
      <c r="FLL8"/>
      <c r="FLM8"/>
      <c r="FLN8"/>
      <c r="FLO8"/>
      <c r="FLP8"/>
      <c r="FLQ8"/>
      <c r="FLR8"/>
      <c r="FLS8"/>
      <c r="FLT8"/>
      <c r="FLU8"/>
      <c r="FLV8"/>
      <c r="FLW8"/>
      <c r="FLX8"/>
      <c r="FLY8"/>
      <c r="FLZ8"/>
      <c r="FMA8"/>
      <c r="FMB8"/>
      <c r="FMC8"/>
      <c r="FMD8"/>
      <c r="FME8"/>
      <c r="FMF8"/>
      <c r="FMG8"/>
      <c r="FMH8"/>
      <c r="FMI8"/>
      <c r="FMJ8"/>
      <c r="FMK8"/>
      <c r="FML8"/>
      <c r="FMM8"/>
      <c r="FMN8"/>
      <c r="FMO8"/>
      <c r="FMP8"/>
      <c r="FMQ8"/>
      <c r="FMR8"/>
      <c r="FMS8"/>
      <c r="FMT8"/>
      <c r="FMU8"/>
      <c r="FMV8"/>
      <c r="FMW8"/>
      <c r="FMX8"/>
      <c r="FMY8"/>
      <c r="FMZ8"/>
      <c r="FNA8"/>
      <c r="FNB8"/>
      <c r="FNC8"/>
      <c r="FND8"/>
      <c r="FNE8"/>
      <c r="FNF8"/>
      <c r="FNG8"/>
      <c r="FNH8"/>
      <c r="FNI8"/>
      <c r="FNJ8"/>
      <c r="FNK8"/>
      <c r="FNL8"/>
      <c r="FNM8"/>
      <c r="FNN8"/>
      <c r="FNO8"/>
      <c r="FNP8"/>
      <c r="FNQ8"/>
      <c r="FNR8"/>
      <c r="FNS8"/>
      <c r="FNT8"/>
      <c r="FNU8"/>
      <c r="FNV8"/>
      <c r="FNW8"/>
      <c r="FNX8"/>
      <c r="FNY8"/>
      <c r="FNZ8"/>
      <c r="FOA8"/>
      <c r="FOB8"/>
      <c r="FOC8"/>
      <c r="FOD8"/>
      <c r="FOE8"/>
      <c r="FOF8"/>
      <c r="FOG8"/>
      <c r="FOH8"/>
      <c r="FOI8"/>
      <c r="FOJ8"/>
      <c r="FOK8"/>
      <c r="FOL8"/>
      <c r="FOM8"/>
      <c r="FON8"/>
      <c r="FOO8"/>
      <c r="FOP8"/>
      <c r="FOQ8"/>
      <c r="FOR8"/>
      <c r="FOS8"/>
      <c r="FOT8"/>
      <c r="FOU8"/>
      <c r="FOV8"/>
      <c r="FOW8"/>
      <c r="FOX8"/>
      <c r="FOY8"/>
      <c r="FOZ8"/>
      <c r="FPA8"/>
      <c r="FPB8"/>
      <c r="FPC8"/>
      <c r="FPD8"/>
      <c r="FPE8"/>
      <c r="FPF8"/>
      <c r="FPG8"/>
      <c r="FPH8"/>
      <c r="FPI8"/>
      <c r="FPJ8"/>
      <c r="FPK8"/>
      <c r="FPL8"/>
      <c r="FPM8"/>
      <c r="FPN8"/>
      <c r="FPO8"/>
      <c r="FPP8"/>
      <c r="FPQ8"/>
      <c r="FPR8"/>
      <c r="FPS8"/>
      <c r="FPT8"/>
      <c r="FPU8"/>
      <c r="FPV8"/>
      <c r="FPW8"/>
      <c r="FPX8"/>
      <c r="FPY8"/>
      <c r="FPZ8"/>
      <c r="FQA8"/>
      <c r="FQB8"/>
      <c r="FQC8"/>
      <c r="FQD8"/>
      <c r="FQE8"/>
      <c r="FQF8"/>
      <c r="FQG8"/>
      <c r="FQH8"/>
      <c r="FQI8"/>
      <c r="FQJ8"/>
      <c r="FQK8"/>
      <c r="FQL8"/>
      <c r="FQM8"/>
      <c r="FQN8"/>
      <c r="FQO8"/>
      <c r="FQP8"/>
      <c r="FQQ8"/>
      <c r="FQR8"/>
      <c r="FQS8"/>
      <c r="FQT8"/>
      <c r="FQU8"/>
      <c r="FQV8"/>
      <c r="FQW8"/>
      <c r="FQX8"/>
      <c r="FQY8"/>
      <c r="FQZ8"/>
      <c r="FRA8"/>
      <c r="FRB8"/>
      <c r="FRC8"/>
      <c r="FRD8"/>
      <c r="FRE8"/>
      <c r="FRF8"/>
      <c r="FRG8"/>
      <c r="FRH8"/>
      <c r="FRI8"/>
      <c r="FRJ8"/>
      <c r="FRK8"/>
      <c r="FRL8"/>
      <c r="FRM8"/>
      <c r="FRN8"/>
      <c r="FRO8"/>
      <c r="FRP8"/>
      <c r="FRQ8"/>
      <c r="FRR8"/>
      <c r="FRS8"/>
      <c r="FRT8"/>
      <c r="FRU8"/>
      <c r="FRV8"/>
      <c r="FRW8"/>
      <c r="FRX8"/>
      <c r="FRY8"/>
      <c r="FRZ8"/>
      <c r="FSA8"/>
      <c r="FSB8"/>
      <c r="FSC8"/>
      <c r="FSD8"/>
      <c r="FSE8"/>
      <c r="FSF8"/>
      <c r="FSG8"/>
      <c r="FSH8"/>
      <c r="FSI8"/>
      <c r="FSJ8"/>
      <c r="FSK8"/>
      <c r="FSL8"/>
      <c r="FSM8"/>
      <c r="FSN8"/>
      <c r="FSO8"/>
      <c r="FSP8"/>
      <c r="FSQ8"/>
      <c r="FSR8"/>
      <c r="FSS8"/>
      <c r="FST8"/>
      <c r="FSU8"/>
      <c r="FSV8"/>
      <c r="FSW8"/>
      <c r="FSX8"/>
      <c r="FSY8"/>
      <c r="FSZ8"/>
      <c r="FTA8"/>
      <c r="FTB8"/>
      <c r="FTC8"/>
      <c r="FTD8"/>
      <c r="FTE8"/>
      <c r="FTF8"/>
      <c r="FTG8"/>
      <c r="FTH8"/>
      <c r="FTI8"/>
      <c r="FTJ8"/>
      <c r="FTK8"/>
      <c r="FTL8"/>
      <c r="FTM8"/>
      <c r="FTN8"/>
      <c r="FTO8"/>
      <c r="FTP8"/>
      <c r="FTQ8"/>
      <c r="FTR8"/>
      <c r="FTS8"/>
      <c r="FTT8"/>
      <c r="FTU8"/>
      <c r="FTV8"/>
      <c r="FTW8"/>
      <c r="FTX8"/>
      <c r="FTY8"/>
      <c r="FTZ8"/>
      <c r="FUA8"/>
      <c r="FUB8"/>
      <c r="FUC8"/>
      <c r="FUD8"/>
      <c r="FUE8"/>
      <c r="FUF8"/>
      <c r="FUG8"/>
      <c r="FUH8"/>
      <c r="FUI8"/>
      <c r="FUJ8"/>
      <c r="FUK8"/>
      <c r="FUL8"/>
      <c r="FUM8"/>
      <c r="FUN8"/>
      <c r="FUO8"/>
      <c r="FUP8"/>
      <c r="FUQ8"/>
      <c r="FUR8"/>
      <c r="FUS8"/>
      <c r="FUT8"/>
      <c r="FUU8"/>
      <c r="FUV8"/>
      <c r="FUW8"/>
      <c r="FUX8"/>
      <c r="FUY8"/>
      <c r="FUZ8"/>
      <c r="FVA8"/>
      <c r="FVB8"/>
      <c r="FVC8"/>
      <c r="FVD8"/>
      <c r="FVE8"/>
      <c r="FVF8"/>
      <c r="FVG8"/>
      <c r="FVH8"/>
      <c r="FVI8"/>
      <c r="FVJ8"/>
      <c r="FVK8"/>
      <c r="FVL8"/>
      <c r="FVM8"/>
      <c r="FVN8"/>
      <c r="FVO8"/>
      <c r="FVP8"/>
      <c r="FVQ8"/>
      <c r="FVR8"/>
      <c r="FVS8"/>
      <c r="FVT8"/>
      <c r="FVU8"/>
      <c r="FVV8"/>
      <c r="FVW8"/>
      <c r="FVX8"/>
      <c r="FVY8"/>
      <c r="FVZ8"/>
      <c r="FWA8"/>
      <c r="FWB8"/>
      <c r="FWC8"/>
      <c r="FWD8"/>
      <c r="FWE8"/>
      <c r="FWF8"/>
      <c r="FWG8"/>
      <c r="FWH8"/>
      <c r="FWI8"/>
      <c r="FWJ8"/>
      <c r="FWK8"/>
      <c r="FWL8"/>
      <c r="FWM8"/>
      <c r="FWN8"/>
      <c r="FWO8"/>
      <c r="FWP8"/>
      <c r="FWQ8"/>
      <c r="FWR8"/>
      <c r="FWS8"/>
      <c r="FWT8"/>
      <c r="FWU8"/>
      <c r="FWV8"/>
      <c r="FWW8"/>
      <c r="FWX8"/>
      <c r="FWY8"/>
      <c r="FWZ8"/>
      <c r="FXA8"/>
      <c r="FXB8"/>
      <c r="FXC8"/>
      <c r="FXD8"/>
      <c r="FXE8"/>
      <c r="FXF8"/>
      <c r="FXG8"/>
      <c r="FXH8"/>
      <c r="FXI8"/>
      <c r="FXJ8"/>
      <c r="FXK8"/>
      <c r="FXL8"/>
      <c r="FXM8"/>
      <c r="FXN8"/>
      <c r="FXO8"/>
      <c r="FXP8"/>
      <c r="FXQ8"/>
      <c r="FXR8"/>
      <c r="FXS8"/>
      <c r="FXT8"/>
      <c r="FXU8"/>
      <c r="FXV8"/>
      <c r="FXW8"/>
      <c r="FXX8"/>
      <c r="FXY8"/>
      <c r="FXZ8"/>
      <c r="FYA8"/>
      <c r="FYB8"/>
      <c r="FYC8"/>
      <c r="FYD8"/>
      <c r="FYE8"/>
      <c r="FYF8"/>
      <c r="FYG8"/>
      <c r="FYH8"/>
      <c r="FYI8"/>
      <c r="FYJ8"/>
      <c r="FYK8"/>
      <c r="FYL8"/>
      <c r="FYM8"/>
      <c r="FYN8"/>
      <c r="FYO8"/>
      <c r="FYP8"/>
      <c r="FYQ8"/>
      <c r="FYR8"/>
      <c r="FYS8"/>
      <c r="FYT8"/>
      <c r="FYU8"/>
      <c r="FYV8"/>
      <c r="FYW8"/>
      <c r="FYX8"/>
      <c r="FYY8"/>
      <c r="FYZ8"/>
      <c r="FZA8"/>
      <c r="FZB8"/>
      <c r="FZC8"/>
      <c r="FZD8"/>
      <c r="FZE8"/>
      <c r="FZF8"/>
      <c r="FZG8"/>
      <c r="FZH8"/>
      <c r="FZI8"/>
      <c r="FZJ8"/>
      <c r="FZK8"/>
      <c r="FZL8"/>
      <c r="FZM8"/>
      <c r="FZN8"/>
      <c r="FZO8"/>
      <c r="FZP8"/>
      <c r="FZQ8"/>
      <c r="FZR8"/>
      <c r="FZS8"/>
      <c r="FZT8"/>
      <c r="FZU8"/>
      <c r="FZV8"/>
      <c r="FZW8"/>
      <c r="FZX8"/>
      <c r="FZY8"/>
      <c r="FZZ8"/>
      <c r="GAA8"/>
      <c r="GAB8"/>
      <c r="GAC8"/>
      <c r="GAD8"/>
      <c r="GAE8"/>
      <c r="GAF8"/>
      <c r="GAG8"/>
      <c r="GAH8"/>
      <c r="GAI8"/>
      <c r="GAJ8"/>
      <c r="GAK8"/>
      <c r="GAL8"/>
      <c r="GAM8"/>
      <c r="GAN8"/>
      <c r="GAO8"/>
      <c r="GAP8"/>
      <c r="GAQ8"/>
      <c r="GAR8"/>
      <c r="GAS8"/>
      <c r="GAT8"/>
      <c r="GAU8"/>
      <c r="GAV8"/>
      <c r="GAW8"/>
      <c r="GAX8"/>
      <c r="GAY8"/>
      <c r="GAZ8"/>
      <c r="GBA8"/>
      <c r="GBB8"/>
      <c r="GBC8"/>
      <c r="GBD8"/>
      <c r="GBE8"/>
      <c r="GBF8"/>
      <c r="GBG8"/>
      <c r="GBH8"/>
      <c r="GBI8"/>
      <c r="GBJ8"/>
      <c r="GBK8"/>
      <c r="GBL8"/>
      <c r="GBM8"/>
      <c r="GBN8"/>
      <c r="GBO8"/>
      <c r="GBP8"/>
      <c r="GBQ8"/>
      <c r="GBR8"/>
      <c r="GBS8"/>
      <c r="GBT8"/>
      <c r="GBU8"/>
      <c r="GBV8"/>
      <c r="GBW8"/>
      <c r="GBX8"/>
      <c r="GBY8"/>
      <c r="GBZ8"/>
      <c r="GCA8"/>
      <c r="GCB8"/>
      <c r="GCC8"/>
      <c r="GCD8"/>
      <c r="GCE8"/>
      <c r="GCF8"/>
      <c r="GCG8"/>
      <c r="GCH8"/>
      <c r="GCI8"/>
      <c r="GCJ8"/>
      <c r="GCK8"/>
      <c r="GCL8"/>
      <c r="GCM8"/>
      <c r="GCN8"/>
      <c r="GCO8"/>
      <c r="GCP8"/>
      <c r="GCQ8"/>
      <c r="GCR8"/>
      <c r="GCS8"/>
      <c r="GCT8"/>
      <c r="GCU8"/>
      <c r="GCV8"/>
      <c r="GCW8"/>
      <c r="GCX8"/>
      <c r="GCY8"/>
      <c r="GCZ8"/>
      <c r="GDA8"/>
      <c r="GDB8"/>
      <c r="GDC8"/>
      <c r="GDD8"/>
      <c r="GDE8"/>
      <c r="GDF8"/>
      <c r="GDG8"/>
      <c r="GDH8"/>
      <c r="GDI8"/>
      <c r="GDJ8"/>
      <c r="GDK8"/>
      <c r="GDL8"/>
      <c r="GDM8"/>
      <c r="GDN8"/>
      <c r="GDO8"/>
      <c r="GDP8"/>
      <c r="GDQ8"/>
      <c r="GDR8"/>
      <c r="GDS8"/>
      <c r="GDT8"/>
      <c r="GDU8"/>
      <c r="GDV8"/>
      <c r="GDW8"/>
      <c r="GDX8"/>
      <c r="GDY8"/>
      <c r="GDZ8"/>
      <c r="GEA8"/>
      <c r="GEB8"/>
      <c r="GEC8"/>
      <c r="GED8"/>
      <c r="GEE8"/>
      <c r="GEF8"/>
      <c r="GEG8"/>
      <c r="GEH8"/>
      <c r="GEI8"/>
      <c r="GEJ8"/>
      <c r="GEK8"/>
      <c r="GEL8"/>
      <c r="GEM8"/>
      <c r="GEN8"/>
      <c r="GEO8"/>
      <c r="GEP8"/>
      <c r="GEQ8"/>
      <c r="GER8"/>
      <c r="GES8"/>
      <c r="GET8"/>
      <c r="GEU8"/>
      <c r="GEV8"/>
      <c r="GEW8"/>
      <c r="GEX8"/>
      <c r="GEY8"/>
      <c r="GEZ8"/>
      <c r="GFA8"/>
      <c r="GFB8"/>
      <c r="GFC8"/>
      <c r="GFD8"/>
      <c r="GFE8"/>
      <c r="GFF8"/>
      <c r="GFG8"/>
      <c r="GFH8"/>
      <c r="GFI8"/>
      <c r="GFJ8"/>
      <c r="GFK8"/>
      <c r="GFL8"/>
      <c r="GFM8"/>
      <c r="GFN8"/>
      <c r="GFO8"/>
      <c r="GFP8"/>
      <c r="GFQ8"/>
      <c r="GFR8"/>
      <c r="GFS8"/>
      <c r="GFT8"/>
      <c r="GFU8"/>
      <c r="GFV8"/>
      <c r="GFW8"/>
      <c r="GFX8"/>
      <c r="GFY8"/>
      <c r="GFZ8"/>
      <c r="GGA8"/>
      <c r="GGB8"/>
      <c r="GGC8"/>
      <c r="GGD8"/>
      <c r="GGE8"/>
      <c r="GGF8"/>
      <c r="GGG8"/>
      <c r="GGH8"/>
      <c r="GGI8"/>
      <c r="GGJ8"/>
      <c r="GGK8"/>
      <c r="GGL8"/>
      <c r="GGM8"/>
      <c r="GGN8"/>
      <c r="GGO8"/>
      <c r="GGP8"/>
      <c r="GGQ8"/>
      <c r="GGR8"/>
      <c r="GGS8"/>
      <c r="GGT8"/>
      <c r="GGU8"/>
      <c r="GGV8"/>
      <c r="GGW8"/>
      <c r="GGX8"/>
      <c r="GGY8"/>
      <c r="GGZ8"/>
      <c r="GHA8"/>
      <c r="GHB8"/>
      <c r="GHC8"/>
      <c r="GHD8"/>
      <c r="GHE8"/>
      <c r="GHF8"/>
      <c r="GHG8"/>
      <c r="GHH8"/>
      <c r="GHI8"/>
      <c r="GHJ8"/>
      <c r="GHK8"/>
      <c r="GHL8"/>
      <c r="GHM8"/>
      <c r="GHN8"/>
      <c r="GHO8"/>
      <c r="GHP8"/>
      <c r="GHQ8"/>
      <c r="GHR8"/>
      <c r="GHS8"/>
      <c r="GHT8"/>
      <c r="GHU8"/>
      <c r="GHV8"/>
      <c r="GHW8"/>
      <c r="GHX8"/>
      <c r="GHY8"/>
      <c r="GHZ8"/>
      <c r="GIA8"/>
      <c r="GIB8"/>
      <c r="GIC8"/>
      <c r="GID8"/>
      <c r="GIE8"/>
      <c r="GIF8"/>
      <c r="GIG8"/>
      <c r="GIH8"/>
      <c r="GII8"/>
      <c r="GIJ8"/>
      <c r="GIK8"/>
      <c r="GIL8"/>
      <c r="GIM8"/>
      <c r="GIN8"/>
      <c r="GIO8"/>
      <c r="GIP8"/>
      <c r="GIQ8"/>
      <c r="GIR8"/>
      <c r="GIS8"/>
      <c r="GIT8"/>
      <c r="GIU8"/>
      <c r="GIV8"/>
      <c r="GIW8"/>
      <c r="GIX8"/>
      <c r="GIY8"/>
      <c r="GIZ8"/>
      <c r="GJA8"/>
      <c r="GJB8"/>
      <c r="GJC8"/>
      <c r="GJD8"/>
      <c r="GJE8"/>
      <c r="GJF8"/>
      <c r="GJG8"/>
      <c r="GJH8"/>
      <c r="GJI8"/>
      <c r="GJJ8"/>
      <c r="GJK8"/>
      <c r="GJL8"/>
      <c r="GJM8"/>
      <c r="GJN8"/>
      <c r="GJO8"/>
      <c r="GJP8"/>
      <c r="GJQ8"/>
      <c r="GJR8"/>
      <c r="GJS8"/>
      <c r="GJT8"/>
      <c r="GJU8"/>
      <c r="GJV8"/>
      <c r="GJW8"/>
      <c r="GJX8"/>
      <c r="GJY8"/>
      <c r="GJZ8"/>
      <c r="GKA8"/>
      <c r="GKB8"/>
      <c r="GKC8"/>
      <c r="GKD8"/>
      <c r="GKE8"/>
      <c r="GKF8"/>
      <c r="GKG8"/>
      <c r="GKH8"/>
      <c r="GKI8"/>
      <c r="GKJ8"/>
      <c r="GKK8"/>
      <c r="GKL8"/>
      <c r="GKM8"/>
      <c r="GKN8"/>
      <c r="GKO8"/>
      <c r="GKP8"/>
      <c r="GKQ8"/>
      <c r="GKR8"/>
      <c r="GKS8"/>
      <c r="GKT8"/>
      <c r="GKU8"/>
      <c r="GKV8"/>
      <c r="GKW8"/>
      <c r="GKX8"/>
      <c r="GKY8"/>
      <c r="GKZ8"/>
      <c r="GLA8"/>
      <c r="GLB8"/>
      <c r="GLC8"/>
      <c r="GLD8"/>
      <c r="GLE8"/>
      <c r="GLF8"/>
      <c r="GLG8"/>
      <c r="GLH8"/>
      <c r="GLI8"/>
      <c r="GLJ8"/>
      <c r="GLK8"/>
      <c r="GLL8"/>
      <c r="GLM8"/>
      <c r="GLN8"/>
      <c r="GLO8"/>
      <c r="GLP8"/>
      <c r="GLQ8"/>
      <c r="GLR8"/>
      <c r="GLS8"/>
      <c r="GLT8"/>
      <c r="GLU8"/>
      <c r="GLV8"/>
      <c r="GLW8"/>
      <c r="GLX8"/>
      <c r="GLY8"/>
      <c r="GLZ8"/>
      <c r="GMA8"/>
      <c r="GMB8"/>
      <c r="GMC8"/>
      <c r="GMD8"/>
      <c r="GME8"/>
      <c r="GMF8"/>
      <c r="GMG8"/>
      <c r="GMH8"/>
      <c r="GMI8"/>
      <c r="GMJ8"/>
      <c r="GMK8"/>
      <c r="GML8"/>
      <c r="GMM8"/>
      <c r="GMN8"/>
      <c r="GMO8"/>
      <c r="GMP8"/>
      <c r="GMQ8"/>
      <c r="GMR8"/>
      <c r="GMS8"/>
      <c r="GMT8"/>
      <c r="GMU8"/>
      <c r="GMV8"/>
      <c r="GMW8"/>
      <c r="GMX8"/>
      <c r="GMY8"/>
      <c r="GMZ8"/>
      <c r="GNA8"/>
      <c r="GNB8"/>
      <c r="GNC8"/>
      <c r="GND8"/>
      <c r="GNE8"/>
      <c r="GNF8"/>
      <c r="GNG8"/>
      <c r="GNH8"/>
      <c r="GNI8"/>
      <c r="GNJ8"/>
      <c r="GNK8"/>
      <c r="GNL8"/>
      <c r="GNM8"/>
      <c r="GNN8"/>
      <c r="GNO8"/>
      <c r="GNP8"/>
      <c r="GNQ8"/>
      <c r="GNR8"/>
      <c r="GNS8"/>
      <c r="GNT8"/>
      <c r="GNU8"/>
      <c r="GNV8"/>
      <c r="GNW8"/>
      <c r="GNX8"/>
      <c r="GNY8"/>
      <c r="GNZ8"/>
      <c r="GOA8"/>
      <c r="GOB8"/>
      <c r="GOC8"/>
      <c r="GOD8"/>
      <c r="GOE8"/>
      <c r="GOF8"/>
      <c r="GOG8"/>
      <c r="GOH8"/>
      <c r="GOI8"/>
      <c r="GOJ8"/>
      <c r="GOK8"/>
      <c r="GOL8"/>
      <c r="GOM8"/>
      <c r="GON8"/>
      <c r="GOO8"/>
      <c r="GOP8"/>
      <c r="GOQ8"/>
      <c r="GOR8"/>
      <c r="GOS8"/>
      <c r="GOT8"/>
      <c r="GOU8"/>
      <c r="GOV8"/>
      <c r="GOW8"/>
      <c r="GOX8"/>
      <c r="GOY8"/>
      <c r="GOZ8"/>
      <c r="GPA8"/>
      <c r="GPB8"/>
      <c r="GPC8"/>
      <c r="GPD8"/>
      <c r="GPE8"/>
      <c r="GPF8"/>
      <c r="GPG8"/>
      <c r="GPH8"/>
      <c r="GPI8"/>
      <c r="GPJ8"/>
      <c r="GPK8"/>
      <c r="GPL8"/>
      <c r="GPM8"/>
      <c r="GPN8"/>
      <c r="GPO8"/>
      <c r="GPP8"/>
      <c r="GPQ8"/>
      <c r="GPR8"/>
      <c r="GPS8"/>
      <c r="GPT8"/>
      <c r="GPU8"/>
      <c r="GPV8"/>
      <c r="GPW8"/>
      <c r="GPX8"/>
      <c r="GPY8"/>
      <c r="GPZ8"/>
      <c r="GQA8"/>
      <c r="GQB8"/>
      <c r="GQC8"/>
      <c r="GQD8"/>
      <c r="GQE8"/>
      <c r="GQF8"/>
      <c r="GQG8"/>
      <c r="GQH8"/>
      <c r="GQI8"/>
      <c r="GQJ8"/>
      <c r="GQK8"/>
      <c r="GQL8"/>
      <c r="GQM8"/>
      <c r="GQN8"/>
      <c r="GQO8"/>
      <c r="GQP8"/>
      <c r="GQQ8"/>
      <c r="GQR8"/>
      <c r="GQS8"/>
      <c r="GQT8"/>
      <c r="GQU8"/>
      <c r="GQV8"/>
      <c r="GQW8"/>
      <c r="GQX8"/>
      <c r="GQY8"/>
      <c r="GQZ8"/>
      <c r="GRA8"/>
      <c r="GRB8"/>
      <c r="GRC8"/>
      <c r="GRD8"/>
      <c r="GRE8"/>
      <c r="GRF8"/>
      <c r="GRG8"/>
      <c r="GRH8"/>
      <c r="GRI8"/>
      <c r="GRJ8"/>
      <c r="GRK8"/>
      <c r="GRL8"/>
      <c r="GRM8"/>
      <c r="GRN8"/>
      <c r="GRO8"/>
      <c r="GRP8"/>
      <c r="GRQ8"/>
      <c r="GRR8"/>
      <c r="GRS8"/>
      <c r="GRT8"/>
      <c r="GRU8"/>
      <c r="GRV8"/>
      <c r="GRW8"/>
      <c r="GRX8"/>
      <c r="GRY8"/>
      <c r="GRZ8"/>
      <c r="GSA8"/>
      <c r="GSB8"/>
      <c r="GSC8"/>
      <c r="GSD8"/>
      <c r="GSE8"/>
      <c r="GSF8"/>
      <c r="GSG8"/>
      <c r="GSH8"/>
      <c r="GSI8"/>
      <c r="GSJ8"/>
      <c r="GSK8"/>
      <c r="GSL8"/>
      <c r="GSM8"/>
      <c r="GSN8"/>
      <c r="GSO8"/>
      <c r="GSP8"/>
      <c r="GSQ8"/>
      <c r="GSR8"/>
      <c r="GSS8"/>
      <c r="GST8"/>
      <c r="GSU8"/>
      <c r="GSV8"/>
      <c r="GSW8"/>
      <c r="GSX8"/>
      <c r="GSY8"/>
      <c r="GSZ8"/>
      <c r="GTA8"/>
      <c r="GTB8"/>
      <c r="GTC8"/>
      <c r="GTD8"/>
      <c r="GTE8"/>
      <c r="GTF8"/>
      <c r="GTG8"/>
      <c r="GTH8"/>
      <c r="GTI8"/>
      <c r="GTJ8"/>
      <c r="GTK8"/>
      <c r="GTL8"/>
      <c r="GTM8"/>
      <c r="GTN8"/>
      <c r="GTO8"/>
      <c r="GTP8"/>
      <c r="GTQ8"/>
      <c r="GTR8"/>
      <c r="GTS8"/>
      <c r="GTT8"/>
      <c r="GTU8"/>
      <c r="GTV8"/>
      <c r="GTW8"/>
      <c r="GTX8"/>
      <c r="GTY8"/>
      <c r="GTZ8"/>
      <c r="GUA8"/>
      <c r="GUB8"/>
      <c r="GUC8"/>
      <c r="GUD8"/>
      <c r="GUE8"/>
      <c r="GUF8"/>
      <c r="GUG8"/>
      <c r="GUH8"/>
      <c r="GUI8"/>
      <c r="GUJ8"/>
      <c r="GUK8"/>
      <c r="GUL8"/>
      <c r="GUM8"/>
      <c r="GUN8"/>
      <c r="GUO8"/>
      <c r="GUP8"/>
      <c r="GUQ8"/>
      <c r="GUR8"/>
      <c r="GUS8"/>
      <c r="GUT8"/>
      <c r="GUU8"/>
      <c r="GUV8"/>
      <c r="GUW8"/>
      <c r="GUX8"/>
      <c r="GUY8"/>
      <c r="GUZ8"/>
      <c r="GVA8"/>
      <c r="GVB8"/>
      <c r="GVC8"/>
      <c r="GVD8"/>
      <c r="GVE8"/>
      <c r="GVF8"/>
      <c r="GVG8"/>
      <c r="GVH8"/>
      <c r="GVI8"/>
      <c r="GVJ8"/>
      <c r="GVK8"/>
      <c r="GVL8"/>
      <c r="GVM8"/>
      <c r="GVN8"/>
      <c r="GVO8"/>
      <c r="GVP8"/>
      <c r="GVQ8"/>
      <c r="GVR8"/>
      <c r="GVS8"/>
      <c r="GVT8"/>
      <c r="GVU8"/>
      <c r="GVV8"/>
      <c r="GVW8"/>
      <c r="GVX8"/>
      <c r="GVY8"/>
      <c r="GVZ8"/>
      <c r="GWA8"/>
      <c r="GWB8"/>
      <c r="GWC8"/>
      <c r="GWD8"/>
      <c r="GWE8"/>
      <c r="GWF8"/>
      <c r="GWG8"/>
      <c r="GWH8"/>
      <c r="GWI8"/>
      <c r="GWJ8"/>
      <c r="GWK8"/>
      <c r="GWL8"/>
      <c r="GWM8"/>
      <c r="GWN8"/>
      <c r="GWO8"/>
      <c r="GWP8"/>
      <c r="GWQ8"/>
      <c r="GWR8"/>
      <c r="GWS8"/>
      <c r="GWT8"/>
      <c r="GWU8"/>
      <c r="GWV8"/>
      <c r="GWW8"/>
      <c r="GWX8"/>
      <c r="GWY8"/>
      <c r="GWZ8"/>
      <c r="GXA8"/>
      <c r="GXB8"/>
      <c r="GXC8"/>
      <c r="GXD8"/>
      <c r="GXE8"/>
      <c r="GXF8"/>
      <c r="GXG8"/>
      <c r="GXH8"/>
      <c r="GXI8"/>
      <c r="GXJ8"/>
      <c r="GXK8"/>
      <c r="GXL8"/>
      <c r="GXM8"/>
      <c r="GXN8"/>
      <c r="GXO8"/>
      <c r="GXP8"/>
      <c r="GXQ8"/>
      <c r="GXR8"/>
      <c r="GXS8"/>
      <c r="GXT8"/>
      <c r="GXU8"/>
      <c r="GXV8"/>
      <c r="GXW8"/>
      <c r="GXX8"/>
      <c r="GXY8"/>
      <c r="GXZ8"/>
      <c r="GYA8"/>
      <c r="GYB8"/>
      <c r="GYC8"/>
      <c r="GYD8"/>
      <c r="GYE8"/>
      <c r="GYF8"/>
      <c r="GYG8"/>
      <c r="GYH8"/>
      <c r="GYI8"/>
      <c r="GYJ8"/>
      <c r="GYK8"/>
      <c r="GYL8"/>
      <c r="GYM8"/>
      <c r="GYN8"/>
      <c r="GYO8"/>
      <c r="GYP8"/>
      <c r="GYQ8"/>
      <c r="GYR8"/>
      <c r="GYS8"/>
      <c r="GYT8"/>
      <c r="GYU8"/>
      <c r="GYV8"/>
      <c r="GYW8"/>
      <c r="GYX8"/>
      <c r="GYY8"/>
      <c r="GYZ8"/>
      <c r="GZA8"/>
      <c r="GZB8"/>
      <c r="GZC8"/>
      <c r="GZD8"/>
      <c r="GZE8"/>
      <c r="GZF8"/>
      <c r="GZG8"/>
      <c r="GZH8"/>
      <c r="GZI8"/>
      <c r="GZJ8"/>
      <c r="GZK8"/>
      <c r="GZL8"/>
      <c r="GZM8"/>
      <c r="GZN8"/>
      <c r="GZO8"/>
      <c r="GZP8"/>
      <c r="GZQ8"/>
      <c r="GZR8"/>
      <c r="GZS8"/>
      <c r="GZT8"/>
      <c r="GZU8"/>
      <c r="GZV8"/>
      <c r="GZW8"/>
      <c r="GZX8"/>
      <c r="GZY8"/>
      <c r="GZZ8"/>
      <c r="HAA8"/>
      <c r="HAB8"/>
      <c r="HAC8"/>
      <c r="HAD8"/>
      <c r="HAE8"/>
      <c r="HAF8"/>
      <c r="HAG8"/>
      <c r="HAH8"/>
      <c r="HAI8"/>
      <c r="HAJ8"/>
      <c r="HAK8"/>
      <c r="HAL8"/>
      <c r="HAM8"/>
      <c r="HAN8"/>
      <c r="HAO8"/>
      <c r="HAP8"/>
      <c r="HAQ8"/>
      <c r="HAR8"/>
      <c r="HAS8"/>
      <c r="HAT8"/>
      <c r="HAU8"/>
      <c r="HAV8"/>
      <c r="HAW8"/>
      <c r="HAX8"/>
      <c r="HAY8"/>
      <c r="HAZ8"/>
      <c r="HBA8"/>
      <c r="HBB8"/>
      <c r="HBC8"/>
      <c r="HBD8"/>
      <c r="HBE8"/>
      <c r="HBF8"/>
      <c r="HBG8"/>
      <c r="HBH8"/>
      <c r="HBI8"/>
      <c r="HBJ8"/>
      <c r="HBK8"/>
      <c r="HBL8"/>
      <c r="HBM8"/>
      <c r="HBN8"/>
      <c r="HBO8"/>
      <c r="HBP8"/>
      <c r="HBQ8"/>
      <c r="HBR8"/>
      <c r="HBS8"/>
      <c r="HBT8"/>
      <c r="HBU8"/>
      <c r="HBV8"/>
      <c r="HBW8"/>
      <c r="HBX8"/>
      <c r="HBY8"/>
      <c r="HBZ8"/>
      <c r="HCA8"/>
      <c r="HCB8"/>
      <c r="HCC8"/>
      <c r="HCD8"/>
      <c r="HCE8"/>
      <c r="HCF8"/>
      <c r="HCG8"/>
      <c r="HCH8"/>
      <c r="HCI8"/>
      <c r="HCJ8"/>
      <c r="HCK8"/>
      <c r="HCL8"/>
      <c r="HCM8"/>
      <c r="HCN8"/>
      <c r="HCO8"/>
      <c r="HCP8"/>
      <c r="HCQ8"/>
      <c r="HCR8"/>
      <c r="HCS8"/>
      <c r="HCT8"/>
      <c r="HCU8"/>
      <c r="HCV8"/>
      <c r="HCW8"/>
      <c r="HCX8"/>
      <c r="HCY8"/>
      <c r="HCZ8"/>
      <c r="HDA8"/>
      <c r="HDB8"/>
      <c r="HDC8"/>
      <c r="HDD8"/>
      <c r="HDE8"/>
      <c r="HDF8"/>
      <c r="HDG8"/>
      <c r="HDH8"/>
      <c r="HDI8"/>
      <c r="HDJ8"/>
      <c r="HDK8"/>
      <c r="HDL8"/>
      <c r="HDM8"/>
      <c r="HDN8"/>
      <c r="HDO8"/>
      <c r="HDP8"/>
      <c r="HDQ8"/>
      <c r="HDR8"/>
      <c r="HDS8"/>
      <c r="HDT8"/>
      <c r="HDU8"/>
      <c r="HDV8"/>
      <c r="HDW8"/>
      <c r="HDX8"/>
      <c r="HDY8"/>
      <c r="HDZ8"/>
      <c r="HEA8"/>
      <c r="HEB8"/>
      <c r="HEC8"/>
      <c r="HED8"/>
      <c r="HEE8"/>
      <c r="HEF8"/>
      <c r="HEG8"/>
      <c r="HEH8"/>
      <c r="HEI8"/>
      <c r="HEJ8"/>
      <c r="HEK8"/>
      <c r="HEL8"/>
      <c r="HEM8"/>
      <c r="HEN8"/>
      <c r="HEO8"/>
      <c r="HEP8"/>
      <c r="HEQ8"/>
      <c r="HER8"/>
      <c r="HES8"/>
      <c r="HET8"/>
      <c r="HEU8"/>
      <c r="HEV8"/>
      <c r="HEW8"/>
      <c r="HEX8"/>
      <c r="HEY8"/>
      <c r="HEZ8"/>
      <c r="HFA8"/>
      <c r="HFB8"/>
      <c r="HFC8"/>
      <c r="HFD8"/>
      <c r="HFE8"/>
      <c r="HFF8"/>
      <c r="HFG8"/>
      <c r="HFH8"/>
      <c r="HFI8"/>
      <c r="HFJ8"/>
      <c r="HFK8"/>
      <c r="HFL8"/>
      <c r="HFM8"/>
      <c r="HFN8"/>
      <c r="HFO8"/>
      <c r="HFP8"/>
      <c r="HFQ8"/>
      <c r="HFR8"/>
      <c r="HFS8"/>
      <c r="HFT8"/>
      <c r="HFU8"/>
      <c r="HFV8"/>
      <c r="HFW8"/>
      <c r="HFX8"/>
      <c r="HFY8"/>
      <c r="HFZ8"/>
      <c r="HGA8"/>
      <c r="HGB8"/>
      <c r="HGC8"/>
      <c r="HGD8"/>
      <c r="HGE8"/>
      <c r="HGF8"/>
      <c r="HGG8"/>
      <c r="HGH8"/>
      <c r="HGI8"/>
      <c r="HGJ8"/>
      <c r="HGK8"/>
      <c r="HGL8"/>
      <c r="HGM8"/>
      <c r="HGN8"/>
      <c r="HGO8"/>
      <c r="HGP8"/>
      <c r="HGQ8"/>
      <c r="HGR8"/>
      <c r="HGS8"/>
      <c r="HGT8"/>
      <c r="HGU8"/>
      <c r="HGV8"/>
      <c r="HGW8"/>
      <c r="HGX8"/>
      <c r="HGY8"/>
      <c r="HGZ8"/>
      <c r="HHA8"/>
      <c r="HHB8"/>
      <c r="HHC8"/>
      <c r="HHD8"/>
      <c r="HHE8"/>
      <c r="HHF8"/>
      <c r="HHG8"/>
      <c r="HHH8"/>
      <c r="HHI8"/>
      <c r="HHJ8"/>
      <c r="HHK8"/>
      <c r="HHL8"/>
      <c r="HHM8"/>
      <c r="HHN8"/>
      <c r="HHO8"/>
      <c r="HHP8"/>
      <c r="HHQ8"/>
      <c r="HHR8"/>
      <c r="HHS8"/>
      <c r="HHT8"/>
      <c r="HHU8"/>
      <c r="HHV8"/>
      <c r="HHW8"/>
      <c r="HHX8"/>
      <c r="HHY8"/>
      <c r="HHZ8"/>
      <c r="HIA8"/>
      <c r="HIB8"/>
      <c r="HIC8"/>
      <c r="HID8"/>
      <c r="HIE8"/>
      <c r="HIF8"/>
      <c r="HIG8"/>
      <c r="HIH8"/>
      <c r="HII8"/>
      <c r="HIJ8"/>
      <c r="HIK8"/>
      <c r="HIL8"/>
      <c r="HIM8"/>
      <c r="HIN8"/>
      <c r="HIO8"/>
      <c r="HIP8"/>
      <c r="HIQ8"/>
      <c r="HIR8"/>
      <c r="HIS8"/>
      <c r="HIT8"/>
      <c r="HIU8"/>
      <c r="HIV8"/>
      <c r="HIW8"/>
      <c r="HIX8"/>
      <c r="HIY8"/>
      <c r="HIZ8"/>
      <c r="HJA8"/>
      <c r="HJB8"/>
      <c r="HJC8"/>
      <c r="HJD8"/>
      <c r="HJE8"/>
      <c r="HJF8"/>
      <c r="HJG8"/>
      <c r="HJH8"/>
      <c r="HJI8"/>
      <c r="HJJ8"/>
      <c r="HJK8"/>
      <c r="HJL8"/>
      <c r="HJM8"/>
      <c r="HJN8"/>
      <c r="HJO8"/>
      <c r="HJP8"/>
      <c r="HJQ8"/>
      <c r="HJR8"/>
      <c r="HJS8"/>
      <c r="HJT8"/>
      <c r="HJU8"/>
      <c r="HJV8"/>
      <c r="HJW8"/>
      <c r="HJX8"/>
      <c r="HJY8"/>
      <c r="HJZ8"/>
      <c r="HKA8"/>
      <c r="HKB8"/>
      <c r="HKC8"/>
      <c r="HKD8"/>
      <c r="HKE8"/>
      <c r="HKF8"/>
      <c r="HKG8"/>
      <c r="HKH8"/>
      <c r="HKI8"/>
      <c r="HKJ8"/>
      <c r="HKK8"/>
      <c r="HKL8"/>
      <c r="HKM8"/>
      <c r="HKN8"/>
      <c r="HKO8"/>
      <c r="HKP8"/>
      <c r="HKQ8"/>
      <c r="HKR8"/>
      <c r="HKS8"/>
      <c r="HKT8"/>
      <c r="HKU8"/>
      <c r="HKV8"/>
      <c r="HKW8"/>
      <c r="HKX8"/>
      <c r="HKY8"/>
      <c r="HKZ8"/>
      <c r="HLA8"/>
      <c r="HLB8"/>
      <c r="HLC8"/>
      <c r="HLD8"/>
      <c r="HLE8"/>
      <c r="HLF8"/>
      <c r="HLG8"/>
      <c r="HLH8"/>
      <c r="HLI8"/>
      <c r="HLJ8"/>
      <c r="HLK8"/>
      <c r="HLL8"/>
      <c r="HLM8"/>
      <c r="HLN8"/>
      <c r="HLO8"/>
      <c r="HLP8"/>
      <c r="HLQ8"/>
      <c r="HLR8"/>
      <c r="HLS8"/>
      <c r="HLT8"/>
      <c r="HLU8"/>
      <c r="HLV8"/>
      <c r="HLW8"/>
      <c r="HLX8"/>
      <c r="HLY8"/>
      <c r="HLZ8"/>
      <c r="HMA8"/>
      <c r="HMB8"/>
      <c r="HMC8"/>
      <c r="HMD8"/>
      <c r="HME8"/>
      <c r="HMF8"/>
      <c r="HMG8"/>
      <c r="HMH8"/>
      <c r="HMI8"/>
      <c r="HMJ8"/>
      <c r="HMK8"/>
      <c r="HML8"/>
      <c r="HMM8"/>
      <c r="HMN8"/>
      <c r="HMO8"/>
      <c r="HMP8"/>
      <c r="HMQ8"/>
      <c r="HMR8"/>
      <c r="HMS8"/>
      <c r="HMT8"/>
      <c r="HMU8"/>
      <c r="HMV8"/>
      <c r="HMW8"/>
      <c r="HMX8"/>
      <c r="HMY8"/>
      <c r="HMZ8"/>
      <c r="HNA8"/>
      <c r="HNB8"/>
      <c r="HNC8"/>
      <c r="HND8"/>
      <c r="HNE8"/>
      <c r="HNF8"/>
      <c r="HNG8"/>
      <c r="HNH8"/>
      <c r="HNI8"/>
      <c r="HNJ8"/>
      <c r="HNK8"/>
      <c r="HNL8"/>
      <c r="HNM8"/>
      <c r="HNN8"/>
      <c r="HNO8"/>
      <c r="HNP8"/>
      <c r="HNQ8"/>
      <c r="HNR8"/>
      <c r="HNS8"/>
      <c r="HNT8"/>
      <c r="HNU8"/>
      <c r="HNV8"/>
      <c r="HNW8"/>
      <c r="HNX8"/>
      <c r="HNY8"/>
      <c r="HNZ8"/>
      <c r="HOA8"/>
      <c r="HOB8"/>
      <c r="HOC8"/>
      <c r="HOD8"/>
      <c r="HOE8"/>
      <c r="HOF8"/>
      <c r="HOG8"/>
      <c r="HOH8"/>
      <c r="HOI8"/>
      <c r="HOJ8"/>
      <c r="HOK8"/>
      <c r="HOL8"/>
      <c r="HOM8"/>
      <c r="HON8"/>
      <c r="HOO8"/>
      <c r="HOP8"/>
      <c r="HOQ8"/>
      <c r="HOR8"/>
      <c r="HOS8"/>
      <c r="HOT8"/>
      <c r="HOU8"/>
      <c r="HOV8"/>
      <c r="HOW8"/>
      <c r="HOX8"/>
      <c r="HOY8"/>
      <c r="HOZ8"/>
      <c r="HPA8"/>
      <c r="HPB8"/>
      <c r="HPC8"/>
      <c r="HPD8"/>
      <c r="HPE8"/>
      <c r="HPF8"/>
      <c r="HPG8"/>
      <c r="HPH8"/>
      <c r="HPI8"/>
      <c r="HPJ8"/>
      <c r="HPK8"/>
      <c r="HPL8"/>
      <c r="HPM8"/>
      <c r="HPN8"/>
      <c r="HPO8"/>
      <c r="HPP8"/>
      <c r="HPQ8"/>
      <c r="HPR8"/>
      <c r="HPS8"/>
      <c r="HPT8"/>
      <c r="HPU8"/>
      <c r="HPV8"/>
      <c r="HPW8"/>
      <c r="HPX8"/>
      <c r="HPY8"/>
      <c r="HPZ8"/>
      <c r="HQA8"/>
      <c r="HQB8"/>
      <c r="HQC8"/>
      <c r="HQD8"/>
      <c r="HQE8"/>
      <c r="HQF8"/>
      <c r="HQG8"/>
      <c r="HQH8"/>
      <c r="HQI8"/>
      <c r="HQJ8"/>
      <c r="HQK8"/>
      <c r="HQL8"/>
      <c r="HQM8"/>
      <c r="HQN8"/>
      <c r="HQO8"/>
      <c r="HQP8"/>
      <c r="HQQ8"/>
      <c r="HQR8"/>
      <c r="HQS8"/>
      <c r="HQT8"/>
      <c r="HQU8"/>
      <c r="HQV8"/>
      <c r="HQW8"/>
      <c r="HQX8"/>
      <c r="HQY8"/>
      <c r="HQZ8"/>
      <c r="HRA8"/>
      <c r="HRB8"/>
      <c r="HRC8"/>
      <c r="HRD8"/>
      <c r="HRE8"/>
      <c r="HRF8"/>
      <c r="HRG8"/>
      <c r="HRH8"/>
      <c r="HRI8"/>
      <c r="HRJ8"/>
      <c r="HRK8"/>
      <c r="HRL8"/>
      <c r="HRM8"/>
      <c r="HRN8"/>
      <c r="HRO8"/>
      <c r="HRP8"/>
      <c r="HRQ8"/>
      <c r="HRR8"/>
      <c r="HRS8"/>
      <c r="HRT8"/>
      <c r="HRU8"/>
      <c r="HRV8"/>
      <c r="HRW8"/>
      <c r="HRX8"/>
      <c r="HRY8"/>
      <c r="HRZ8"/>
      <c r="HSA8"/>
      <c r="HSB8"/>
      <c r="HSC8"/>
      <c r="HSD8"/>
      <c r="HSE8"/>
      <c r="HSF8"/>
      <c r="HSG8"/>
      <c r="HSH8"/>
      <c r="HSI8"/>
      <c r="HSJ8"/>
      <c r="HSK8"/>
      <c r="HSL8"/>
      <c r="HSM8"/>
      <c r="HSN8"/>
      <c r="HSO8"/>
      <c r="HSP8"/>
      <c r="HSQ8"/>
      <c r="HSR8"/>
      <c r="HSS8"/>
      <c r="HST8"/>
      <c r="HSU8"/>
      <c r="HSV8"/>
      <c r="HSW8"/>
      <c r="HSX8"/>
      <c r="HSY8"/>
      <c r="HSZ8"/>
      <c r="HTA8"/>
      <c r="HTB8"/>
      <c r="HTC8"/>
      <c r="HTD8"/>
      <c r="HTE8"/>
      <c r="HTF8"/>
      <c r="HTG8"/>
      <c r="HTH8"/>
      <c r="HTI8"/>
      <c r="HTJ8"/>
      <c r="HTK8"/>
      <c r="HTL8"/>
      <c r="HTM8"/>
      <c r="HTN8"/>
      <c r="HTO8"/>
      <c r="HTP8"/>
      <c r="HTQ8"/>
      <c r="HTR8"/>
      <c r="HTS8"/>
      <c r="HTT8"/>
      <c r="HTU8"/>
      <c r="HTV8"/>
      <c r="HTW8"/>
      <c r="HTX8"/>
      <c r="HTY8"/>
      <c r="HTZ8"/>
      <c r="HUA8"/>
      <c r="HUB8"/>
      <c r="HUC8"/>
      <c r="HUD8"/>
      <c r="HUE8"/>
      <c r="HUF8"/>
      <c r="HUG8"/>
      <c r="HUH8"/>
      <c r="HUI8"/>
      <c r="HUJ8"/>
      <c r="HUK8"/>
      <c r="HUL8"/>
      <c r="HUM8"/>
      <c r="HUN8"/>
      <c r="HUO8"/>
      <c r="HUP8"/>
      <c r="HUQ8"/>
      <c r="HUR8"/>
      <c r="HUS8"/>
      <c r="HUT8"/>
      <c r="HUU8"/>
      <c r="HUV8"/>
      <c r="HUW8"/>
      <c r="HUX8"/>
      <c r="HUY8"/>
      <c r="HUZ8"/>
      <c r="HVA8"/>
      <c r="HVB8"/>
      <c r="HVC8"/>
      <c r="HVD8"/>
      <c r="HVE8"/>
      <c r="HVF8"/>
      <c r="HVG8"/>
      <c r="HVH8"/>
      <c r="HVI8"/>
      <c r="HVJ8"/>
      <c r="HVK8"/>
      <c r="HVL8"/>
      <c r="HVM8"/>
      <c r="HVN8"/>
      <c r="HVO8"/>
      <c r="HVP8"/>
      <c r="HVQ8"/>
      <c r="HVR8"/>
      <c r="HVS8"/>
      <c r="HVT8"/>
      <c r="HVU8"/>
      <c r="HVV8"/>
      <c r="HVW8"/>
      <c r="HVX8"/>
      <c r="HVY8"/>
      <c r="HVZ8"/>
      <c r="HWA8"/>
      <c r="HWB8"/>
      <c r="HWC8"/>
      <c r="HWD8"/>
      <c r="HWE8"/>
      <c r="HWF8"/>
      <c r="HWG8"/>
      <c r="HWH8"/>
      <c r="HWI8"/>
      <c r="HWJ8"/>
      <c r="HWK8"/>
      <c r="HWL8"/>
      <c r="HWM8"/>
      <c r="HWN8"/>
      <c r="HWO8"/>
      <c r="HWP8"/>
      <c r="HWQ8"/>
      <c r="HWR8"/>
      <c r="HWS8"/>
      <c r="HWT8"/>
      <c r="HWU8"/>
      <c r="HWV8"/>
      <c r="HWW8"/>
      <c r="HWX8"/>
      <c r="HWY8"/>
      <c r="HWZ8"/>
      <c r="HXA8"/>
      <c r="HXB8"/>
      <c r="HXC8"/>
      <c r="HXD8"/>
      <c r="HXE8"/>
      <c r="HXF8"/>
      <c r="HXG8"/>
      <c r="HXH8"/>
      <c r="HXI8"/>
      <c r="HXJ8"/>
      <c r="HXK8"/>
      <c r="HXL8"/>
      <c r="HXM8"/>
      <c r="HXN8"/>
      <c r="HXO8"/>
      <c r="HXP8"/>
      <c r="HXQ8"/>
      <c r="HXR8"/>
      <c r="HXS8"/>
      <c r="HXT8"/>
      <c r="HXU8"/>
      <c r="HXV8"/>
      <c r="HXW8"/>
      <c r="HXX8"/>
      <c r="HXY8"/>
      <c r="HXZ8"/>
      <c r="HYA8"/>
      <c r="HYB8"/>
      <c r="HYC8"/>
      <c r="HYD8"/>
      <c r="HYE8"/>
      <c r="HYF8"/>
      <c r="HYG8"/>
      <c r="HYH8"/>
      <c r="HYI8"/>
      <c r="HYJ8"/>
      <c r="HYK8"/>
      <c r="HYL8"/>
      <c r="HYM8"/>
      <c r="HYN8"/>
      <c r="HYO8"/>
      <c r="HYP8"/>
      <c r="HYQ8"/>
      <c r="HYR8"/>
      <c r="HYS8"/>
      <c r="HYT8"/>
      <c r="HYU8"/>
      <c r="HYV8"/>
      <c r="HYW8"/>
      <c r="HYX8"/>
      <c r="HYY8"/>
      <c r="HYZ8"/>
      <c r="HZA8"/>
      <c r="HZB8"/>
      <c r="HZC8"/>
      <c r="HZD8"/>
      <c r="HZE8"/>
      <c r="HZF8"/>
      <c r="HZG8"/>
      <c r="HZH8"/>
      <c r="HZI8"/>
      <c r="HZJ8"/>
      <c r="HZK8"/>
      <c r="HZL8"/>
      <c r="HZM8"/>
      <c r="HZN8"/>
      <c r="HZO8"/>
      <c r="HZP8"/>
      <c r="HZQ8"/>
      <c r="HZR8"/>
      <c r="HZS8"/>
      <c r="HZT8"/>
      <c r="HZU8"/>
      <c r="HZV8"/>
      <c r="HZW8"/>
      <c r="HZX8"/>
      <c r="HZY8"/>
      <c r="HZZ8"/>
      <c r="IAA8"/>
      <c r="IAB8"/>
      <c r="IAC8"/>
      <c r="IAD8"/>
      <c r="IAE8"/>
      <c r="IAF8"/>
      <c r="IAG8"/>
      <c r="IAH8"/>
      <c r="IAI8"/>
      <c r="IAJ8"/>
      <c r="IAK8"/>
      <c r="IAL8"/>
      <c r="IAM8"/>
      <c r="IAN8"/>
      <c r="IAO8"/>
      <c r="IAP8"/>
      <c r="IAQ8"/>
      <c r="IAR8"/>
      <c r="IAS8"/>
      <c r="IAT8"/>
      <c r="IAU8"/>
      <c r="IAV8"/>
      <c r="IAW8"/>
      <c r="IAX8"/>
      <c r="IAY8"/>
      <c r="IAZ8"/>
      <c r="IBA8"/>
      <c r="IBB8"/>
      <c r="IBC8"/>
      <c r="IBD8"/>
      <c r="IBE8"/>
      <c r="IBF8"/>
      <c r="IBG8"/>
      <c r="IBH8"/>
      <c r="IBI8"/>
      <c r="IBJ8"/>
      <c r="IBK8"/>
      <c r="IBL8"/>
      <c r="IBM8"/>
      <c r="IBN8"/>
      <c r="IBO8"/>
      <c r="IBP8"/>
      <c r="IBQ8"/>
      <c r="IBR8"/>
      <c r="IBS8"/>
      <c r="IBT8"/>
      <c r="IBU8"/>
      <c r="IBV8"/>
      <c r="IBW8"/>
      <c r="IBX8"/>
      <c r="IBY8"/>
      <c r="IBZ8"/>
      <c r="ICA8"/>
      <c r="ICB8"/>
      <c r="ICC8"/>
      <c r="ICD8"/>
      <c r="ICE8"/>
      <c r="ICF8"/>
      <c r="ICG8"/>
      <c r="ICH8"/>
      <c r="ICI8"/>
      <c r="ICJ8"/>
      <c r="ICK8"/>
      <c r="ICL8"/>
      <c r="ICM8"/>
      <c r="ICN8"/>
      <c r="ICO8"/>
      <c r="ICP8"/>
      <c r="ICQ8"/>
      <c r="ICR8"/>
      <c r="ICS8"/>
      <c r="ICT8"/>
      <c r="ICU8"/>
      <c r="ICV8"/>
      <c r="ICW8"/>
      <c r="ICX8"/>
      <c r="ICY8"/>
      <c r="ICZ8"/>
      <c r="IDA8"/>
      <c r="IDB8"/>
      <c r="IDC8"/>
      <c r="IDD8"/>
      <c r="IDE8"/>
      <c r="IDF8"/>
      <c r="IDG8"/>
      <c r="IDH8"/>
      <c r="IDI8"/>
      <c r="IDJ8"/>
      <c r="IDK8"/>
      <c r="IDL8"/>
      <c r="IDM8"/>
      <c r="IDN8"/>
      <c r="IDO8"/>
      <c r="IDP8"/>
      <c r="IDQ8"/>
      <c r="IDR8"/>
      <c r="IDS8"/>
      <c r="IDT8"/>
      <c r="IDU8"/>
      <c r="IDV8"/>
      <c r="IDW8"/>
      <c r="IDX8"/>
      <c r="IDY8"/>
      <c r="IDZ8"/>
      <c r="IEA8"/>
      <c r="IEB8"/>
      <c r="IEC8"/>
      <c r="IED8"/>
      <c r="IEE8"/>
      <c r="IEF8"/>
      <c r="IEG8"/>
      <c r="IEH8"/>
      <c r="IEI8"/>
      <c r="IEJ8"/>
      <c r="IEK8"/>
      <c r="IEL8"/>
      <c r="IEM8"/>
      <c r="IEN8"/>
      <c r="IEO8"/>
      <c r="IEP8"/>
      <c r="IEQ8"/>
      <c r="IER8"/>
      <c r="IES8"/>
      <c r="IET8"/>
      <c r="IEU8"/>
      <c r="IEV8"/>
      <c r="IEW8"/>
      <c r="IEX8"/>
      <c r="IEY8"/>
      <c r="IEZ8"/>
      <c r="IFA8"/>
      <c r="IFB8"/>
      <c r="IFC8"/>
      <c r="IFD8"/>
      <c r="IFE8"/>
      <c r="IFF8"/>
      <c r="IFG8"/>
      <c r="IFH8"/>
      <c r="IFI8"/>
      <c r="IFJ8"/>
      <c r="IFK8"/>
      <c r="IFL8"/>
      <c r="IFM8"/>
      <c r="IFN8"/>
      <c r="IFO8"/>
      <c r="IFP8"/>
      <c r="IFQ8"/>
      <c r="IFR8"/>
      <c r="IFS8"/>
      <c r="IFT8"/>
      <c r="IFU8"/>
      <c r="IFV8"/>
      <c r="IFW8"/>
      <c r="IFX8"/>
      <c r="IFY8"/>
      <c r="IFZ8"/>
      <c r="IGA8"/>
      <c r="IGB8"/>
      <c r="IGC8"/>
      <c r="IGD8"/>
      <c r="IGE8"/>
      <c r="IGF8"/>
      <c r="IGG8"/>
      <c r="IGH8"/>
      <c r="IGI8"/>
      <c r="IGJ8"/>
      <c r="IGK8"/>
      <c r="IGL8"/>
      <c r="IGM8"/>
      <c r="IGN8"/>
      <c r="IGO8"/>
      <c r="IGP8"/>
      <c r="IGQ8"/>
      <c r="IGR8"/>
      <c r="IGS8"/>
      <c r="IGT8"/>
      <c r="IGU8"/>
      <c r="IGV8"/>
      <c r="IGW8"/>
      <c r="IGX8"/>
      <c r="IGY8"/>
      <c r="IGZ8"/>
      <c r="IHA8"/>
      <c r="IHB8"/>
      <c r="IHC8"/>
      <c r="IHD8"/>
      <c r="IHE8"/>
      <c r="IHF8"/>
      <c r="IHG8"/>
      <c r="IHH8"/>
      <c r="IHI8"/>
      <c r="IHJ8"/>
      <c r="IHK8"/>
      <c r="IHL8"/>
      <c r="IHM8"/>
      <c r="IHN8"/>
      <c r="IHO8"/>
      <c r="IHP8"/>
      <c r="IHQ8"/>
      <c r="IHR8"/>
      <c r="IHS8"/>
      <c r="IHT8"/>
      <c r="IHU8"/>
      <c r="IHV8"/>
      <c r="IHW8"/>
      <c r="IHX8"/>
      <c r="IHY8"/>
      <c r="IHZ8"/>
      <c r="IIA8"/>
      <c r="IIB8"/>
      <c r="IIC8"/>
      <c r="IID8"/>
      <c r="IIE8"/>
      <c r="IIF8"/>
      <c r="IIG8"/>
      <c r="IIH8"/>
      <c r="III8"/>
      <c r="IIJ8"/>
      <c r="IIK8"/>
      <c r="IIL8"/>
      <c r="IIM8"/>
      <c r="IIN8"/>
      <c r="IIO8"/>
      <c r="IIP8"/>
      <c r="IIQ8"/>
      <c r="IIR8"/>
      <c r="IIS8"/>
      <c r="IIT8"/>
      <c r="IIU8"/>
      <c r="IIV8"/>
      <c r="IIW8"/>
      <c r="IIX8"/>
      <c r="IIY8"/>
      <c r="IIZ8"/>
      <c r="IJA8"/>
      <c r="IJB8"/>
      <c r="IJC8"/>
      <c r="IJD8"/>
      <c r="IJE8"/>
      <c r="IJF8"/>
      <c r="IJG8"/>
      <c r="IJH8"/>
      <c r="IJI8"/>
      <c r="IJJ8"/>
      <c r="IJK8"/>
      <c r="IJL8"/>
      <c r="IJM8"/>
      <c r="IJN8"/>
      <c r="IJO8"/>
      <c r="IJP8"/>
      <c r="IJQ8"/>
      <c r="IJR8"/>
      <c r="IJS8"/>
      <c r="IJT8"/>
      <c r="IJU8"/>
      <c r="IJV8"/>
      <c r="IJW8"/>
      <c r="IJX8"/>
      <c r="IJY8"/>
      <c r="IJZ8"/>
      <c r="IKA8"/>
      <c r="IKB8"/>
      <c r="IKC8"/>
      <c r="IKD8"/>
      <c r="IKE8"/>
      <c r="IKF8"/>
      <c r="IKG8"/>
      <c r="IKH8"/>
      <c r="IKI8"/>
      <c r="IKJ8"/>
      <c r="IKK8"/>
      <c r="IKL8"/>
      <c r="IKM8"/>
      <c r="IKN8"/>
      <c r="IKO8"/>
      <c r="IKP8"/>
      <c r="IKQ8"/>
      <c r="IKR8"/>
      <c r="IKS8"/>
      <c r="IKT8"/>
      <c r="IKU8"/>
      <c r="IKV8"/>
      <c r="IKW8"/>
      <c r="IKX8"/>
      <c r="IKY8"/>
      <c r="IKZ8"/>
      <c r="ILA8"/>
      <c r="ILB8"/>
      <c r="ILC8"/>
      <c r="ILD8"/>
      <c r="ILE8"/>
      <c r="ILF8"/>
      <c r="ILG8"/>
      <c r="ILH8"/>
      <c r="ILI8"/>
      <c r="ILJ8"/>
      <c r="ILK8"/>
      <c r="ILL8"/>
      <c r="ILM8"/>
      <c r="ILN8"/>
      <c r="ILO8"/>
      <c r="ILP8"/>
      <c r="ILQ8"/>
      <c r="ILR8"/>
      <c r="ILS8"/>
      <c r="ILT8"/>
      <c r="ILU8"/>
      <c r="ILV8"/>
      <c r="ILW8"/>
      <c r="ILX8"/>
      <c r="ILY8"/>
      <c r="ILZ8"/>
      <c r="IMA8"/>
      <c r="IMB8"/>
      <c r="IMC8"/>
      <c r="IMD8"/>
      <c r="IME8"/>
      <c r="IMF8"/>
      <c r="IMG8"/>
      <c r="IMH8"/>
      <c r="IMI8"/>
      <c r="IMJ8"/>
      <c r="IMK8"/>
      <c r="IML8"/>
      <c r="IMM8"/>
      <c r="IMN8"/>
      <c r="IMO8"/>
      <c r="IMP8"/>
      <c r="IMQ8"/>
      <c r="IMR8"/>
      <c r="IMS8"/>
      <c r="IMT8"/>
      <c r="IMU8"/>
      <c r="IMV8"/>
      <c r="IMW8"/>
      <c r="IMX8"/>
      <c r="IMY8"/>
      <c r="IMZ8"/>
      <c r="INA8"/>
      <c r="INB8"/>
      <c r="INC8"/>
      <c r="IND8"/>
      <c r="INE8"/>
      <c r="INF8"/>
      <c r="ING8"/>
      <c r="INH8"/>
      <c r="INI8"/>
      <c r="INJ8"/>
      <c r="INK8"/>
      <c r="INL8"/>
      <c r="INM8"/>
      <c r="INN8"/>
      <c r="INO8"/>
      <c r="INP8"/>
      <c r="INQ8"/>
      <c r="INR8"/>
      <c r="INS8"/>
      <c r="INT8"/>
      <c r="INU8"/>
      <c r="INV8"/>
      <c r="INW8"/>
      <c r="INX8"/>
      <c r="INY8"/>
      <c r="INZ8"/>
      <c r="IOA8"/>
      <c r="IOB8"/>
      <c r="IOC8"/>
      <c r="IOD8"/>
      <c r="IOE8"/>
      <c r="IOF8"/>
      <c r="IOG8"/>
      <c r="IOH8"/>
      <c r="IOI8"/>
      <c r="IOJ8"/>
      <c r="IOK8"/>
      <c r="IOL8"/>
      <c r="IOM8"/>
      <c r="ION8"/>
      <c r="IOO8"/>
      <c r="IOP8"/>
      <c r="IOQ8"/>
      <c r="IOR8"/>
      <c r="IOS8"/>
      <c r="IOT8"/>
      <c r="IOU8"/>
      <c r="IOV8"/>
      <c r="IOW8"/>
      <c r="IOX8"/>
      <c r="IOY8"/>
      <c r="IOZ8"/>
      <c r="IPA8"/>
      <c r="IPB8"/>
      <c r="IPC8"/>
      <c r="IPD8"/>
      <c r="IPE8"/>
      <c r="IPF8"/>
      <c r="IPG8"/>
      <c r="IPH8"/>
      <c r="IPI8"/>
      <c r="IPJ8"/>
      <c r="IPK8"/>
      <c r="IPL8"/>
      <c r="IPM8"/>
      <c r="IPN8"/>
      <c r="IPO8"/>
      <c r="IPP8"/>
      <c r="IPQ8"/>
      <c r="IPR8"/>
      <c r="IPS8"/>
      <c r="IPT8"/>
      <c r="IPU8"/>
      <c r="IPV8"/>
      <c r="IPW8"/>
      <c r="IPX8"/>
      <c r="IPY8"/>
      <c r="IPZ8"/>
      <c r="IQA8"/>
      <c r="IQB8"/>
      <c r="IQC8"/>
      <c r="IQD8"/>
      <c r="IQE8"/>
      <c r="IQF8"/>
      <c r="IQG8"/>
      <c r="IQH8"/>
      <c r="IQI8"/>
      <c r="IQJ8"/>
      <c r="IQK8"/>
      <c r="IQL8"/>
      <c r="IQM8"/>
      <c r="IQN8"/>
      <c r="IQO8"/>
      <c r="IQP8"/>
      <c r="IQQ8"/>
      <c r="IQR8"/>
      <c r="IQS8"/>
      <c r="IQT8"/>
      <c r="IQU8"/>
      <c r="IQV8"/>
      <c r="IQW8"/>
      <c r="IQX8"/>
      <c r="IQY8"/>
      <c r="IQZ8"/>
      <c r="IRA8"/>
      <c r="IRB8"/>
      <c r="IRC8"/>
      <c r="IRD8"/>
      <c r="IRE8"/>
      <c r="IRF8"/>
      <c r="IRG8"/>
      <c r="IRH8"/>
      <c r="IRI8"/>
      <c r="IRJ8"/>
      <c r="IRK8"/>
      <c r="IRL8"/>
      <c r="IRM8"/>
      <c r="IRN8"/>
      <c r="IRO8"/>
      <c r="IRP8"/>
      <c r="IRQ8"/>
      <c r="IRR8"/>
      <c r="IRS8"/>
      <c r="IRT8"/>
      <c r="IRU8"/>
      <c r="IRV8"/>
      <c r="IRW8"/>
      <c r="IRX8"/>
      <c r="IRY8"/>
      <c r="IRZ8"/>
      <c r="ISA8"/>
      <c r="ISB8"/>
      <c r="ISC8"/>
      <c r="ISD8"/>
      <c r="ISE8"/>
      <c r="ISF8"/>
      <c r="ISG8"/>
      <c r="ISH8"/>
      <c r="ISI8"/>
      <c r="ISJ8"/>
      <c r="ISK8"/>
      <c r="ISL8"/>
      <c r="ISM8"/>
      <c r="ISN8"/>
      <c r="ISO8"/>
      <c r="ISP8"/>
      <c r="ISQ8"/>
      <c r="ISR8"/>
      <c r="ISS8"/>
      <c r="IST8"/>
      <c r="ISU8"/>
      <c r="ISV8"/>
      <c r="ISW8"/>
      <c r="ISX8"/>
      <c r="ISY8"/>
      <c r="ISZ8"/>
      <c r="ITA8"/>
      <c r="ITB8"/>
      <c r="ITC8"/>
      <c r="ITD8"/>
      <c r="ITE8"/>
      <c r="ITF8"/>
      <c r="ITG8"/>
      <c r="ITH8"/>
      <c r="ITI8"/>
      <c r="ITJ8"/>
      <c r="ITK8"/>
      <c r="ITL8"/>
      <c r="ITM8"/>
      <c r="ITN8"/>
      <c r="ITO8"/>
      <c r="ITP8"/>
      <c r="ITQ8"/>
      <c r="ITR8"/>
      <c r="ITS8"/>
      <c r="ITT8"/>
      <c r="ITU8"/>
      <c r="ITV8"/>
      <c r="ITW8"/>
      <c r="ITX8"/>
      <c r="ITY8"/>
      <c r="ITZ8"/>
      <c r="IUA8"/>
      <c r="IUB8"/>
      <c r="IUC8"/>
      <c r="IUD8"/>
      <c r="IUE8"/>
      <c r="IUF8"/>
      <c r="IUG8"/>
      <c r="IUH8"/>
      <c r="IUI8"/>
      <c r="IUJ8"/>
      <c r="IUK8"/>
      <c r="IUL8"/>
      <c r="IUM8"/>
      <c r="IUN8"/>
      <c r="IUO8"/>
      <c r="IUP8"/>
      <c r="IUQ8"/>
      <c r="IUR8"/>
      <c r="IUS8"/>
      <c r="IUT8"/>
      <c r="IUU8"/>
      <c r="IUV8"/>
      <c r="IUW8"/>
      <c r="IUX8"/>
      <c r="IUY8"/>
      <c r="IUZ8"/>
      <c r="IVA8"/>
      <c r="IVB8"/>
      <c r="IVC8"/>
      <c r="IVD8"/>
      <c r="IVE8"/>
      <c r="IVF8"/>
      <c r="IVG8"/>
      <c r="IVH8"/>
      <c r="IVI8"/>
      <c r="IVJ8"/>
      <c r="IVK8"/>
      <c r="IVL8"/>
      <c r="IVM8"/>
      <c r="IVN8"/>
      <c r="IVO8"/>
      <c r="IVP8"/>
      <c r="IVQ8"/>
      <c r="IVR8"/>
      <c r="IVS8"/>
      <c r="IVT8"/>
      <c r="IVU8"/>
      <c r="IVV8"/>
      <c r="IVW8"/>
      <c r="IVX8"/>
      <c r="IVY8"/>
      <c r="IVZ8"/>
      <c r="IWA8"/>
      <c r="IWB8"/>
      <c r="IWC8"/>
      <c r="IWD8"/>
      <c r="IWE8"/>
      <c r="IWF8"/>
      <c r="IWG8"/>
      <c r="IWH8"/>
      <c r="IWI8"/>
      <c r="IWJ8"/>
      <c r="IWK8"/>
      <c r="IWL8"/>
      <c r="IWM8"/>
      <c r="IWN8"/>
      <c r="IWO8"/>
      <c r="IWP8"/>
      <c r="IWQ8"/>
      <c r="IWR8"/>
      <c r="IWS8"/>
      <c r="IWT8"/>
      <c r="IWU8"/>
      <c r="IWV8"/>
      <c r="IWW8"/>
      <c r="IWX8"/>
      <c r="IWY8"/>
      <c r="IWZ8"/>
      <c r="IXA8"/>
      <c r="IXB8"/>
      <c r="IXC8"/>
      <c r="IXD8"/>
      <c r="IXE8"/>
      <c r="IXF8"/>
      <c r="IXG8"/>
      <c r="IXH8"/>
      <c r="IXI8"/>
      <c r="IXJ8"/>
      <c r="IXK8"/>
      <c r="IXL8"/>
      <c r="IXM8"/>
      <c r="IXN8"/>
      <c r="IXO8"/>
      <c r="IXP8"/>
      <c r="IXQ8"/>
      <c r="IXR8"/>
      <c r="IXS8"/>
      <c r="IXT8"/>
      <c r="IXU8"/>
      <c r="IXV8"/>
      <c r="IXW8"/>
      <c r="IXX8"/>
      <c r="IXY8"/>
      <c r="IXZ8"/>
      <c r="IYA8"/>
      <c r="IYB8"/>
      <c r="IYC8"/>
      <c r="IYD8"/>
      <c r="IYE8"/>
      <c r="IYF8"/>
      <c r="IYG8"/>
      <c r="IYH8"/>
      <c r="IYI8"/>
      <c r="IYJ8"/>
      <c r="IYK8"/>
      <c r="IYL8"/>
      <c r="IYM8"/>
      <c r="IYN8"/>
      <c r="IYO8"/>
      <c r="IYP8"/>
      <c r="IYQ8"/>
      <c r="IYR8"/>
      <c r="IYS8"/>
      <c r="IYT8"/>
      <c r="IYU8"/>
      <c r="IYV8"/>
      <c r="IYW8"/>
      <c r="IYX8"/>
      <c r="IYY8"/>
      <c r="IYZ8"/>
      <c r="IZA8"/>
      <c r="IZB8"/>
      <c r="IZC8"/>
      <c r="IZD8"/>
      <c r="IZE8"/>
      <c r="IZF8"/>
      <c r="IZG8"/>
      <c r="IZH8"/>
      <c r="IZI8"/>
      <c r="IZJ8"/>
      <c r="IZK8"/>
      <c r="IZL8"/>
      <c r="IZM8"/>
      <c r="IZN8"/>
      <c r="IZO8"/>
      <c r="IZP8"/>
      <c r="IZQ8"/>
      <c r="IZR8"/>
      <c r="IZS8"/>
      <c r="IZT8"/>
      <c r="IZU8"/>
      <c r="IZV8"/>
      <c r="IZW8"/>
      <c r="IZX8"/>
      <c r="IZY8"/>
      <c r="IZZ8"/>
      <c r="JAA8"/>
      <c r="JAB8"/>
      <c r="JAC8"/>
      <c r="JAD8"/>
      <c r="JAE8"/>
      <c r="JAF8"/>
      <c r="JAG8"/>
      <c r="JAH8"/>
      <c r="JAI8"/>
      <c r="JAJ8"/>
      <c r="JAK8"/>
      <c r="JAL8"/>
      <c r="JAM8"/>
      <c r="JAN8"/>
      <c r="JAO8"/>
      <c r="JAP8"/>
      <c r="JAQ8"/>
      <c r="JAR8"/>
      <c r="JAS8"/>
      <c r="JAT8"/>
      <c r="JAU8"/>
      <c r="JAV8"/>
      <c r="JAW8"/>
      <c r="JAX8"/>
      <c r="JAY8"/>
      <c r="JAZ8"/>
      <c r="JBA8"/>
      <c r="JBB8"/>
      <c r="JBC8"/>
      <c r="JBD8"/>
      <c r="JBE8"/>
      <c r="JBF8"/>
      <c r="JBG8"/>
      <c r="JBH8"/>
      <c r="JBI8"/>
      <c r="JBJ8"/>
      <c r="JBK8"/>
      <c r="JBL8"/>
      <c r="JBM8"/>
      <c r="JBN8"/>
      <c r="JBO8"/>
      <c r="JBP8"/>
      <c r="JBQ8"/>
      <c r="JBR8"/>
      <c r="JBS8"/>
      <c r="JBT8"/>
      <c r="JBU8"/>
      <c r="JBV8"/>
      <c r="JBW8"/>
      <c r="JBX8"/>
      <c r="JBY8"/>
      <c r="JBZ8"/>
      <c r="JCA8"/>
      <c r="JCB8"/>
      <c r="JCC8"/>
      <c r="JCD8"/>
      <c r="JCE8"/>
      <c r="JCF8"/>
      <c r="JCG8"/>
      <c r="JCH8"/>
      <c r="JCI8"/>
      <c r="JCJ8"/>
      <c r="JCK8"/>
      <c r="JCL8"/>
      <c r="JCM8"/>
      <c r="JCN8"/>
      <c r="JCO8"/>
      <c r="JCP8"/>
      <c r="JCQ8"/>
      <c r="JCR8"/>
      <c r="JCS8"/>
      <c r="JCT8"/>
      <c r="JCU8"/>
      <c r="JCV8"/>
      <c r="JCW8"/>
      <c r="JCX8"/>
      <c r="JCY8"/>
      <c r="JCZ8"/>
      <c r="JDA8"/>
      <c r="JDB8"/>
      <c r="JDC8"/>
      <c r="JDD8"/>
      <c r="JDE8"/>
      <c r="JDF8"/>
      <c r="JDG8"/>
      <c r="JDH8"/>
      <c r="JDI8"/>
      <c r="JDJ8"/>
      <c r="JDK8"/>
      <c r="JDL8"/>
      <c r="JDM8"/>
      <c r="JDN8"/>
      <c r="JDO8"/>
      <c r="JDP8"/>
      <c r="JDQ8"/>
      <c r="JDR8"/>
      <c r="JDS8"/>
      <c r="JDT8"/>
      <c r="JDU8"/>
      <c r="JDV8"/>
      <c r="JDW8"/>
      <c r="JDX8"/>
      <c r="JDY8"/>
      <c r="JDZ8"/>
      <c r="JEA8"/>
      <c r="JEB8"/>
      <c r="JEC8"/>
      <c r="JED8"/>
      <c r="JEE8"/>
      <c r="JEF8"/>
      <c r="JEG8"/>
      <c r="JEH8"/>
      <c r="JEI8"/>
      <c r="JEJ8"/>
      <c r="JEK8"/>
      <c r="JEL8"/>
      <c r="JEM8"/>
      <c r="JEN8"/>
      <c r="JEO8"/>
      <c r="JEP8"/>
      <c r="JEQ8"/>
      <c r="JER8"/>
      <c r="JES8"/>
      <c r="JET8"/>
      <c r="JEU8"/>
      <c r="JEV8"/>
      <c r="JEW8"/>
      <c r="JEX8"/>
      <c r="JEY8"/>
      <c r="JEZ8"/>
      <c r="JFA8"/>
      <c r="JFB8"/>
      <c r="JFC8"/>
      <c r="JFD8"/>
      <c r="JFE8"/>
      <c r="JFF8"/>
      <c r="JFG8"/>
      <c r="JFH8"/>
      <c r="JFI8"/>
      <c r="JFJ8"/>
      <c r="JFK8"/>
      <c r="JFL8"/>
      <c r="JFM8"/>
      <c r="JFN8"/>
      <c r="JFO8"/>
      <c r="JFP8"/>
      <c r="JFQ8"/>
      <c r="JFR8"/>
      <c r="JFS8"/>
      <c r="JFT8"/>
      <c r="JFU8"/>
      <c r="JFV8"/>
      <c r="JFW8"/>
      <c r="JFX8"/>
      <c r="JFY8"/>
      <c r="JFZ8"/>
      <c r="JGA8"/>
      <c r="JGB8"/>
      <c r="JGC8"/>
      <c r="JGD8"/>
      <c r="JGE8"/>
      <c r="JGF8"/>
      <c r="JGG8"/>
      <c r="JGH8"/>
      <c r="JGI8"/>
      <c r="JGJ8"/>
      <c r="JGK8"/>
      <c r="JGL8"/>
      <c r="JGM8"/>
      <c r="JGN8"/>
      <c r="JGO8"/>
      <c r="JGP8"/>
      <c r="JGQ8"/>
      <c r="JGR8"/>
      <c r="JGS8"/>
      <c r="JGT8"/>
      <c r="JGU8"/>
      <c r="JGV8"/>
      <c r="JGW8"/>
      <c r="JGX8"/>
      <c r="JGY8"/>
      <c r="JGZ8"/>
      <c r="JHA8"/>
      <c r="JHB8"/>
      <c r="JHC8"/>
      <c r="JHD8"/>
      <c r="JHE8"/>
      <c r="JHF8"/>
      <c r="JHG8"/>
      <c r="JHH8"/>
      <c r="JHI8"/>
      <c r="JHJ8"/>
      <c r="JHK8"/>
      <c r="JHL8"/>
      <c r="JHM8"/>
      <c r="JHN8"/>
      <c r="JHO8"/>
      <c r="JHP8"/>
      <c r="JHQ8"/>
      <c r="JHR8"/>
      <c r="JHS8"/>
      <c r="JHT8"/>
      <c r="JHU8"/>
      <c r="JHV8"/>
      <c r="JHW8"/>
      <c r="JHX8"/>
      <c r="JHY8"/>
      <c r="JHZ8"/>
      <c r="JIA8"/>
      <c r="JIB8"/>
      <c r="JIC8"/>
      <c r="JID8"/>
      <c r="JIE8"/>
      <c r="JIF8"/>
      <c r="JIG8"/>
      <c r="JIH8"/>
      <c r="JII8"/>
      <c r="JIJ8"/>
      <c r="JIK8"/>
      <c r="JIL8"/>
      <c r="JIM8"/>
      <c r="JIN8"/>
      <c r="JIO8"/>
      <c r="JIP8"/>
      <c r="JIQ8"/>
      <c r="JIR8"/>
      <c r="JIS8"/>
      <c r="JIT8"/>
      <c r="JIU8"/>
      <c r="JIV8"/>
      <c r="JIW8"/>
      <c r="JIX8"/>
      <c r="JIY8"/>
      <c r="JIZ8"/>
      <c r="JJA8"/>
      <c r="JJB8"/>
      <c r="JJC8"/>
      <c r="JJD8"/>
      <c r="JJE8"/>
      <c r="JJF8"/>
      <c r="JJG8"/>
      <c r="JJH8"/>
      <c r="JJI8"/>
      <c r="JJJ8"/>
      <c r="JJK8"/>
      <c r="JJL8"/>
      <c r="JJM8"/>
      <c r="JJN8"/>
      <c r="JJO8"/>
      <c r="JJP8"/>
      <c r="JJQ8"/>
      <c r="JJR8"/>
      <c r="JJS8"/>
      <c r="JJT8"/>
      <c r="JJU8"/>
      <c r="JJV8"/>
      <c r="JJW8"/>
      <c r="JJX8"/>
      <c r="JJY8"/>
      <c r="JJZ8"/>
      <c r="JKA8"/>
      <c r="JKB8"/>
      <c r="JKC8"/>
      <c r="JKD8"/>
      <c r="JKE8"/>
      <c r="JKF8"/>
      <c r="JKG8"/>
      <c r="JKH8"/>
      <c r="JKI8"/>
      <c r="JKJ8"/>
      <c r="JKK8"/>
      <c r="JKL8"/>
      <c r="JKM8"/>
      <c r="JKN8"/>
      <c r="JKO8"/>
      <c r="JKP8"/>
      <c r="JKQ8"/>
      <c r="JKR8"/>
      <c r="JKS8"/>
      <c r="JKT8"/>
      <c r="JKU8"/>
      <c r="JKV8"/>
      <c r="JKW8"/>
      <c r="JKX8"/>
      <c r="JKY8"/>
      <c r="JKZ8"/>
      <c r="JLA8"/>
      <c r="JLB8"/>
      <c r="JLC8"/>
      <c r="JLD8"/>
      <c r="JLE8"/>
      <c r="JLF8"/>
      <c r="JLG8"/>
      <c r="JLH8"/>
      <c r="JLI8"/>
      <c r="JLJ8"/>
      <c r="JLK8"/>
      <c r="JLL8"/>
      <c r="JLM8"/>
      <c r="JLN8"/>
      <c r="JLO8"/>
      <c r="JLP8"/>
      <c r="JLQ8"/>
      <c r="JLR8"/>
      <c r="JLS8"/>
      <c r="JLT8"/>
      <c r="JLU8"/>
      <c r="JLV8"/>
      <c r="JLW8"/>
      <c r="JLX8"/>
      <c r="JLY8"/>
      <c r="JLZ8"/>
      <c r="JMA8"/>
      <c r="JMB8"/>
      <c r="JMC8"/>
      <c r="JMD8"/>
      <c r="JME8"/>
      <c r="JMF8"/>
      <c r="JMG8"/>
      <c r="JMH8"/>
      <c r="JMI8"/>
      <c r="JMJ8"/>
      <c r="JMK8"/>
      <c r="JML8"/>
      <c r="JMM8"/>
      <c r="JMN8"/>
      <c r="JMO8"/>
      <c r="JMP8"/>
      <c r="JMQ8"/>
      <c r="JMR8"/>
      <c r="JMS8"/>
      <c r="JMT8"/>
      <c r="JMU8"/>
      <c r="JMV8"/>
      <c r="JMW8"/>
      <c r="JMX8"/>
      <c r="JMY8"/>
      <c r="JMZ8"/>
      <c r="JNA8"/>
      <c r="JNB8"/>
      <c r="JNC8"/>
      <c r="JND8"/>
      <c r="JNE8"/>
      <c r="JNF8"/>
      <c r="JNG8"/>
      <c r="JNH8"/>
      <c r="JNI8"/>
      <c r="JNJ8"/>
      <c r="JNK8"/>
      <c r="JNL8"/>
      <c r="JNM8"/>
      <c r="JNN8"/>
      <c r="JNO8"/>
      <c r="JNP8"/>
      <c r="JNQ8"/>
      <c r="JNR8"/>
      <c r="JNS8"/>
      <c r="JNT8"/>
      <c r="JNU8"/>
      <c r="JNV8"/>
      <c r="JNW8"/>
      <c r="JNX8"/>
      <c r="JNY8"/>
      <c r="JNZ8"/>
      <c r="JOA8"/>
      <c r="JOB8"/>
      <c r="JOC8"/>
      <c r="JOD8"/>
      <c r="JOE8"/>
      <c r="JOF8"/>
      <c r="JOG8"/>
      <c r="JOH8"/>
      <c r="JOI8"/>
      <c r="JOJ8"/>
      <c r="JOK8"/>
      <c r="JOL8"/>
      <c r="JOM8"/>
      <c r="JON8"/>
      <c r="JOO8"/>
      <c r="JOP8"/>
      <c r="JOQ8"/>
      <c r="JOR8"/>
      <c r="JOS8"/>
      <c r="JOT8"/>
      <c r="JOU8"/>
      <c r="JOV8"/>
      <c r="JOW8"/>
      <c r="JOX8"/>
      <c r="JOY8"/>
      <c r="JOZ8"/>
      <c r="JPA8"/>
      <c r="JPB8"/>
      <c r="JPC8"/>
      <c r="JPD8"/>
      <c r="JPE8"/>
      <c r="JPF8"/>
      <c r="JPG8"/>
      <c r="JPH8"/>
      <c r="JPI8"/>
      <c r="JPJ8"/>
      <c r="JPK8"/>
      <c r="JPL8"/>
      <c r="JPM8"/>
      <c r="JPN8"/>
      <c r="JPO8"/>
      <c r="JPP8"/>
      <c r="JPQ8"/>
      <c r="JPR8"/>
      <c r="JPS8"/>
      <c r="JPT8"/>
      <c r="JPU8"/>
      <c r="JPV8"/>
      <c r="JPW8"/>
      <c r="JPX8"/>
      <c r="JPY8"/>
      <c r="JPZ8"/>
      <c r="JQA8"/>
      <c r="JQB8"/>
      <c r="JQC8"/>
      <c r="JQD8"/>
      <c r="JQE8"/>
      <c r="JQF8"/>
      <c r="JQG8"/>
      <c r="JQH8"/>
      <c r="JQI8"/>
      <c r="JQJ8"/>
      <c r="JQK8"/>
      <c r="JQL8"/>
      <c r="JQM8"/>
      <c r="JQN8"/>
      <c r="JQO8"/>
      <c r="JQP8"/>
      <c r="JQQ8"/>
      <c r="JQR8"/>
      <c r="JQS8"/>
      <c r="JQT8"/>
      <c r="JQU8"/>
      <c r="JQV8"/>
      <c r="JQW8"/>
      <c r="JQX8"/>
      <c r="JQY8"/>
      <c r="JQZ8"/>
      <c r="JRA8"/>
      <c r="JRB8"/>
      <c r="JRC8"/>
      <c r="JRD8"/>
      <c r="JRE8"/>
      <c r="JRF8"/>
      <c r="JRG8"/>
      <c r="JRH8"/>
      <c r="JRI8"/>
      <c r="JRJ8"/>
      <c r="JRK8"/>
      <c r="JRL8"/>
      <c r="JRM8"/>
      <c r="JRN8"/>
      <c r="JRO8"/>
      <c r="JRP8"/>
      <c r="JRQ8"/>
      <c r="JRR8"/>
      <c r="JRS8"/>
      <c r="JRT8"/>
      <c r="JRU8"/>
      <c r="JRV8"/>
      <c r="JRW8"/>
      <c r="JRX8"/>
      <c r="JRY8"/>
      <c r="JRZ8"/>
      <c r="JSA8"/>
      <c r="JSB8"/>
      <c r="JSC8"/>
      <c r="JSD8"/>
      <c r="JSE8"/>
      <c r="JSF8"/>
      <c r="JSG8"/>
      <c r="JSH8"/>
      <c r="JSI8"/>
      <c r="JSJ8"/>
      <c r="JSK8"/>
      <c r="JSL8"/>
      <c r="JSM8"/>
      <c r="JSN8"/>
      <c r="JSO8"/>
      <c r="JSP8"/>
      <c r="JSQ8"/>
      <c r="JSR8"/>
      <c r="JSS8"/>
      <c r="JST8"/>
      <c r="JSU8"/>
      <c r="JSV8"/>
      <c r="JSW8"/>
      <c r="JSX8"/>
      <c r="JSY8"/>
      <c r="JSZ8"/>
      <c r="JTA8"/>
      <c r="JTB8"/>
      <c r="JTC8"/>
      <c r="JTD8"/>
      <c r="JTE8"/>
      <c r="JTF8"/>
      <c r="JTG8"/>
      <c r="JTH8"/>
      <c r="JTI8"/>
      <c r="JTJ8"/>
      <c r="JTK8"/>
      <c r="JTL8"/>
      <c r="JTM8"/>
      <c r="JTN8"/>
      <c r="JTO8"/>
      <c r="JTP8"/>
      <c r="JTQ8"/>
      <c r="JTR8"/>
      <c r="JTS8"/>
      <c r="JTT8"/>
      <c r="JTU8"/>
      <c r="JTV8"/>
      <c r="JTW8"/>
      <c r="JTX8"/>
      <c r="JTY8"/>
      <c r="JTZ8"/>
      <c r="JUA8"/>
      <c r="JUB8"/>
      <c r="JUC8"/>
      <c r="JUD8"/>
      <c r="JUE8"/>
      <c r="JUF8"/>
      <c r="JUG8"/>
      <c r="JUH8"/>
      <c r="JUI8"/>
      <c r="JUJ8"/>
      <c r="JUK8"/>
      <c r="JUL8"/>
      <c r="JUM8"/>
      <c r="JUN8"/>
      <c r="JUO8"/>
      <c r="JUP8"/>
      <c r="JUQ8"/>
      <c r="JUR8"/>
      <c r="JUS8"/>
      <c r="JUT8"/>
      <c r="JUU8"/>
      <c r="JUV8"/>
      <c r="JUW8"/>
      <c r="JUX8"/>
      <c r="JUY8"/>
      <c r="JUZ8"/>
      <c r="JVA8"/>
      <c r="JVB8"/>
      <c r="JVC8"/>
      <c r="JVD8"/>
      <c r="JVE8"/>
      <c r="JVF8"/>
      <c r="JVG8"/>
      <c r="JVH8"/>
      <c r="JVI8"/>
      <c r="JVJ8"/>
      <c r="JVK8"/>
      <c r="JVL8"/>
      <c r="JVM8"/>
      <c r="JVN8"/>
      <c r="JVO8"/>
      <c r="JVP8"/>
      <c r="JVQ8"/>
      <c r="JVR8"/>
      <c r="JVS8"/>
      <c r="JVT8"/>
      <c r="JVU8"/>
      <c r="JVV8"/>
      <c r="JVW8"/>
      <c r="JVX8"/>
      <c r="JVY8"/>
      <c r="JVZ8"/>
      <c r="JWA8"/>
      <c r="JWB8"/>
      <c r="JWC8"/>
      <c r="JWD8"/>
      <c r="JWE8"/>
      <c r="JWF8"/>
      <c r="JWG8"/>
      <c r="JWH8"/>
      <c r="JWI8"/>
      <c r="JWJ8"/>
      <c r="JWK8"/>
      <c r="JWL8"/>
      <c r="JWM8"/>
      <c r="JWN8"/>
      <c r="JWO8"/>
      <c r="JWP8"/>
      <c r="JWQ8"/>
      <c r="JWR8"/>
      <c r="JWS8"/>
      <c r="JWT8"/>
      <c r="JWU8"/>
      <c r="JWV8"/>
      <c r="JWW8"/>
      <c r="JWX8"/>
      <c r="JWY8"/>
      <c r="JWZ8"/>
      <c r="JXA8"/>
      <c r="JXB8"/>
      <c r="JXC8"/>
      <c r="JXD8"/>
      <c r="JXE8"/>
      <c r="JXF8"/>
      <c r="JXG8"/>
      <c r="JXH8"/>
      <c r="JXI8"/>
      <c r="JXJ8"/>
      <c r="JXK8"/>
      <c r="JXL8"/>
      <c r="JXM8"/>
      <c r="JXN8"/>
      <c r="JXO8"/>
      <c r="JXP8"/>
      <c r="JXQ8"/>
      <c r="JXR8"/>
      <c r="JXS8"/>
      <c r="JXT8"/>
      <c r="JXU8"/>
      <c r="JXV8"/>
      <c r="JXW8"/>
      <c r="JXX8"/>
      <c r="JXY8"/>
      <c r="JXZ8"/>
      <c r="JYA8"/>
      <c r="JYB8"/>
      <c r="JYC8"/>
      <c r="JYD8"/>
      <c r="JYE8"/>
      <c r="JYF8"/>
      <c r="JYG8"/>
      <c r="JYH8"/>
      <c r="JYI8"/>
      <c r="JYJ8"/>
      <c r="JYK8"/>
      <c r="JYL8"/>
      <c r="JYM8"/>
      <c r="JYN8"/>
      <c r="JYO8"/>
      <c r="JYP8"/>
      <c r="JYQ8"/>
      <c r="JYR8"/>
      <c r="JYS8"/>
      <c r="JYT8"/>
      <c r="JYU8"/>
      <c r="JYV8"/>
      <c r="JYW8"/>
      <c r="JYX8"/>
      <c r="JYY8"/>
      <c r="JYZ8"/>
      <c r="JZA8"/>
      <c r="JZB8"/>
      <c r="JZC8"/>
      <c r="JZD8"/>
      <c r="JZE8"/>
      <c r="JZF8"/>
      <c r="JZG8"/>
      <c r="JZH8"/>
      <c r="JZI8"/>
      <c r="JZJ8"/>
      <c r="JZK8"/>
      <c r="JZL8"/>
      <c r="JZM8"/>
      <c r="JZN8"/>
      <c r="JZO8"/>
      <c r="JZP8"/>
      <c r="JZQ8"/>
      <c r="JZR8"/>
      <c r="JZS8"/>
      <c r="JZT8"/>
      <c r="JZU8"/>
      <c r="JZV8"/>
      <c r="JZW8"/>
      <c r="JZX8"/>
      <c r="JZY8"/>
      <c r="JZZ8"/>
      <c r="KAA8"/>
      <c r="KAB8"/>
      <c r="KAC8"/>
      <c r="KAD8"/>
      <c r="KAE8"/>
      <c r="KAF8"/>
      <c r="KAG8"/>
      <c r="KAH8"/>
      <c r="KAI8"/>
      <c r="KAJ8"/>
      <c r="KAK8"/>
      <c r="KAL8"/>
      <c r="KAM8"/>
      <c r="KAN8"/>
      <c r="KAO8"/>
      <c r="KAP8"/>
      <c r="KAQ8"/>
      <c r="KAR8"/>
      <c r="KAS8"/>
      <c r="KAT8"/>
      <c r="KAU8"/>
      <c r="KAV8"/>
      <c r="KAW8"/>
      <c r="KAX8"/>
      <c r="KAY8"/>
      <c r="KAZ8"/>
      <c r="KBA8"/>
      <c r="KBB8"/>
      <c r="KBC8"/>
      <c r="KBD8"/>
      <c r="KBE8"/>
      <c r="KBF8"/>
      <c r="KBG8"/>
      <c r="KBH8"/>
      <c r="KBI8"/>
      <c r="KBJ8"/>
      <c r="KBK8"/>
      <c r="KBL8"/>
      <c r="KBM8"/>
      <c r="KBN8"/>
      <c r="KBO8"/>
      <c r="KBP8"/>
      <c r="KBQ8"/>
      <c r="KBR8"/>
      <c r="KBS8"/>
      <c r="KBT8"/>
      <c r="KBU8"/>
      <c r="KBV8"/>
      <c r="KBW8"/>
      <c r="KBX8"/>
      <c r="KBY8"/>
      <c r="KBZ8"/>
      <c r="KCA8"/>
      <c r="KCB8"/>
      <c r="KCC8"/>
      <c r="KCD8"/>
      <c r="KCE8"/>
      <c r="KCF8"/>
      <c r="KCG8"/>
      <c r="KCH8"/>
      <c r="KCI8"/>
      <c r="KCJ8"/>
      <c r="KCK8"/>
      <c r="KCL8"/>
      <c r="KCM8"/>
      <c r="KCN8"/>
      <c r="KCO8"/>
      <c r="KCP8"/>
      <c r="KCQ8"/>
      <c r="KCR8"/>
      <c r="KCS8"/>
      <c r="KCT8"/>
      <c r="KCU8"/>
      <c r="KCV8"/>
      <c r="KCW8"/>
      <c r="KCX8"/>
      <c r="KCY8"/>
      <c r="KCZ8"/>
      <c r="KDA8"/>
      <c r="KDB8"/>
      <c r="KDC8"/>
      <c r="KDD8"/>
      <c r="KDE8"/>
      <c r="KDF8"/>
      <c r="KDG8"/>
      <c r="KDH8"/>
      <c r="KDI8"/>
      <c r="KDJ8"/>
      <c r="KDK8"/>
      <c r="KDL8"/>
      <c r="KDM8"/>
      <c r="KDN8"/>
      <c r="KDO8"/>
      <c r="KDP8"/>
      <c r="KDQ8"/>
      <c r="KDR8"/>
      <c r="KDS8"/>
      <c r="KDT8"/>
      <c r="KDU8"/>
      <c r="KDV8"/>
      <c r="KDW8"/>
      <c r="KDX8"/>
      <c r="KDY8"/>
      <c r="KDZ8"/>
      <c r="KEA8"/>
      <c r="KEB8"/>
      <c r="KEC8"/>
      <c r="KED8"/>
      <c r="KEE8"/>
      <c r="KEF8"/>
      <c r="KEG8"/>
      <c r="KEH8"/>
      <c r="KEI8"/>
      <c r="KEJ8"/>
      <c r="KEK8"/>
      <c r="KEL8"/>
      <c r="KEM8"/>
      <c r="KEN8"/>
      <c r="KEO8"/>
      <c r="KEP8"/>
      <c r="KEQ8"/>
      <c r="KER8"/>
      <c r="KES8"/>
      <c r="KET8"/>
      <c r="KEU8"/>
      <c r="KEV8"/>
      <c r="KEW8"/>
      <c r="KEX8"/>
      <c r="KEY8"/>
      <c r="KEZ8"/>
      <c r="KFA8"/>
      <c r="KFB8"/>
      <c r="KFC8"/>
      <c r="KFD8"/>
      <c r="KFE8"/>
      <c r="KFF8"/>
      <c r="KFG8"/>
      <c r="KFH8"/>
      <c r="KFI8"/>
      <c r="KFJ8"/>
      <c r="KFK8"/>
      <c r="KFL8"/>
      <c r="KFM8"/>
      <c r="KFN8"/>
      <c r="KFO8"/>
      <c r="KFP8"/>
      <c r="KFQ8"/>
      <c r="KFR8"/>
      <c r="KFS8"/>
      <c r="KFT8"/>
      <c r="KFU8"/>
      <c r="KFV8"/>
      <c r="KFW8"/>
      <c r="KFX8"/>
      <c r="KFY8"/>
      <c r="KFZ8"/>
      <c r="KGA8"/>
      <c r="KGB8"/>
      <c r="KGC8"/>
      <c r="KGD8"/>
      <c r="KGE8"/>
      <c r="KGF8"/>
      <c r="KGG8"/>
      <c r="KGH8"/>
      <c r="KGI8"/>
      <c r="KGJ8"/>
      <c r="KGK8"/>
      <c r="KGL8"/>
      <c r="KGM8"/>
      <c r="KGN8"/>
      <c r="KGO8"/>
      <c r="KGP8"/>
      <c r="KGQ8"/>
      <c r="KGR8"/>
      <c r="KGS8"/>
      <c r="KGT8"/>
      <c r="KGU8"/>
      <c r="KGV8"/>
      <c r="KGW8"/>
      <c r="KGX8"/>
      <c r="KGY8"/>
      <c r="KGZ8"/>
      <c r="KHA8"/>
      <c r="KHB8"/>
      <c r="KHC8"/>
      <c r="KHD8"/>
      <c r="KHE8"/>
      <c r="KHF8"/>
      <c r="KHG8"/>
      <c r="KHH8"/>
      <c r="KHI8"/>
      <c r="KHJ8"/>
      <c r="KHK8"/>
      <c r="KHL8"/>
      <c r="KHM8"/>
      <c r="KHN8"/>
      <c r="KHO8"/>
      <c r="KHP8"/>
      <c r="KHQ8"/>
      <c r="KHR8"/>
      <c r="KHS8"/>
      <c r="KHT8"/>
      <c r="KHU8"/>
      <c r="KHV8"/>
      <c r="KHW8"/>
      <c r="KHX8"/>
      <c r="KHY8"/>
      <c r="KHZ8"/>
      <c r="KIA8"/>
      <c r="KIB8"/>
      <c r="KIC8"/>
      <c r="KID8"/>
      <c r="KIE8"/>
      <c r="KIF8"/>
      <c r="KIG8"/>
      <c r="KIH8"/>
      <c r="KII8"/>
      <c r="KIJ8"/>
      <c r="KIK8"/>
      <c r="KIL8"/>
      <c r="KIM8"/>
      <c r="KIN8"/>
      <c r="KIO8"/>
      <c r="KIP8"/>
      <c r="KIQ8"/>
      <c r="KIR8"/>
      <c r="KIS8"/>
      <c r="KIT8"/>
      <c r="KIU8"/>
      <c r="KIV8"/>
      <c r="KIW8"/>
      <c r="KIX8"/>
      <c r="KIY8"/>
      <c r="KIZ8"/>
      <c r="KJA8"/>
      <c r="KJB8"/>
      <c r="KJC8"/>
      <c r="KJD8"/>
      <c r="KJE8"/>
      <c r="KJF8"/>
      <c r="KJG8"/>
      <c r="KJH8"/>
      <c r="KJI8"/>
      <c r="KJJ8"/>
      <c r="KJK8"/>
      <c r="KJL8"/>
      <c r="KJM8"/>
      <c r="KJN8"/>
      <c r="KJO8"/>
      <c r="KJP8"/>
      <c r="KJQ8"/>
      <c r="KJR8"/>
      <c r="KJS8"/>
      <c r="KJT8"/>
      <c r="KJU8"/>
      <c r="KJV8"/>
      <c r="KJW8"/>
      <c r="KJX8"/>
      <c r="KJY8"/>
      <c r="KJZ8"/>
      <c r="KKA8"/>
      <c r="KKB8"/>
      <c r="KKC8"/>
      <c r="KKD8"/>
      <c r="KKE8"/>
      <c r="KKF8"/>
      <c r="KKG8"/>
      <c r="KKH8"/>
      <c r="KKI8"/>
      <c r="KKJ8"/>
      <c r="KKK8"/>
      <c r="KKL8"/>
      <c r="KKM8"/>
      <c r="KKN8"/>
      <c r="KKO8"/>
      <c r="KKP8"/>
      <c r="KKQ8"/>
      <c r="KKR8"/>
      <c r="KKS8"/>
      <c r="KKT8"/>
      <c r="KKU8"/>
      <c r="KKV8"/>
      <c r="KKW8"/>
      <c r="KKX8"/>
      <c r="KKY8"/>
      <c r="KKZ8"/>
      <c r="KLA8"/>
      <c r="KLB8"/>
      <c r="KLC8"/>
      <c r="KLD8"/>
      <c r="KLE8"/>
      <c r="KLF8"/>
      <c r="KLG8"/>
      <c r="KLH8"/>
      <c r="KLI8"/>
      <c r="KLJ8"/>
      <c r="KLK8"/>
      <c r="KLL8"/>
      <c r="KLM8"/>
      <c r="KLN8"/>
      <c r="KLO8"/>
      <c r="KLP8"/>
      <c r="KLQ8"/>
      <c r="KLR8"/>
      <c r="KLS8"/>
      <c r="KLT8"/>
      <c r="KLU8"/>
      <c r="KLV8"/>
      <c r="KLW8"/>
      <c r="KLX8"/>
      <c r="KLY8"/>
      <c r="KLZ8"/>
      <c r="KMA8"/>
      <c r="KMB8"/>
      <c r="KMC8"/>
      <c r="KMD8"/>
      <c r="KME8"/>
      <c r="KMF8"/>
      <c r="KMG8"/>
      <c r="KMH8"/>
      <c r="KMI8"/>
      <c r="KMJ8"/>
      <c r="KMK8"/>
      <c r="KML8"/>
      <c r="KMM8"/>
      <c r="KMN8"/>
      <c r="KMO8"/>
      <c r="KMP8"/>
      <c r="KMQ8"/>
      <c r="KMR8"/>
      <c r="KMS8"/>
      <c r="KMT8"/>
      <c r="KMU8"/>
      <c r="KMV8"/>
      <c r="KMW8"/>
      <c r="KMX8"/>
      <c r="KMY8"/>
      <c r="KMZ8"/>
      <c r="KNA8"/>
      <c r="KNB8"/>
      <c r="KNC8"/>
      <c r="KND8"/>
      <c r="KNE8"/>
      <c r="KNF8"/>
      <c r="KNG8"/>
      <c r="KNH8"/>
      <c r="KNI8"/>
      <c r="KNJ8"/>
      <c r="KNK8"/>
      <c r="KNL8"/>
      <c r="KNM8"/>
      <c r="KNN8"/>
      <c r="KNO8"/>
      <c r="KNP8"/>
      <c r="KNQ8"/>
      <c r="KNR8"/>
      <c r="KNS8"/>
      <c r="KNT8"/>
      <c r="KNU8"/>
      <c r="KNV8"/>
      <c r="KNW8"/>
      <c r="KNX8"/>
      <c r="KNY8"/>
      <c r="KNZ8"/>
      <c r="KOA8"/>
      <c r="KOB8"/>
      <c r="KOC8"/>
      <c r="KOD8"/>
      <c r="KOE8"/>
      <c r="KOF8"/>
      <c r="KOG8"/>
      <c r="KOH8"/>
      <c r="KOI8"/>
      <c r="KOJ8"/>
      <c r="KOK8"/>
      <c r="KOL8"/>
      <c r="KOM8"/>
      <c r="KON8"/>
      <c r="KOO8"/>
      <c r="KOP8"/>
      <c r="KOQ8"/>
      <c r="KOR8"/>
      <c r="KOS8"/>
      <c r="KOT8"/>
      <c r="KOU8"/>
      <c r="KOV8"/>
      <c r="KOW8"/>
      <c r="KOX8"/>
      <c r="KOY8"/>
      <c r="KOZ8"/>
      <c r="KPA8"/>
      <c r="KPB8"/>
      <c r="KPC8"/>
      <c r="KPD8"/>
      <c r="KPE8"/>
      <c r="KPF8"/>
      <c r="KPG8"/>
      <c r="KPH8"/>
      <c r="KPI8"/>
      <c r="KPJ8"/>
      <c r="KPK8"/>
      <c r="KPL8"/>
      <c r="KPM8"/>
      <c r="KPN8"/>
      <c r="KPO8"/>
      <c r="KPP8"/>
      <c r="KPQ8"/>
      <c r="KPR8"/>
      <c r="KPS8"/>
      <c r="KPT8"/>
      <c r="KPU8"/>
      <c r="KPV8"/>
      <c r="KPW8"/>
      <c r="KPX8"/>
      <c r="KPY8"/>
      <c r="KPZ8"/>
      <c r="KQA8"/>
      <c r="KQB8"/>
      <c r="KQC8"/>
      <c r="KQD8"/>
      <c r="KQE8"/>
      <c r="KQF8"/>
      <c r="KQG8"/>
      <c r="KQH8"/>
      <c r="KQI8"/>
      <c r="KQJ8"/>
      <c r="KQK8"/>
      <c r="KQL8"/>
      <c r="KQM8"/>
      <c r="KQN8"/>
      <c r="KQO8"/>
      <c r="KQP8"/>
      <c r="KQQ8"/>
      <c r="KQR8"/>
      <c r="KQS8"/>
      <c r="KQT8"/>
      <c r="KQU8"/>
      <c r="KQV8"/>
      <c r="KQW8"/>
      <c r="KQX8"/>
      <c r="KQY8"/>
      <c r="KQZ8"/>
      <c r="KRA8"/>
      <c r="KRB8"/>
      <c r="KRC8"/>
      <c r="KRD8"/>
      <c r="KRE8"/>
      <c r="KRF8"/>
      <c r="KRG8"/>
      <c r="KRH8"/>
      <c r="KRI8"/>
      <c r="KRJ8"/>
      <c r="KRK8"/>
      <c r="KRL8"/>
      <c r="KRM8"/>
      <c r="KRN8"/>
      <c r="KRO8"/>
      <c r="KRP8"/>
      <c r="KRQ8"/>
      <c r="KRR8"/>
      <c r="KRS8"/>
      <c r="KRT8"/>
      <c r="KRU8"/>
      <c r="KRV8"/>
      <c r="KRW8"/>
      <c r="KRX8"/>
      <c r="KRY8"/>
      <c r="KRZ8"/>
      <c r="KSA8"/>
      <c r="KSB8"/>
      <c r="KSC8"/>
      <c r="KSD8"/>
      <c r="KSE8"/>
      <c r="KSF8"/>
      <c r="KSG8"/>
      <c r="KSH8"/>
      <c r="KSI8"/>
      <c r="KSJ8"/>
      <c r="KSK8"/>
      <c r="KSL8"/>
      <c r="KSM8"/>
      <c r="KSN8"/>
      <c r="KSO8"/>
      <c r="KSP8"/>
      <c r="KSQ8"/>
      <c r="KSR8"/>
      <c r="KSS8"/>
      <c r="KST8"/>
      <c r="KSU8"/>
      <c r="KSV8"/>
      <c r="KSW8"/>
      <c r="KSX8"/>
      <c r="KSY8"/>
      <c r="KSZ8"/>
      <c r="KTA8"/>
      <c r="KTB8"/>
      <c r="KTC8"/>
      <c r="KTD8"/>
      <c r="KTE8"/>
      <c r="KTF8"/>
      <c r="KTG8"/>
      <c r="KTH8"/>
      <c r="KTI8"/>
      <c r="KTJ8"/>
      <c r="KTK8"/>
      <c r="KTL8"/>
      <c r="KTM8"/>
      <c r="KTN8"/>
      <c r="KTO8"/>
      <c r="KTP8"/>
      <c r="KTQ8"/>
      <c r="KTR8"/>
      <c r="KTS8"/>
      <c r="KTT8"/>
      <c r="KTU8"/>
      <c r="KTV8"/>
      <c r="KTW8"/>
      <c r="KTX8"/>
      <c r="KTY8"/>
      <c r="KTZ8"/>
      <c r="KUA8"/>
      <c r="KUB8"/>
      <c r="KUC8"/>
      <c r="KUD8"/>
      <c r="KUE8"/>
      <c r="KUF8"/>
      <c r="KUG8"/>
      <c r="KUH8"/>
      <c r="KUI8"/>
      <c r="KUJ8"/>
      <c r="KUK8"/>
      <c r="KUL8"/>
      <c r="KUM8"/>
      <c r="KUN8"/>
      <c r="KUO8"/>
      <c r="KUP8"/>
      <c r="KUQ8"/>
      <c r="KUR8"/>
      <c r="KUS8"/>
      <c r="KUT8"/>
      <c r="KUU8"/>
      <c r="KUV8"/>
      <c r="KUW8"/>
      <c r="KUX8"/>
      <c r="KUY8"/>
      <c r="KUZ8"/>
      <c r="KVA8"/>
      <c r="KVB8"/>
      <c r="KVC8"/>
      <c r="KVD8"/>
      <c r="KVE8"/>
      <c r="KVF8"/>
      <c r="KVG8"/>
      <c r="KVH8"/>
      <c r="KVI8"/>
      <c r="KVJ8"/>
      <c r="KVK8"/>
      <c r="KVL8"/>
      <c r="KVM8"/>
      <c r="KVN8"/>
      <c r="KVO8"/>
      <c r="KVP8"/>
      <c r="KVQ8"/>
      <c r="KVR8"/>
      <c r="KVS8"/>
      <c r="KVT8"/>
      <c r="KVU8"/>
      <c r="KVV8"/>
      <c r="KVW8"/>
      <c r="KVX8"/>
      <c r="KVY8"/>
      <c r="KVZ8"/>
      <c r="KWA8"/>
      <c r="KWB8"/>
      <c r="KWC8"/>
      <c r="KWD8"/>
      <c r="KWE8"/>
      <c r="KWF8"/>
      <c r="KWG8"/>
      <c r="KWH8"/>
      <c r="KWI8"/>
      <c r="KWJ8"/>
      <c r="KWK8"/>
      <c r="KWL8"/>
      <c r="KWM8"/>
      <c r="KWN8"/>
      <c r="KWO8"/>
      <c r="KWP8"/>
      <c r="KWQ8"/>
      <c r="KWR8"/>
      <c r="KWS8"/>
      <c r="KWT8"/>
      <c r="KWU8"/>
      <c r="KWV8"/>
      <c r="KWW8"/>
      <c r="KWX8"/>
      <c r="KWY8"/>
      <c r="KWZ8"/>
      <c r="KXA8"/>
      <c r="KXB8"/>
      <c r="KXC8"/>
      <c r="KXD8"/>
      <c r="KXE8"/>
      <c r="KXF8"/>
      <c r="KXG8"/>
      <c r="KXH8"/>
      <c r="KXI8"/>
      <c r="KXJ8"/>
      <c r="KXK8"/>
      <c r="KXL8"/>
      <c r="KXM8"/>
      <c r="KXN8"/>
      <c r="KXO8"/>
      <c r="KXP8"/>
      <c r="KXQ8"/>
      <c r="KXR8"/>
      <c r="KXS8"/>
      <c r="KXT8"/>
      <c r="KXU8"/>
      <c r="KXV8"/>
      <c r="KXW8"/>
      <c r="KXX8"/>
      <c r="KXY8"/>
      <c r="KXZ8"/>
      <c r="KYA8"/>
      <c r="KYB8"/>
      <c r="KYC8"/>
      <c r="KYD8"/>
      <c r="KYE8"/>
      <c r="KYF8"/>
      <c r="KYG8"/>
      <c r="KYH8"/>
      <c r="KYI8"/>
      <c r="KYJ8"/>
      <c r="KYK8"/>
      <c r="KYL8"/>
      <c r="KYM8"/>
      <c r="KYN8"/>
      <c r="KYO8"/>
      <c r="KYP8"/>
      <c r="KYQ8"/>
      <c r="KYR8"/>
      <c r="KYS8"/>
      <c r="KYT8"/>
      <c r="KYU8"/>
      <c r="KYV8"/>
      <c r="KYW8"/>
      <c r="KYX8"/>
      <c r="KYY8"/>
      <c r="KYZ8"/>
      <c r="KZA8"/>
      <c r="KZB8"/>
      <c r="KZC8"/>
      <c r="KZD8"/>
      <c r="KZE8"/>
      <c r="KZF8"/>
      <c r="KZG8"/>
      <c r="KZH8"/>
      <c r="KZI8"/>
      <c r="KZJ8"/>
      <c r="KZK8"/>
      <c r="KZL8"/>
      <c r="KZM8"/>
      <c r="KZN8"/>
      <c r="KZO8"/>
      <c r="KZP8"/>
      <c r="KZQ8"/>
      <c r="KZR8"/>
      <c r="KZS8"/>
      <c r="KZT8"/>
      <c r="KZU8"/>
      <c r="KZV8"/>
      <c r="KZW8"/>
      <c r="KZX8"/>
      <c r="KZY8"/>
      <c r="KZZ8"/>
      <c r="LAA8"/>
      <c r="LAB8"/>
      <c r="LAC8"/>
      <c r="LAD8"/>
      <c r="LAE8"/>
      <c r="LAF8"/>
      <c r="LAG8"/>
      <c r="LAH8"/>
      <c r="LAI8"/>
      <c r="LAJ8"/>
      <c r="LAK8"/>
      <c r="LAL8"/>
      <c r="LAM8"/>
      <c r="LAN8"/>
      <c r="LAO8"/>
      <c r="LAP8"/>
      <c r="LAQ8"/>
      <c r="LAR8"/>
      <c r="LAS8"/>
      <c r="LAT8"/>
      <c r="LAU8"/>
      <c r="LAV8"/>
      <c r="LAW8"/>
      <c r="LAX8"/>
      <c r="LAY8"/>
      <c r="LAZ8"/>
      <c r="LBA8"/>
      <c r="LBB8"/>
      <c r="LBC8"/>
      <c r="LBD8"/>
      <c r="LBE8"/>
      <c r="LBF8"/>
      <c r="LBG8"/>
      <c r="LBH8"/>
      <c r="LBI8"/>
      <c r="LBJ8"/>
      <c r="LBK8"/>
      <c r="LBL8"/>
      <c r="LBM8"/>
      <c r="LBN8"/>
      <c r="LBO8"/>
      <c r="LBP8"/>
      <c r="LBQ8"/>
      <c r="LBR8"/>
      <c r="LBS8"/>
      <c r="LBT8"/>
      <c r="LBU8"/>
      <c r="LBV8"/>
      <c r="LBW8"/>
      <c r="LBX8"/>
      <c r="LBY8"/>
      <c r="LBZ8"/>
      <c r="LCA8"/>
      <c r="LCB8"/>
      <c r="LCC8"/>
      <c r="LCD8"/>
      <c r="LCE8"/>
      <c r="LCF8"/>
      <c r="LCG8"/>
      <c r="LCH8"/>
      <c r="LCI8"/>
      <c r="LCJ8"/>
      <c r="LCK8"/>
      <c r="LCL8"/>
      <c r="LCM8"/>
      <c r="LCN8"/>
      <c r="LCO8"/>
      <c r="LCP8"/>
      <c r="LCQ8"/>
      <c r="LCR8"/>
      <c r="LCS8"/>
      <c r="LCT8"/>
      <c r="LCU8"/>
      <c r="LCV8"/>
      <c r="LCW8"/>
      <c r="LCX8"/>
      <c r="LCY8"/>
      <c r="LCZ8"/>
      <c r="LDA8"/>
      <c r="LDB8"/>
      <c r="LDC8"/>
      <c r="LDD8"/>
      <c r="LDE8"/>
      <c r="LDF8"/>
      <c r="LDG8"/>
      <c r="LDH8"/>
      <c r="LDI8"/>
      <c r="LDJ8"/>
      <c r="LDK8"/>
      <c r="LDL8"/>
      <c r="LDM8"/>
      <c r="LDN8"/>
      <c r="LDO8"/>
      <c r="LDP8"/>
      <c r="LDQ8"/>
      <c r="LDR8"/>
      <c r="LDS8"/>
      <c r="LDT8"/>
      <c r="LDU8"/>
      <c r="LDV8"/>
      <c r="LDW8"/>
      <c r="LDX8"/>
      <c r="LDY8"/>
      <c r="LDZ8"/>
      <c r="LEA8"/>
      <c r="LEB8"/>
      <c r="LEC8"/>
      <c r="LED8"/>
      <c r="LEE8"/>
      <c r="LEF8"/>
      <c r="LEG8"/>
      <c r="LEH8"/>
      <c r="LEI8"/>
      <c r="LEJ8"/>
      <c r="LEK8"/>
      <c r="LEL8"/>
      <c r="LEM8"/>
      <c r="LEN8"/>
      <c r="LEO8"/>
      <c r="LEP8"/>
      <c r="LEQ8"/>
      <c r="LER8"/>
      <c r="LES8"/>
      <c r="LET8"/>
      <c r="LEU8"/>
      <c r="LEV8"/>
      <c r="LEW8"/>
      <c r="LEX8"/>
      <c r="LEY8"/>
      <c r="LEZ8"/>
      <c r="LFA8"/>
      <c r="LFB8"/>
      <c r="LFC8"/>
      <c r="LFD8"/>
      <c r="LFE8"/>
      <c r="LFF8"/>
      <c r="LFG8"/>
      <c r="LFH8"/>
      <c r="LFI8"/>
      <c r="LFJ8"/>
      <c r="LFK8"/>
      <c r="LFL8"/>
      <c r="LFM8"/>
      <c r="LFN8"/>
      <c r="LFO8"/>
      <c r="LFP8"/>
      <c r="LFQ8"/>
      <c r="LFR8"/>
      <c r="LFS8"/>
      <c r="LFT8"/>
      <c r="LFU8"/>
      <c r="LFV8"/>
      <c r="LFW8"/>
      <c r="LFX8"/>
      <c r="LFY8"/>
      <c r="LFZ8"/>
      <c r="LGA8"/>
      <c r="LGB8"/>
      <c r="LGC8"/>
      <c r="LGD8"/>
      <c r="LGE8"/>
      <c r="LGF8"/>
      <c r="LGG8"/>
      <c r="LGH8"/>
      <c r="LGI8"/>
      <c r="LGJ8"/>
      <c r="LGK8"/>
      <c r="LGL8"/>
      <c r="LGM8"/>
      <c r="LGN8"/>
      <c r="LGO8"/>
      <c r="LGP8"/>
      <c r="LGQ8"/>
      <c r="LGR8"/>
      <c r="LGS8"/>
      <c r="LGT8"/>
      <c r="LGU8"/>
      <c r="LGV8"/>
      <c r="LGW8"/>
      <c r="LGX8"/>
      <c r="LGY8"/>
      <c r="LGZ8"/>
      <c r="LHA8"/>
      <c r="LHB8"/>
      <c r="LHC8"/>
      <c r="LHD8"/>
      <c r="LHE8"/>
      <c r="LHF8"/>
      <c r="LHG8"/>
      <c r="LHH8"/>
      <c r="LHI8"/>
      <c r="LHJ8"/>
      <c r="LHK8"/>
      <c r="LHL8"/>
      <c r="LHM8"/>
      <c r="LHN8"/>
      <c r="LHO8"/>
      <c r="LHP8"/>
      <c r="LHQ8"/>
      <c r="LHR8"/>
      <c r="LHS8"/>
      <c r="LHT8"/>
      <c r="LHU8"/>
      <c r="LHV8"/>
      <c r="LHW8"/>
      <c r="LHX8"/>
      <c r="LHY8"/>
      <c r="LHZ8"/>
      <c r="LIA8"/>
      <c r="LIB8"/>
      <c r="LIC8"/>
      <c r="LID8"/>
      <c r="LIE8"/>
      <c r="LIF8"/>
      <c r="LIG8"/>
      <c r="LIH8"/>
      <c r="LII8"/>
      <c r="LIJ8"/>
      <c r="LIK8"/>
      <c r="LIL8"/>
      <c r="LIM8"/>
      <c r="LIN8"/>
      <c r="LIO8"/>
      <c r="LIP8"/>
      <c r="LIQ8"/>
      <c r="LIR8"/>
      <c r="LIS8"/>
      <c r="LIT8"/>
      <c r="LIU8"/>
      <c r="LIV8"/>
      <c r="LIW8"/>
      <c r="LIX8"/>
      <c r="LIY8"/>
      <c r="LIZ8"/>
      <c r="LJA8"/>
      <c r="LJB8"/>
      <c r="LJC8"/>
      <c r="LJD8"/>
      <c r="LJE8"/>
      <c r="LJF8"/>
      <c r="LJG8"/>
      <c r="LJH8"/>
      <c r="LJI8"/>
      <c r="LJJ8"/>
      <c r="LJK8"/>
      <c r="LJL8"/>
      <c r="LJM8"/>
      <c r="LJN8"/>
      <c r="LJO8"/>
      <c r="LJP8"/>
      <c r="LJQ8"/>
      <c r="LJR8"/>
      <c r="LJS8"/>
      <c r="LJT8"/>
      <c r="LJU8"/>
      <c r="LJV8"/>
      <c r="LJW8"/>
      <c r="LJX8"/>
      <c r="LJY8"/>
      <c r="LJZ8"/>
      <c r="LKA8"/>
      <c r="LKB8"/>
      <c r="LKC8"/>
      <c r="LKD8"/>
      <c r="LKE8"/>
      <c r="LKF8"/>
      <c r="LKG8"/>
      <c r="LKH8"/>
      <c r="LKI8"/>
      <c r="LKJ8"/>
      <c r="LKK8"/>
      <c r="LKL8"/>
      <c r="LKM8"/>
      <c r="LKN8"/>
      <c r="LKO8"/>
      <c r="LKP8"/>
      <c r="LKQ8"/>
      <c r="LKR8"/>
      <c r="LKS8"/>
      <c r="LKT8"/>
      <c r="LKU8"/>
      <c r="LKV8"/>
      <c r="LKW8"/>
      <c r="LKX8"/>
      <c r="LKY8"/>
      <c r="LKZ8"/>
      <c r="LLA8"/>
      <c r="LLB8"/>
      <c r="LLC8"/>
      <c r="LLD8"/>
      <c r="LLE8"/>
      <c r="LLF8"/>
      <c r="LLG8"/>
      <c r="LLH8"/>
      <c r="LLI8"/>
      <c r="LLJ8"/>
      <c r="LLK8"/>
      <c r="LLL8"/>
      <c r="LLM8"/>
      <c r="LLN8"/>
      <c r="LLO8"/>
      <c r="LLP8"/>
      <c r="LLQ8"/>
      <c r="LLR8"/>
      <c r="LLS8"/>
      <c r="LLT8"/>
      <c r="LLU8"/>
      <c r="LLV8"/>
      <c r="LLW8"/>
      <c r="LLX8"/>
      <c r="LLY8"/>
      <c r="LLZ8"/>
      <c r="LMA8"/>
      <c r="LMB8"/>
      <c r="LMC8"/>
      <c r="LMD8"/>
      <c r="LME8"/>
      <c r="LMF8"/>
      <c r="LMG8"/>
      <c r="LMH8"/>
      <c r="LMI8"/>
      <c r="LMJ8"/>
      <c r="LMK8"/>
      <c r="LML8"/>
      <c r="LMM8"/>
      <c r="LMN8"/>
      <c r="LMO8"/>
      <c r="LMP8"/>
      <c r="LMQ8"/>
      <c r="LMR8"/>
      <c r="LMS8"/>
      <c r="LMT8"/>
      <c r="LMU8"/>
      <c r="LMV8"/>
      <c r="LMW8"/>
      <c r="LMX8"/>
      <c r="LMY8"/>
      <c r="LMZ8"/>
      <c r="LNA8"/>
      <c r="LNB8"/>
      <c r="LNC8"/>
      <c r="LND8"/>
      <c r="LNE8"/>
      <c r="LNF8"/>
      <c r="LNG8"/>
      <c r="LNH8"/>
      <c r="LNI8"/>
      <c r="LNJ8"/>
      <c r="LNK8"/>
      <c r="LNL8"/>
      <c r="LNM8"/>
      <c r="LNN8"/>
      <c r="LNO8"/>
      <c r="LNP8"/>
      <c r="LNQ8"/>
      <c r="LNR8"/>
      <c r="LNS8"/>
      <c r="LNT8"/>
      <c r="LNU8"/>
      <c r="LNV8"/>
      <c r="LNW8"/>
      <c r="LNX8"/>
      <c r="LNY8"/>
      <c r="LNZ8"/>
      <c r="LOA8"/>
      <c r="LOB8"/>
      <c r="LOC8"/>
      <c r="LOD8"/>
      <c r="LOE8"/>
      <c r="LOF8"/>
      <c r="LOG8"/>
      <c r="LOH8"/>
      <c r="LOI8"/>
      <c r="LOJ8"/>
      <c r="LOK8"/>
      <c r="LOL8"/>
      <c r="LOM8"/>
      <c r="LON8"/>
      <c r="LOO8"/>
      <c r="LOP8"/>
      <c r="LOQ8"/>
      <c r="LOR8"/>
      <c r="LOS8"/>
      <c r="LOT8"/>
      <c r="LOU8"/>
      <c r="LOV8"/>
      <c r="LOW8"/>
      <c r="LOX8"/>
      <c r="LOY8"/>
      <c r="LOZ8"/>
      <c r="LPA8"/>
      <c r="LPB8"/>
      <c r="LPC8"/>
      <c r="LPD8"/>
      <c r="LPE8"/>
      <c r="LPF8"/>
      <c r="LPG8"/>
      <c r="LPH8"/>
      <c r="LPI8"/>
      <c r="LPJ8"/>
      <c r="LPK8"/>
      <c r="LPL8"/>
      <c r="LPM8"/>
      <c r="LPN8"/>
      <c r="LPO8"/>
      <c r="LPP8"/>
      <c r="LPQ8"/>
      <c r="LPR8"/>
      <c r="LPS8"/>
      <c r="LPT8"/>
      <c r="LPU8"/>
      <c r="LPV8"/>
      <c r="LPW8"/>
      <c r="LPX8"/>
      <c r="LPY8"/>
      <c r="LPZ8"/>
      <c r="LQA8"/>
      <c r="LQB8"/>
      <c r="LQC8"/>
      <c r="LQD8"/>
      <c r="LQE8"/>
      <c r="LQF8"/>
      <c r="LQG8"/>
      <c r="LQH8"/>
      <c r="LQI8"/>
      <c r="LQJ8"/>
      <c r="LQK8"/>
      <c r="LQL8"/>
      <c r="LQM8"/>
      <c r="LQN8"/>
      <c r="LQO8"/>
      <c r="LQP8"/>
      <c r="LQQ8"/>
      <c r="LQR8"/>
      <c r="LQS8"/>
      <c r="LQT8"/>
      <c r="LQU8"/>
      <c r="LQV8"/>
      <c r="LQW8"/>
      <c r="LQX8"/>
      <c r="LQY8"/>
      <c r="LQZ8"/>
      <c r="LRA8"/>
      <c r="LRB8"/>
      <c r="LRC8"/>
      <c r="LRD8"/>
      <c r="LRE8"/>
      <c r="LRF8"/>
      <c r="LRG8"/>
      <c r="LRH8"/>
      <c r="LRI8"/>
      <c r="LRJ8"/>
      <c r="LRK8"/>
      <c r="LRL8"/>
      <c r="LRM8"/>
      <c r="LRN8"/>
      <c r="LRO8"/>
      <c r="LRP8"/>
      <c r="LRQ8"/>
      <c r="LRR8"/>
      <c r="LRS8"/>
      <c r="LRT8"/>
      <c r="LRU8"/>
      <c r="LRV8"/>
      <c r="LRW8"/>
      <c r="LRX8"/>
      <c r="LRY8"/>
      <c r="LRZ8"/>
      <c r="LSA8"/>
      <c r="LSB8"/>
      <c r="LSC8"/>
      <c r="LSD8"/>
      <c r="LSE8"/>
      <c r="LSF8"/>
      <c r="LSG8"/>
      <c r="LSH8"/>
      <c r="LSI8"/>
      <c r="LSJ8"/>
      <c r="LSK8"/>
      <c r="LSL8"/>
      <c r="LSM8"/>
      <c r="LSN8"/>
      <c r="LSO8"/>
      <c r="LSP8"/>
      <c r="LSQ8"/>
      <c r="LSR8"/>
      <c r="LSS8"/>
      <c r="LST8"/>
      <c r="LSU8"/>
      <c r="LSV8"/>
      <c r="LSW8"/>
      <c r="LSX8"/>
      <c r="LSY8"/>
      <c r="LSZ8"/>
      <c r="LTA8"/>
      <c r="LTB8"/>
      <c r="LTC8"/>
      <c r="LTD8"/>
      <c r="LTE8"/>
      <c r="LTF8"/>
      <c r="LTG8"/>
      <c r="LTH8"/>
      <c r="LTI8"/>
      <c r="LTJ8"/>
      <c r="LTK8"/>
      <c r="LTL8"/>
      <c r="LTM8"/>
      <c r="LTN8"/>
      <c r="LTO8"/>
      <c r="LTP8"/>
      <c r="LTQ8"/>
      <c r="LTR8"/>
      <c r="LTS8"/>
      <c r="LTT8"/>
      <c r="LTU8"/>
      <c r="LTV8"/>
      <c r="LTW8"/>
      <c r="LTX8"/>
      <c r="LTY8"/>
      <c r="LTZ8"/>
      <c r="LUA8"/>
      <c r="LUB8"/>
      <c r="LUC8"/>
      <c r="LUD8"/>
      <c r="LUE8"/>
      <c r="LUF8"/>
      <c r="LUG8"/>
      <c r="LUH8"/>
      <c r="LUI8"/>
      <c r="LUJ8"/>
      <c r="LUK8"/>
      <c r="LUL8"/>
      <c r="LUM8"/>
      <c r="LUN8"/>
      <c r="LUO8"/>
      <c r="LUP8"/>
      <c r="LUQ8"/>
      <c r="LUR8"/>
      <c r="LUS8"/>
      <c r="LUT8"/>
      <c r="LUU8"/>
      <c r="LUV8"/>
      <c r="LUW8"/>
      <c r="LUX8"/>
      <c r="LUY8"/>
      <c r="LUZ8"/>
      <c r="LVA8"/>
      <c r="LVB8"/>
      <c r="LVC8"/>
      <c r="LVD8"/>
      <c r="LVE8"/>
      <c r="LVF8"/>
      <c r="LVG8"/>
      <c r="LVH8"/>
      <c r="LVI8"/>
      <c r="LVJ8"/>
      <c r="LVK8"/>
      <c r="LVL8"/>
      <c r="LVM8"/>
      <c r="LVN8"/>
      <c r="LVO8"/>
      <c r="LVP8"/>
      <c r="LVQ8"/>
      <c r="LVR8"/>
      <c r="LVS8"/>
      <c r="LVT8"/>
      <c r="LVU8"/>
      <c r="LVV8"/>
      <c r="LVW8"/>
      <c r="LVX8"/>
      <c r="LVY8"/>
      <c r="LVZ8"/>
      <c r="LWA8"/>
      <c r="LWB8"/>
      <c r="LWC8"/>
      <c r="LWD8"/>
      <c r="LWE8"/>
      <c r="LWF8"/>
      <c r="LWG8"/>
      <c r="LWH8"/>
      <c r="LWI8"/>
      <c r="LWJ8"/>
      <c r="LWK8"/>
      <c r="LWL8"/>
      <c r="LWM8"/>
      <c r="LWN8"/>
      <c r="LWO8"/>
      <c r="LWP8"/>
      <c r="LWQ8"/>
      <c r="LWR8"/>
      <c r="LWS8"/>
      <c r="LWT8"/>
      <c r="LWU8"/>
      <c r="LWV8"/>
      <c r="LWW8"/>
      <c r="LWX8"/>
      <c r="LWY8"/>
      <c r="LWZ8"/>
      <c r="LXA8"/>
      <c r="LXB8"/>
      <c r="LXC8"/>
      <c r="LXD8"/>
      <c r="LXE8"/>
      <c r="LXF8"/>
      <c r="LXG8"/>
      <c r="LXH8"/>
      <c r="LXI8"/>
      <c r="LXJ8"/>
      <c r="LXK8"/>
      <c r="LXL8"/>
      <c r="LXM8"/>
      <c r="LXN8"/>
      <c r="LXO8"/>
      <c r="LXP8"/>
      <c r="LXQ8"/>
      <c r="LXR8"/>
      <c r="LXS8"/>
      <c r="LXT8"/>
      <c r="LXU8"/>
      <c r="LXV8"/>
      <c r="LXW8"/>
      <c r="LXX8"/>
      <c r="LXY8"/>
      <c r="LXZ8"/>
      <c r="LYA8"/>
      <c r="LYB8"/>
      <c r="LYC8"/>
      <c r="LYD8"/>
      <c r="LYE8"/>
      <c r="LYF8"/>
      <c r="LYG8"/>
      <c r="LYH8"/>
      <c r="LYI8"/>
      <c r="LYJ8"/>
      <c r="LYK8"/>
      <c r="LYL8"/>
      <c r="LYM8"/>
      <c r="LYN8"/>
      <c r="LYO8"/>
      <c r="LYP8"/>
      <c r="LYQ8"/>
      <c r="LYR8"/>
      <c r="LYS8"/>
      <c r="LYT8"/>
      <c r="LYU8"/>
      <c r="LYV8"/>
      <c r="LYW8"/>
      <c r="LYX8"/>
      <c r="LYY8"/>
      <c r="LYZ8"/>
      <c r="LZA8"/>
      <c r="LZB8"/>
      <c r="LZC8"/>
      <c r="LZD8"/>
      <c r="LZE8"/>
      <c r="LZF8"/>
      <c r="LZG8"/>
      <c r="LZH8"/>
      <c r="LZI8"/>
      <c r="LZJ8"/>
      <c r="LZK8"/>
      <c r="LZL8"/>
      <c r="LZM8"/>
      <c r="LZN8"/>
      <c r="LZO8"/>
      <c r="LZP8"/>
      <c r="LZQ8"/>
      <c r="LZR8"/>
      <c r="LZS8"/>
      <c r="LZT8"/>
      <c r="LZU8"/>
      <c r="LZV8"/>
      <c r="LZW8"/>
      <c r="LZX8"/>
      <c r="LZY8"/>
      <c r="LZZ8"/>
      <c r="MAA8"/>
      <c r="MAB8"/>
      <c r="MAC8"/>
      <c r="MAD8"/>
      <c r="MAE8"/>
      <c r="MAF8"/>
      <c r="MAG8"/>
      <c r="MAH8"/>
      <c r="MAI8"/>
      <c r="MAJ8"/>
      <c r="MAK8"/>
      <c r="MAL8"/>
      <c r="MAM8"/>
      <c r="MAN8"/>
      <c r="MAO8"/>
      <c r="MAP8"/>
      <c r="MAQ8"/>
      <c r="MAR8"/>
      <c r="MAS8"/>
      <c r="MAT8"/>
      <c r="MAU8"/>
      <c r="MAV8"/>
      <c r="MAW8"/>
      <c r="MAX8"/>
      <c r="MAY8"/>
      <c r="MAZ8"/>
      <c r="MBA8"/>
      <c r="MBB8"/>
      <c r="MBC8"/>
      <c r="MBD8"/>
      <c r="MBE8"/>
      <c r="MBF8"/>
      <c r="MBG8"/>
      <c r="MBH8"/>
      <c r="MBI8"/>
      <c r="MBJ8"/>
      <c r="MBK8"/>
      <c r="MBL8"/>
      <c r="MBM8"/>
      <c r="MBN8"/>
      <c r="MBO8"/>
      <c r="MBP8"/>
      <c r="MBQ8"/>
      <c r="MBR8"/>
      <c r="MBS8"/>
      <c r="MBT8"/>
      <c r="MBU8"/>
      <c r="MBV8"/>
      <c r="MBW8"/>
      <c r="MBX8"/>
      <c r="MBY8"/>
      <c r="MBZ8"/>
      <c r="MCA8"/>
      <c r="MCB8"/>
      <c r="MCC8"/>
      <c r="MCD8"/>
      <c r="MCE8"/>
      <c r="MCF8"/>
      <c r="MCG8"/>
      <c r="MCH8"/>
      <c r="MCI8"/>
      <c r="MCJ8"/>
      <c r="MCK8"/>
      <c r="MCL8"/>
      <c r="MCM8"/>
      <c r="MCN8"/>
      <c r="MCO8"/>
      <c r="MCP8"/>
      <c r="MCQ8"/>
      <c r="MCR8"/>
      <c r="MCS8"/>
      <c r="MCT8"/>
      <c r="MCU8"/>
      <c r="MCV8"/>
      <c r="MCW8"/>
      <c r="MCX8"/>
      <c r="MCY8"/>
      <c r="MCZ8"/>
      <c r="MDA8"/>
      <c r="MDB8"/>
      <c r="MDC8"/>
      <c r="MDD8"/>
      <c r="MDE8"/>
      <c r="MDF8"/>
      <c r="MDG8"/>
      <c r="MDH8"/>
      <c r="MDI8"/>
      <c r="MDJ8"/>
      <c r="MDK8"/>
      <c r="MDL8"/>
      <c r="MDM8"/>
      <c r="MDN8"/>
      <c r="MDO8"/>
      <c r="MDP8"/>
      <c r="MDQ8"/>
      <c r="MDR8"/>
      <c r="MDS8"/>
      <c r="MDT8"/>
      <c r="MDU8"/>
      <c r="MDV8"/>
      <c r="MDW8"/>
      <c r="MDX8"/>
      <c r="MDY8"/>
      <c r="MDZ8"/>
      <c r="MEA8"/>
      <c r="MEB8"/>
      <c r="MEC8"/>
      <c r="MED8"/>
      <c r="MEE8"/>
      <c r="MEF8"/>
      <c r="MEG8"/>
      <c r="MEH8"/>
      <c r="MEI8"/>
      <c r="MEJ8"/>
      <c r="MEK8"/>
      <c r="MEL8"/>
      <c r="MEM8"/>
      <c r="MEN8"/>
      <c r="MEO8"/>
      <c r="MEP8"/>
      <c r="MEQ8"/>
      <c r="MER8"/>
      <c r="MES8"/>
      <c r="MET8"/>
      <c r="MEU8"/>
      <c r="MEV8"/>
      <c r="MEW8"/>
      <c r="MEX8"/>
      <c r="MEY8"/>
      <c r="MEZ8"/>
      <c r="MFA8"/>
      <c r="MFB8"/>
      <c r="MFC8"/>
      <c r="MFD8"/>
      <c r="MFE8"/>
      <c r="MFF8"/>
      <c r="MFG8"/>
      <c r="MFH8"/>
      <c r="MFI8"/>
      <c r="MFJ8"/>
      <c r="MFK8"/>
      <c r="MFL8"/>
      <c r="MFM8"/>
      <c r="MFN8"/>
      <c r="MFO8"/>
      <c r="MFP8"/>
      <c r="MFQ8"/>
      <c r="MFR8"/>
      <c r="MFS8"/>
      <c r="MFT8"/>
      <c r="MFU8"/>
      <c r="MFV8"/>
      <c r="MFW8"/>
      <c r="MFX8"/>
      <c r="MFY8"/>
      <c r="MFZ8"/>
      <c r="MGA8"/>
      <c r="MGB8"/>
      <c r="MGC8"/>
      <c r="MGD8"/>
      <c r="MGE8"/>
      <c r="MGF8"/>
      <c r="MGG8"/>
      <c r="MGH8"/>
      <c r="MGI8"/>
      <c r="MGJ8"/>
      <c r="MGK8"/>
      <c r="MGL8"/>
      <c r="MGM8"/>
      <c r="MGN8"/>
      <c r="MGO8"/>
      <c r="MGP8"/>
      <c r="MGQ8"/>
      <c r="MGR8"/>
      <c r="MGS8"/>
      <c r="MGT8"/>
      <c r="MGU8"/>
      <c r="MGV8"/>
      <c r="MGW8"/>
      <c r="MGX8"/>
      <c r="MGY8"/>
      <c r="MGZ8"/>
      <c r="MHA8"/>
      <c r="MHB8"/>
      <c r="MHC8"/>
      <c r="MHD8"/>
      <c r="MHE8"/>
      <c r="MHF8"/>
      <c r="MHG8"/>
      <c r="MHH8"/>
      <c r="MHI8"/>
      <c r="MHJ8"/>
      <c r="MHK8"/>
      <c r="MHL8"/>
      <c r="MHM8"/>
      <c r="MHN8"/>
      <c r="MHO8"/>
      <c r="MHP8"/>
      <c r="MHQ8"/>
      <c r="MHR8"/>
      <c r="MHS8"/>
      <c r="MHT8"/>
      <c r="MHU8"/>
      <c r="MHV8"/>
      <c r="MHW8"/>
      <c r="MHX8"/>
      <c r="MHY8"/>
      <c r="MHZ8"/>
      <c r="MIA8"/>
      <c r="MIB8"/>
      <c r="MIC8"/>
      <c r="MID8"/>
      <c r="MIE8"/>
      <c r="MIF8"/>
      <c r="MIG8"/>
      <c r="MIH8"/>
      <c r="MII8"/>
      <c r="MIJ8"/>
      <c r="MIK8"/>
      <c r="MIL8"/>
      <c r="MIM8"/>
      <c r="MIN8"/>
      <c r="MIO8"/>
      <c r="MIP8"/>
      <c r="MIQ8"/>
      <c r="MIR8"/>
      <c r="MIS8"/>
      <c r="MIT8"/>
      <c r="MIU8"/>
      <c r="MIV8"/>
      <c r="MIW8"/>
      <c r="MIX8"/>
      <c r="MIY8"/>
      <c r="MIZ8"/>
      <c r="MJA8"/>
      <c r="MJB8"/>
      <c r="MJC8"/>
      <c r="MJD8"/>
      <c r="MJE8"/>
      <c r="MJF8"/>
      <c r="MJG8"/>
      <c r="MJH8"/>
      <c r="MJI8"/>
      <c r="MJJ8"/>
      <c r="MJK8"/>
      <c r="MJL8"/>
      <c r="MJM8"/>
      <c r="MJN8"/>
      <c r="MJO8"/>
      <c r="MJP8"/>
      <c r="MJQ8"/>
      <c r="MJR8"/>
      <c r="MJS8"/>
      <c r="MJT8"/>
      <c r="MJU8"/>
      <c r="MJV8"/>
      <c r="MJW8"/>
      <c r="MJX8"/>
      <c r="MJY8"/>
      <c r="MJZ8"/>
      <c r="MKA8"/>
      <c r="MKB8"/>
      <c r="MKC8"/>
      <c r="MKD8"/>
      <c r="MKE8"/>
      <c r="MKF8"/>
      <c r="MKG8"/>
      <c r="MKH8"/>
      <c r="MKI8"/>
      <c r="MKJ8"/>
      <c r="MKK8"/>
      <c r="MKL8"/>
      <c r="MKM8"/>
      <c r="MKN8"/>
      <c r="MKO8"/>
      <c r="MKP8"/>
      <c r="MKQ8"/>
      <c r="MKR8"/>
      <c r="MKS8"/>
      <c r="MKT8"/>
      <c r="MKU8"/>
      <c r="MKV8"/>
      <c r="MKW8"/>
      <c r="MKX8"/>
      <c r="MKY8"/>
      <c r="MKZ8"/>
      <c r="MLA8"/>
      <c r="MLB8"/>
      <c r="MLC8"/>
      <c r="MLD8"/>
      <c r="MLE8"/>
      <c r="MLF8"/>
      <c r="MLG8"/>
      <c r="MLH8"/>
      <c r="MLI8"/>
      <c r="MLJ8"/>
      <c r="MLK8"/>
      <c r="MLL8"/>
      <c r="MLM8"/>
      <c r="MLN8"/>
      <c r="MLO8"/>
      <c r="MLP8"/>
      <c r="MLQ8"/>
      <c r="MLR8"/>
      <c r="MLS8"/>
      <c r="MLT8"/>
      <c r="MLU8"/>
      <c r="MLV8"/>
      <c r="MLW8"/>
      <c r="MLX8"/>
      <c r="MLY8"/>
      <c r="MLZ8"/>
      <c r="MMA8"/>
      <c r="MMB8"/>
      <c r="MMC8"/>
      <c r="MMD8"/>
      <c r="MME8"/>
      <c r="MMF8"/>
      <c r="MMG8"/>
      <c r="MMH8"/>
      <c r="MMI8"/>
      <c r="MMJ8"/>
      <c r="MMK8"/>
      <c r="MML8"/>
      <c r="MMM8"/>
      <c r="MMN8"/>
      <c r="MMO8"/>
      <c r="MMP8"/>
      <c r="MMQ8"/>
      <c r="MMR8"/>
      <c r="MMS8"/>
      <c r="MMT8"/>
      <c r="MMU8"/>
      <c r="MMV8"/>
      <c r="MMW8"/>
      <c r="MMX8"/>
      <c r="MMY8"/>
      <c r="MMZ8"/>
      <c r="MNA8"/>
      <c r="MNB8"/>
      <c r="MNC8"/>
      <c r="MND8"/>
      <c r="MNE8"/>
      <c r="MNF8"/>
      <c r="MNG8"/>
      <c r="MNH8"/>
      <c r="MNI8"/>
      <c r="MNJ8"/>
      <c r="MNK8"/>
      <c r="MNL8"/>
      <c r="MNM8"/>
      <c r="MNN8"/>
      <c r="MNO8"/>
      <c r="MNP8"/>
      <c r="MNQ8"/>
      <c r="MNR8"/>
      <c r="MNS8"/>
      <c r="MNT8"/>
      <c r="MNU8"/>
      <c r="MNV8"/>
      <c r="MNW8"/>
      <c r="MNX8"/>
      <c r="MNY8"/>
      <c r="MNZ8"/>
      <c r="MOA8"/>
      <c r="MOB8"/>
      <c r="MOC8"/>
      <c r="MOD8"/>
      <c r="MOE8"/>
      <c r="MOF8"/>
      <c r="MOG8"/>
      <c r="MOH8"/>
      <c r="MOI8"/>
      <c r="MOJ8"/>
      <c r="MOK8"/>
      <c r="MOL8"/>
      <c r="MOM8"/>
      <c r="MON8"/>
      <c r="MOO8"/>
      <c r="MOP8"/>
      <c r="MOQ8"/>
      <c r="MOR8"/>
      <c r="MOS8"/>
      <c r="MOT8"/>
      <c r="MOU8"/>
      <c r="MOV8"/>
      <c r="MOW8"/>
      <c r="MOX8"/>
      <c r="MOY8"/>
      <c r="MOZ8"/>
      <c r="MPA8"/>
      <c r="MPB8"/>
      <c r="MPC8"/>
      <c r="MPD8"/>
      <c r="MPE8"/>
      <c r="MPF8"/>
      <c r="MPG8"/>
      <c r="MPH8"/>
      <c r="MPI8"/>
      <c r="MPJ8"/>
      <c r="MPK8"/>
      <c r="MPL8"/>
      <c r="MPM8"/>
      <c r="MPN8"/>
      <c r="MPO8"/>
      <c r="MPP8"/>
      <c r="MPQ8"/>
      <c r="MPR8"/>
      <c r="MPS8"/>
      <c r="MPT8"/>
      <c r="MPU8"/>
      <c r="MPV8"/>
      <c r="MPW8"/>
      <c r="MPX8"/>
      <c r="MPY8"/>
      <c r="MPZ8"/>
      <c r="MQA8"/>
      <c r="MQB8"/>
      <c r="MQC8"/>
      <c r="MQD8"/>
      <c r="MQE8"/>
      <c r="MQF8"/>
      <c r="MQG8"/>
      <c r="MQH8"/>
      <c r="MQI8"/>
      <c r="MQJ8"/>
      <c r="MQK8"/>
      <c r="MQL8"/>
      <c r="MQM8"/>
      <c r="MQN8"/>
      <c r="MQO8"/>
      <c r="MQP8"/>
      <c r="MQQ8"/>
      <c r="MQR8"/>
      <c r="MQS8"/>
      <c r="MQT8"/>
      <c r="MQU8"/>
      <c r="MQV8"/>
      <c r="MQW8"/>
      <c r="MQX8"/>
      <c r="MQY8"/>
      <c r="MQZ8"/>
      <c r="MRA8"/>
      <c r="MRB8"/>
      <c r="MRC8"/>
      <c r="MRD8"/>
      <c r="MRE8"/>
      <c r="MRF8"/>
      <c r="MRG8"/>
      <c r="MRH8"/>
      <c r="MRI8"/>
      <c r="MRJ8"/>
      <c r="MRK8"/>
      <c r="MRL8"/>
      <c r="MRM8"/>
      <c r="MRN8"/>
      <c r="MRO8"/>
      <c r="MRP8"/>
      <c r="MRQ8"/>
      <c r="MRR8"/>
      <c r="MRS8"/>
      <c r="MRT8"/>
      <c r="MRU8"/>
      <c r="MRV8"/>
      <c r="MRW8"/>
      <c r="MRX8"/>
      <c r="MRY8"/>
      <c r="MRZ8"/>
      <c r="MSA8"/>
      <c r="MSB8"/>
      <c r="MSC8"/>
      <c r="MSD8"/>
      <c r="MSE8"/>
      <c r="MSF8"/>
      <c r="MSG8"/>
      <c r="MSH8"/>
      <c r="MSI8"/>
      <c r="MSJ8"/>
      <c r="MSK8"/>
      <c r="MSL8"/>
      <c r="MSM8"/>
      <c r="MSN8"/>
      <c r="MSO8"/>
      <c r="MSP8"/>
      <c r="MSQ8"/>
      <c r="MSR8"/>
      <c r="MSS8"/>
      <c r="MST8"/>
      <c r="MSU8"/>
      <c r="MSV8"/>
      <c r="MSW8"/>
      <c r="MSX8"/>
      <c r="MSY8"/>
      <c r="MSZ8"/>
      <c r="MTA8"/>
      <c r="MTB8"/>
      <c r="MTC8"/>
      <c r="MTD8"/>
      <c r="MTE8"/>
      <c r="MTF8"/>
      <c r="MTG8"/>
      <c r="MTH8"/>
      <c r="MTI8"/>
      <c r="MTJ8"/>
      <c r="MTK8"/>
      <c r="MTL8"/>
      <c r="MTM8"/>
      <c r="MTN8"/>
      <c r="MTO8"/>
      <c r="MTP8"/>
      <c r="MTQ8"/>
      <c r="MTR8"/>
      <c r="MTS8"/>
      <c r="MTT8"/>
      <c r="MTU8"/>
      <c r="MTV8"/>
      <c r="MTW8"/>
      <c r="MTX8"/>
      <c r="MTY8"/>
      <c r="MTZ8"/>
      <c r="MUA8"/>
      <c r="MUB8"/>
      <c r="MUC8"/>
      <c r="MUD8"/>
      <c r="MUE8"/>
      <c r="MUF8"/>
      <c r="MUG8"/>
      <c r="MUH8"/>
      <c r="MUI8"/>
      <c r="MUJ8"/>
      <c r="MUK8"/>
      <c r="MUL8"/>
      <c r="MUM8"/>
      <c r="MUN8"/>
      <c r="MUO8"/>
      <c r="MUP8"/>
      <c r="MUQ8"/>
      <c r="MUR8"/>
      <c r="MUS8"/>
      <c r="MUT8"/>
      <c r="MUU8"/>
      <c r="MUV8"/>
      <c r="MUW8"/>
      <c r="MUX8"/>
      <c r="MUY8"/>
      <c r="MUZ8"/>
      <c r="MVA8"/>
      <c r="MVB8"/>
      <c r="MVC8"/>
      <c r="MVD8"/>
      <c r="MVE8"/>
      <c r="MVF8"/>
      <c r="MVG8"/>
      <c r="MVH8"/>
      <c r="MVI8"/>
      <c r="MVJ8"/>
      <c r="MVK8"/>
      <c r="MVL8"/>
      <c r="MVM8"/>
      <c r="MVN8"/>
      <c r="MVO8"/>
      <c r="MVP8"/>
      <c r="MVQ8"/>
      <c r="MVR8"/>
      <c r="MVS8"/>
      <c r="MVT8"/>
      <c r="MVU8"/>
      <c r="MVV8"/>
      <c r="MVW8"/>
      <c r="MVX8"/>
      <c r="MVY8"/>
      <c r="MVZ8"/>
      <c r="MWA8"/>
      <c r="MWB8"/>
      <c r="MWC8"/>
      <c r="MWD8"/>
      <c r="MWE8"/>
      <c r="MWF8"/>
      <c r="MWG8"/>
      <c r="MWH8"/>
      <c r="MWI8"/>
      <c r="MWJ8"/>
      <c r="MWK8"/>
      <c r="MWL8"/>
      <c r="MWM8"/>
      <c r="MWN8"/>
      <c r="MWO8"/>
      <c r="MWP8"/>
      <c r="MWQ8"/>
      <c r="MWR8"/>
      <c r="MWS8"/>
      <c r="MWT8"/>
      <c r="MWU8"/>
      <c r="MWV8"/>
      <c r="MWW8"/>
      <c r="MWX8"/>
      <c r="MWY8"/>
      <c r="MWZ8"/>
      <c r="MXA8"/>
      <c r="MXB8"/>
      <c r="MXC8"/>
      <c r="MXD8"/>
      <c r="MXE8"/>
      <c r="MXF8"/>
      <c r="MXG8"/>
      <c r="MXH8"/>
      <c r="MXI8"/>
      <c r="MXJ8"/>
      <c r="MXK8"/>
      <c r="MXL8"/>
      <c r="MXM8"/>
      <c r="MXN8"/>
      <c r="MXO8"/>
      <c r="MXP8"/>
      <c r="MXQ8"/>
      <c r="MXR8"/>
      <c r="MXS8"/>
      <c r="MXT8"/>
      <c r="MXU8"/>
      <c r="MXV8"/>
      <c r="MXW8"/>
      <c r="MXX8"/>
      <c r="MXY8"/>
      <c r="MXZ8"/>
      <c r="MYA8"/>
      <c r="MYB8"/>
      <c r="MYC8"/>
      <c r="MYD8"/>
      <c r="MYE8"/>
      <c r="MYF8"/>
      <c r="MYG8"/>
      <c r="MYH8"/>
      <c r="MYI8"/>
      <c r="MYJ8"/>
      <c r="MYK8"/>
      <c r="MYL8"/>
      <c r="MYM8"/>
      <c r="MYN8"/>
      <c r="MYO8"/>
      <c r="MYP8"/>
      <c r="MYQ8"/>
      <c r="MYR8"/>
      <c r="MYS8"/>
      <c r="MYT8"/>
      <c r="MYU8"/>
      <c r="MYV8"/>
      <c r="MYW8"/>
      <c r="MYX8"/>
      <c r="MYY8"/>
      <c r="MYZ8"/>
      <c r="MZA8"/>
      <c r="MZB8"/>
      <c r="MZC8"/>
      <c r="MZD8"/>
      <c r="MZE8"/>
      <c r="MZF8"/>
      <c r="MZG8"/>
      <c r="MZH8"/>
      <c r="MZI8"/>
      <c r="MZJ8"/>
      <c r="MZK8"/>
      <c r="MZL8"/>
      <c r="MZM8"/>
      <c r="MZN8"/>
      <c r="MZO8"/>
      <c r="MZP8"/>
      <c r="MZQ8"/>
      <c r="MZR8"/>
      <c r="MZS8"/>
      <c r="MZT8"/>
      <c r="MZU8"/>
      <c r="MZV8"/>
      <c r="MZW8"/>
      <c r="MZX8"/>
      <c r="MZY8"/>
      <c r="MZZ8"/>
      <c r="NAA8"/>
      <c r="NAB8"/>
      <c r="NAC8"/>
      <c r="NAD8"/>
      <c r="NAE8"/>
      <c r="NAF8"/>
      <c r="NAG8"/>
      <c r="NAH8"/>
      <c r="NAI8"/>
      <c r="NAJ8"/>
      <c r="NAK8"/>
      <c r="NAL8"/>
      <c r="NAM8"/>
      <c r="NAN8"/>
      <c r="NAO8"/>
      <c r="NAP8"/>
      <c r="NAQ8"/>
      <c r="NAR8"/>
      <c r="NAS8"/>
      <c r="NAT8"/>
      <c r="NAU8"/>
      <c r="NAV8"/>
      <c r="NAW8"/>
      <c r="NAX8"/>
      <c r="NAY8"/>
      <c r="NAZ8"/>
      <c r="NBA8"/>
      <c r="NBB8"/>
      <c r="NBC8"/>
      <c r="NBD8"/>
      <c r="NBE8"/>
      <c r="NBF8"/>
      <c r="NBG8"/>
      <c r="NBH8"/>
      <c r="NBI8"/>
      <c r="NBJ8"/>
      <c r="NBK8"/>
      <c r="NBL8"/>
      <c r="NBM8"/>
      <c r="NBN8"/>
      <c r="NBO8"/>
      <c r="NBP8"/>
      <c r="NBQ8"/>
      <c r="NBR8"/>
      <c r="NBS8"/>
      <c r="NBT8"/>
      <c r="NBU8"/>
      <c r="NBV8"/>
      <c r="NBW8"/>
      <c r="NBX8"/>
      <c r="NBY8"/>
      <c r="NBZ8"/>
      <c r="NCA8"/>
      <c r="NCB8"/>
      <c r="NCC8"/>
      <c r="NCD8"/>
      <c r="NCE8"/>
      <c r="NCF8"/>
      <c r="NCG8"/>
      <c r="NCH8"/>
      <c r="NCI8"/>
      <c r="NCJ8"/>
      <c r="NCK8"/>
      <c r="NCL8"/>
      <c r="NCM8"/>
      <c r="NCN8"/>
      <c r="NCO8"/>
      <c r="NCP8"/>
      <c r="NCQ8"/>
      <c r="NCR8"/>
      <c r="NCS8"/>
      <c r="NCT8"/>
      <c r="NCU8"/>
      <c r="NCV8"/>
      <c r="NCW8"/>
      <c r="NCX8"/>
      <c r="NCY8"/>
      <c r="NCZ8"/>
      <c r="NDA8"/>
      <c r="NDB8"/>
      <c r="NDC8"/>
      <c r="NDD8"/>
      <c r="NDE8"/>
      <c r="NDF8"/>
      <c r="NDG8"/>
      <c r="NDH8"/>
      <c r="NDI8"/>
      <c r="NDJ8"/>
      <c r="NDK8"/>
      <c r="NDL8"/>
      <c r="NDM8"/>
      <c r="NDN8"/>
      <c r="NDO8"/>
      <c r="NDP8"/>
      <c r="NDQ8"/>
      <c r="NDR8"/>
      <c r="NDS8"/>
      <c r="NDT8"/>
      <c r="NDU8"/>
      <c r="NDV8"/>
      <c r="NDW8"/>
      <c r="NDX8"/>
      <c r="NDY8"/>
      <c r="NDZ8"/>
      <c r="NEA8"/>
      <c r="NEB8"/>
      <c r="NEC8"/>
      <c r="NED8"/>
      <c r="NEE8"/>
      <c r="NEF8"/>
      <c r="NEG8"/>
      <c r="NEH8"/>
      <c r="NEI8"/>
      <c r="NEJ8"/>
      <c r="NEK8"/>
      <c r="NEL8"/>
      <c r="NEM8"/>
      <c r="NEN8"/>
      <c r="NEO8"/>
      <c r="NEP8"/>
      <c r="NEQ8"/>
      <c r="NER8"/>
      <c r="NES8"/>
      <c r="NET8"/>
      <c r="NEU8"/>
      <c r="NEV8"/>
      <c r="NEW8"/>
      <c r="NEX8"/>
      <c r="NEY8"/>
      <c r="NEZ8"/>
      <c r="NFA8"/>
      <c r="NFB8"/>
      <c r="NFC8"/>
      <c r="NFD8"/>
      <c r="NFE8"/>
      <c r="NFF8"/>
      <c r="NFG8"/>
      <c r="NFH8"/>
      <c r="NFI8"/>
      <c r="NFJ8"/>
      <c r="NFK8"/>
      <c r="NFL8"/>
      <c r="NFM8"/>
      <c r="NFN8"/>
      <c r="NFO8"/>
      <c r="NFP8"/>
      <c r="NFQ8"/>
      <c r="NFR8"/>
      <c r="NFS8"/>
      <c r="NFT8"/>
      <c r="NFU8"/>
      <c r="NFV8"/>
      <c r="NFW8"/>
      <c r="NFX8"/>
      <c r="NFY8"/>
      <c r="NFZ8"/>
      <c r="NGA8"/>
      <c r="NGB8"/>
      <c r="NGC8"/>
      <c r="NGD8"/>
      <c r="NGE8"/>
      <c r="NGF8"/>
      <c r="NGG8"/>
      <c r="NGH8"/>
      <c r="NGI8"/>
      <c r="NGJ8"/>
      <c r="NGK8"/>
      <c r="NGL8"/>
      <c r="NGM8"/>
      <c r="NGN8"/>
      <c r="NGO8"/>
      <c r="NGP8"/>
      <c r="NGQ8"/>
      <c r="NGR8"/>
      <c r="NGS8"/>
      <c r="NGT8"/>
      <c r="NGU8"/>
      <c r="NGV8"/>
      <c r="NGW8"/>
      <c r="NGX8"/>
      <c r="NGY8"/>
      <c r="NGZ8"/>
      <c r="NHA8"/>
      <c r="NHB8"/>
      <c r="NHC8"/>
      <c r="NHD8"/>
      <c r="NHE8"/>
      <c r="NHF8"/>
      <c r="NHG8"/>
      <c r="NHH8"/>
      <c r="NHI8"/>
      <c r="NHJ8"/>
      <c r="NHK8"/>
      <c r="NHL8"/>
      <c r="NHM8"/>
      <c r="NHN8"/>
      <c r="NHO8"/>
      <c r="NHP8"/>
      <c r="NHQ8"/>
      <c r="NHR8"/>
      <c r="NHS8"/>
      <c r="NHT8"/>
      <c r="NHU8"/>
      <c r="NHV8"/>
      <c r="NHW8"/>
      <c r="NHX8"/>
      <c r="NHY8"/>
      <c r="NHZ8"/>
      <c r="NIA8"/>
      <c r="NIB8"/>
      <c r="NIC8"/>
      <c r="NID8"/>
      <c r="NIE8"/>
      <c r="NIF8"/>
      <c r="NIG8"/>
      <c r="NIH8"/>
      <c r="NII8"/>
      <c r="NIJ8"/>
      <c r="NIK8"/>
      <c r="NIL8"/>
      <c r="NIM8"/>
      <c r="NIN8"/>
      <c r="NIO8"/>
      <c r="NIP8"/>
      <c r="NIQ8"/>
      <c r="NIR8"/>
      <c r="NIS8"/>
      <c r="NIT8"/>
      <c r="NIU8"/>
      <c r="NIV8"/>
      <c r="NIW8"/>
      <c r="NIX8"/>
      <c r="NIY8"/>
      <c r="NIZ8"/>
      <c r="NJA8"/>
      <c r="NJB8"/>
      <c r="NJC8"/>
      <c r="NJD8"/>
      <c r="NJE8"/>
      <c r="NJF8"/>
      <c r="NJG8"/>
      <c r="NJH8"/>
      <c r="NJI8"/>
      <c r="NJJ8"/>
      <c r="NJK8"/>
      <c r="NJL8"/>
      <c r="NJM8"/>
      <c r="NJN8"/>
      <c r="NJO8"/>
      <c r="NJP8"/>
      <c r="NJQ8"/>
      <c r="NJR8"/>
      <c r="NJS8"/>
      <c r="NJT8"/>
      <c r="NJU8"/>
      <c r="NJV8"/>
      <c r="NJW8"/>
      <c r="NJX8"/>
      <c r="NJY8"/>
      <c r="NJZ8"/>
      <c r="NKA8"/>
      <c r="NKB8"/>
      <c r="NKC8"/>
      <c r="NKD8"/>
      <c r="NKE8"/>
      <c r="NKF8"/>
      <c r="NKG8"/>
      <c r="NKH8"/>
      <c r="NKI8"/>
      <c r="NKJ8"/>
      <c r="NKK8"/>
      <c r="NKL8"/>
      <c r="NKM8"/>
      <c r="NKN8"/>
      <c r="NKO8"/>
      <c r="NKP8"/>
      <c r="NKQ8"/>
      <c r="NKR8"/>
      <c r="NKS8"/>
      <c r="NKT8"/>
      <c r="NKU8"/>
      <c r="NKV8"/>
      <c r="NKW8"/>
      <c r="NKX8"/>
      <c r="NKY8"/>
      <c r="NKZ8"/>
      <c r="NLA8"/>
      <c r="NLB8"/>
      <c r="NLC8"/>
      <c r="NLD8"/>
      <c r="NLE8"/>
      <c r="NLF8"/>
      <c r="NLG8"/>
      <c r="NLH8"/>
      <c r="NLI8"/>
      <c r="NLJ8"/>
      <c r="NLK8"/>
      <c r="NLL8"/>
      <c r="NLM8"/>
      <c r="NLN8"/>
      <c r="NLO8"/>
      <c r="NLP8"/>
      <c r="NLQ8"/>
      <c r="NLR8"/>
      <c r="NLS8"/>
      <c r="NLT8"/>
      <c r="NLU8"/>
      <c r="NLV8"/>
      <c r="NLW8"/>
      <c r="NLX8"/>
      <c r="NLY8"/>
      <c r="NLZ8"/>
      <c r="NMA8"/>
      <c r="NMB8"/>
      <c r="NMC8"/>
      <c r="NMD8"/>
      <c r="NME8"/>
      <c r="NMF8"/>
      <c r="NMG8"/>
      <c r="NMH8"/>
      <c r="NMI8"/>
      <c r="NMJ8"/>
      <c r="NMK8"/>
      <c r="NML8"/>
      <c r="NMM8"/>
      <c r="NMN8"/>
      <c r="NMO8"/>
      <c r="NMP8"/>
      <c r="NMQ8"/>
      <c r="NMR8"/>
      <c r="NMS8"/>
      <c r="NMT8"/>
      <c r="NMU8"/>
      <c r="NMV8"/>
      <c r="NMW8"/>
      <c r="NMX8"/>
      <c r="NMY8"/>
      <c r="NMZ8"/>
      <c r="NNA8"/>
      <c r="NNB8"/>
      <c r="NNC8"/>
      <c r="NND8"/>
      <c r="NNE8"/>
      <c r="NNF8"/>
      <c r="NNG8"/>
      <c r="NNH8"/>
      <c r="NNI8"/>
      <c r="NNJ8"/>
      <c r="NNK8"/>
      <c r="NNL8"/>
      <c r="NNM8"/>
      <c r="NNN8"/>
      <c r="NNO8"/>
      <c r="NNP8"/>
      <c r="NNQ8"/>
      <c r="NNR8"/>
      <c r="NNS8"/>
      <c r="NNT8"/>
      <c r="NNU8"/>
      <c r="NNV8"/>
      <c r="NNW8"/>
      <c r="NNX8"/>
      <c r="NNY8"/>
      <c r="NNZ8"/>
      <c r="NOA8"/>
      <c r="NOB8"/>
      <c r="NOC8"/>
      <c r="NOD8"/>
      <c r="NOE8"/>
      <c r="NOF8"/>
      <c r="NOG8"/>
      <c r="NOH8"/>
      <c r="NOI8"/>
      <c r="NOJ8"/>
      <c r="NOK8"/>
      <c r="NOL8"/>
      <c r="NOM8"/>
      <c r="NON8"/>
      <c r="NOO8"/>
      <c r="NOP8"/>
      <c r="NOQ8"/>
      <c r="NOR8"/>
      <c r="NOS8"/>
      <c r="NOT8"/>
      <c r="NOU8"/>
      <c r="NOV8"/>
      <c r="NOW8"/>
      <c r="NOX8"/>
      <c r="NOY8"/>
      <c r="NOZ8"/>
      <c r="NPA8"/>
      <c r="NPB8"/>
      <c r="NPC8"/>
      <c r="NPD8"/>
      <c r="NPE8"/>
      <c r="NPF8"/>
      <c r="NPG8"/>
      <c r="NPH8"/>
      <c r="NPI8"/>
      <c r="NPJ8"/>
      <c r="NPK8"/>
      <c r="NPL8"/>
      <c r="NPM8"/>
      <c r="NPN8"/>
      <c r="NPO8"/>
      <c r="NPP8"/>
      <c r="NPQ8"/>
      <c r="NPR8"/>
      <c r="NPS8"/>
      <c r="NPT8"/>
      <c r="NPU8"/>
      <c r="NPV8"/>
      <c r="NPW8"/>
      <c r="NPX8"/>
      <c r="NPY8"/>
      <c r="NPZ8"/>
      <c r="NQA8"/>
      <c r="NQB8"/>
      <c r="NQC8"/>
      <c r="NQD8"/>
      <c r="NQE8"/>
      <c r="NQF8"/>
      <c r="NQG8"/>
      <c r="NQH8"/>
      <c r="NQI8"/>
      <c r="NQJ8"/>
      <c r="NQK8"/>
      <c r="NQL8"/>
      <c r="NQM8"/>
      <c r="NQN8"/>
      <c r="NQO8"/>
      <c r="NQP8"/>
      <c r="NQQ8"/>
      <c r="NQR8"/>
      <c r="NQS8"/>
      <c r="NQT8"/>
      <c r="NQU8"/>
      <c r="NQV8"/>
      <c r="NQW8"/>
      <c r="NQX8"/>
      <c r="NQY8"/>
      <c r="NQZ8"/>
      <c r="NRA8"/>
      <c r="NRB8"/>
      <c r="NRC8"/>
      <c r="NRD8"/>
      <c r="NRE8"/>
      <c r="NRF8"/>
      <c r="NRG8"/>
      <c r="NRH8"/>
      <c r="NRI8"/>
      <c r="NRJ8"/>
      <c r="NRK8"/>
      <c r="NRL8"/>
      <c r="NRM8"/>
      <c r="NRN8"/>
      <c r="NRO8"/>
      <c r="NRP8"/>
      <c r="NRQ8"/>
      <c r="NRR8"/>
      <c r="NRS8"/>
      <c r="NRT8"/>
      <c r="NRU8"/>
      <c r="NRV8"/>
      <c r="NRW8"/>
      <c r="NRX8"/>
      <c r="NRY8"/>
      <c r="NRZ8"/>
      <c r="NSA8"/>
      <c r="NSB8"/>
      <c r="NSC8"/>
      <c r="NSD8"/>
      <c r="NSE8"/>
      <c r="NSF8"/>
      <c r="NSG8"/>
      <c r="NSH8"/>
      <c r="NSI8"/>
      <c r="NSJ8"/>
      <c r="NSK8"/>
      <c r="NSL8"/>
      <c r="NSM8"/>
      <c r="NSN8"/>
      <c r="NSO8"/>
      <c r="NSP8"/>
      <c r="NSQ8"/>
      <c r="NSR8"/>
      <c r="NSS8"/>
      <c r="NST8"/>
      <c r="NSU8"/>
      <c r="NSV8"/>
      <c r="NSW8"/>
      <c r="NSX8"/>
      <c r="NSY8"/>
      <c r="NSZ8"/>
      <c r="NTA8"/>
      <c r="NTB8"/>
      <c r="NTC8"/>
      <c r="NTD8"/>
      <c r="NTE8"/>
      <c r="NTF8"/>
      <c r="NTG8"/>
      <c r="NTH8"/>
      <c r="NTI8"/>
      <c r="NTJ8"/>
      <c r="NTK8"/>
      <c r="NTL8"/>
      <c r="NTM8"/>
      <c r="NTN8"/>
      <c r="NTO8"/>
      <c r="NTP8"/>
      <c r="NTQ8"/>
      <c r="NTR8"/>
      <c r="NTS8"/>
      <c r="NTT8"/>
      <c r="NTU8"/>
      <c r="NTV8"/>
      <c r="NTW8"/>
      <c r="NTX8"/>
      <c r="NTY8"/>
      <c r="NTZ8"/>
      <c r="NUA8"/>
      <c r="NUB8"/>
      <c r="NUC8"/>
      <c r="NUD8"/>
      <c r="NUE8"/>
      <c r="NUF8"/>
      <c r="NUG8"/>
      <c r="NUH8"/>
      <c r="NUI8"/>
      <c r="NUJ8"/>
      <c r="NUK8"/>
      <c r="NUL8"/>
      <c r="NUM8"/>
      <c r="NUN8"/>
      <c r="NUO8"/>
      <c r="NUP8"/>
      <c r="NUQ8"/>
      <c r="NUR8"/>
      <c r="NUS8"/>
      <c r="NUT8"/>
      <c r="NUU8"/>
      <c r="NUV8"/>
      <c r="NUW8"/>
      <c r="NUX8"/>
      <c r="NUY8"/>
      <c r="NUZ8"/>
      <c r="NVA8"/>
      <c r="NVB8"/>
      <c r="NVC8"/>
      <c r="NVD8"/>
      <c r="NVE8"/>
      <c r="NVF8"/>
      <c r="NVG8"/>
      <c r="NVH8"/>
      <c r="NVI8"/>
      <c r="NVJ8"/>
      <c r="NVK8"/>
      <c r="NVL8"/>
      <c r="NVM8"/>
      <c r="NVN8"/>
      <c r="NVO8"/>
      <c r="NVP8"/>
      <c r="NVQ8"/>
      <c r="NVR8"/>
      <c r="NVS8"/>
      <c r="NVT8"/>
      <c r="NVU8"/>
      <c r="NVV8"/>
      <c r="NVW8"/>
      <c r="NVX8"/>
      <c r="NVY8"/>
      <c r="NVZ8"/>
      <c r="NWA8"/>
      <c r="NWB8"/>
      <c r="NWC8"/>
      <c r="NWD8"/>
      <c r="NWE8"/>
      <c r="NWF8"/>
      <c r="NWG8"/>
      <c r="NWH8"/>
      <c r="NWI8"/>
      <c r="NWJ8"/>
      <c r="NWK8"/>
      <c r="NWL8"/>
      <c r="NWM8"/>
      <c r="NWN8"/>
      <c r="NWO8"/>
      <c r="NWP8"/>
      <c r="NWQ8"/>
      <c r="NWR8"/>
      <c r="NWS8"/>
      <c r="NWT8"/>
      <c r="NWU8"/>
      <c r="NWV8"/>
      <c r="NWW8"/>
      <c r="NWX8"/>
      <c r="NWY8"/>
      <c r="NWZ8"/>
      <c r="NXA8"/>
      <c r="NXB8"/>
      <c r="NXC8"/>
      <c r="NXD8"/>
      <c r="NXE8"/>
      <c r="NXF8"/>
      <c r="NXG8"/>
      <c r="NXH8"/>
      <c r="NXI8"/>
      <c r="NXJ8"/>
      <c r="NXK8"/>
      <c r="NXL8"/>
      <c r="NXM8"/>
      <c r="NXN8"/>
      <c r="NXO8"/>
      <c r="NXP8"/>
      <c r="NXQ8"/>
      <c r="NXR8"/>
      <c r="NXS8"/>
      <c r="NXT8"/>
      <c r="NXU8"/>
      <c r="NXV8"/>
      <c r="NXW8"/>
      <c r="NXX8"/>
      <c r="NXY8"/>
      <c r="NXZ8"/>
      <c r="NYA8"/>
      <c r="NYB8"/>
      <c r="NYC8"/>
      <c r="NYD8"/>
      <c r="NYE8"/>
      <c r="NYF8"/>
      <c r="NYG8"/>
      <c r="NYH8"/>
      <c r="NYI8"/>
      <c r="NYJ8"/>
      <c r="NYK8"/>
      <c r="NYL8"/>
      <c r="NYM8"/>
      <c r="NYN8"/>
      <c r="NYO8"/>
      <c r="NYP8"/>
      <c r="NYQ8"/>
      <c r="NYR8"/>
      <c r="NYS8"/>
      <c r="NYT8"/>
      <c r="NYU8"/>
      <c r="NYV8"/>
      <c r="NYW8"/>
      <c r="NYX8"/>
      <c r="NYY8"/>
      <c r="NYZ8"/>
      <c r="NZA8"/>
      <c r="NZB8"/>
      <c r="NZC8"/>
      <c r="NZD8"/>
      <c r="NZE8"/>
      <c r="NZF8"/>
      <c r="NZG8"/>
      <c r="NZH8"/>
      <c r="NZI8"/>
      <c r="NZJ8"/>
      <c r="NZK8"/>
      <c r="NZL8"/>
      <c r="NZM8"/>
      <c r="NZN8"/>
      <c r="NZO8"/>
      <c r="NZP8"/>
      <c r="NZQ8"/>
      <c r="NZR8"/>
      <c r="NZS8"/>
      <c r="NZT8"/>
      <c r="NZU8"/>
      <c r="NZV8"/>
      <c r="NZW8"/>
      <c r="NZX8"/>
      <c r="NZY8"/>
      <c r="NZZ8"/>
      <c r="OAA8"/>
      <c r="OAB8"/>
      <c r="OAC8"/>
      <c r="OAD8"/>
      <c r="OAE8"/>
      <c r="OAF8"/>
      <c r="OAG8"/>
      <c r="OAH8"/>
      <c r="OAI8"/>
      <c r="OAJ8"/>
      <c r="OAK8"/>
      <c r="OAL8"/>
      <c r="OAM8"/>
      <c r="OAN8"/>
      <c r="OAO8"/>
      <c r="OAP8"/>
      <c r="OAQ8"/>
      <c r="OAR8"/>
      <c r="OAS8"/>
      <c r="OAT8"/>
      <c r="OAU8"/>
      <c r="OAV8"/>
      <c r="OAW8"/>
      <c r="OAX8"/>
      <c r="OAY8"/>
      <c r="OAZ8"/>
      <c r="OBA8"/>
      <c r="OBB8"/>
      <c r="OBC8"/>
      <c r="OBD8"/>
      <c r="OBE8"/>
      <c r="OBF8"/>
      <c r="OBG8"/>
      <c r="OBH8"/>
      <c r="OBI8"/>
      <c r="OBJ8"/>
      <c r="OBK8"/>
      <c r="OBL8"/>
      <c r="OBM8"/>
      <c r="OBN8"/>
      <c r="OBO8"/>
      <c r="OBP8"/>
      <c r="OBQ8"/>
      <c r="OBR8"/>
      <c r="OBS8"/>
      <c r="OBT8"/>
      <c r="OBU8"/>
      <c r="OBV8"/>
      <c r="OBW8"/>
      <c r="OBX8"/>
      <c r="OBY8"/>
      <c r="OBZ8"/>
      <c r="OCA8"/>
      <c r="OCB8"/>
      <c r="OCC8"/>
      <c r="OCD8"/>
      <c r="OCE8"/>
      <c r="OCF8"/>
      <c r="OCG8"/>
      <c r="OCH8"/>
      <c r="OCI8"/>
      <c r="OCJ8"/>
      <c r="OCK8"/>
      <c r="OCL8"/>
      <c r="OCM8"/>
      <c r="OCN8"/>
      <c r="OCO8"/>
      <c r="OCP8"/>
      <c r="OCQ8"/>
      <c r="OCR8"/>
      <c r="OCS8"/>
      <c r="OCT8"/>
      <c r="OCU8"/>
      <c r="OCV8"/>
      <c r="OCW8"/>
      <c r="OCX8"/>
      <c r="OCY8"/>
      <c r="OCZ8"/>
      <c r="ODA8"/>
      <c r="ODB8"/>
      <c r="ODC8"/>
      <c r="ODD8"/>
      <c r="ODE8"/>
      <c r="ODF8"/>
      <c r="ODG8"/>
      <c r="ODH8"/>
      <c r="ODI8"/>
      <c r="ODJ8"/>
      <c r="ODK8"/>
      <c r="ODL8"/>
      <c r="ODM8"/>
      <c r="ODN8"/>
      <c r="ODO8"/>
      <c r="ODP8"/>
      <c r="ODQ8"/>
      <c r="ODR8"/>
      <c r="ODS8"/>
      <c r="ODT8"/>
      <c r="ODU8"/>
      <c r="ODV8"/>
      <c r="ODW8"/>
      <c r="ODX8"/>
      <c r="ODY8"/>
      <c r="ODZ8"/>
      <c r="OEA8"/>
      <c r="OEB8"/>
      <c r="OEC8"/>
      <c r="OED8"/>
      <c r="OEE8"/>
      <c r="OEF8"/>
      <c r="OEG8"/>
      <c r="OEH8"/>
      <c r="OEI8"/>
      <c r="OEJ8"/>
      <c r="OEK8"/>
      <c r="OEL8"/>
      <c r="OEM8"/>
      <c r="OEN8"/>
      <c r="OEO8"/>
      <c r="OEP8"/>
      <c r="OEQ8"/>
      <c r="OER8"/>
      <c r="OES8"/>
      <c r="OET8"/>
      <c r="OEU8"/>
      <c r="OEV8"/>
      <c r="OEW8"/>
      <c r="OEX8"/>
      <c r="OEY8"/>
      <c r="OEZ8"/>
      <c r="OFA8"/>
      <c r="OFB8"/>
      <c r="OFC8"/>
      <c r="OFD8"/>
      <c r="OFE8"/>
      <c r="OFF8"/>
      <c r="OFG8"/>
      <c r="OFH8"/>
      <c r="OFI8"/>
      <c r="OFJ8"/>
      <c r="OFK8"/>
      <c r="OFL8"/>
      <c r="OFM8"/>
      <c r="OFN8"/>
      <c r="OFO8"/>
      <c r="OFP8"/>
      <c r="OFQ8"/>
      <c r="OFR8"/>
      <c r="OFS8"/>
      <c r="OFT8"/>
      <c r="OFU8"/>
      <c r="OFV8"/>
      <c r="OFW8"/>
      <c r="OFX8"/>
      <c r="OFY8"/>
      <c r="OFZ8"/>
      <c r="OGA8"/>
      <c r="OGB8"/>
      <c r="OGC8"/>
      <c r="OGD8"/>
      <c r="OGE8"/>
      <c r="OGF8"/>
      <c r="OGG8"/>
      <c r="OGH8"/>
      <c r="OGI8"/>
      <c r="OGJ8"/>
      <c r="OGK8"/>
      <c r="OGL8"/>
      <c r="OGM8"/>
      <c r="OGN8"/>
      <c r="OGO8"/>
      <c r="OGP8"/>
      <c r="OGQ8"/>
      <c r="OGR8"/>
      <c r="OGS8"/>
      <c r="OGT8"/>
      <c r="OGU8"/>
      <c r="OGV8"/>
      <c r="OGW8"/>
      <c r="OGX8"/>
      <c r="OGY8"/>
      <c r="OGZ8"/>
      <c r="OHA8"/>
      <c r="OHB8"/>
      <c r="OHC8"/>
      <c r="OHD8"/>
      <c r="OHE8"/>
      <c r="OHF8"/>
      <c r="OHG8"/>
      <c r="OHH8"/>
      <c r="OHI8"/>
      <c r="OHJ8"/>
      <c r="OHK8"/>
      <c r="OHL8"/>
      <c r="OHM8"/>
      <c r="OHN8"/>
      <c r="OHO8"/>
      <c r="OHP8"/>
      <c r="OHQ8"/>
      <c r="OHR8"/>
      <c r="OHS8"/>
      <c r="OHT8"/>
      <c r="OHU8"/>
      <c r="OHV8"/>
      <c r="OHW8"/>
      <c r="OHX8"/>
      <c r="OHY8"/>
      <c r="OHZ8"/>
      <c r="OIA8"/>
      <c r="OIB8"/>
      <c r="OIC8"/>
      <c r="OID8"/>
      <c r="OIE8"/>
      <c r="OIF8"/>
      <c r="OIG8"/>
      <c r="OIH8"/>
      <c r="OII8"/>
      <c r="OIJ8"/>
      <c r="OIK8"/>
      <c r="OIL8"/>
      <c r="OIM8"/>
      <c r="OIN8"/>
      <c r="OIO8"/>
      <c r="OIP8"/>
      <c r="OIQ8"/>
      <c r="OIR8"/>
      <c r="OIS8"/>
      <c r="OIT8"/>
      <c r="OIU8"/>
      <c r="OIV8"/>
      <c r="OIW8"/>
      <c r="OIX8"/>
      <c r="OIY8"/>
      <c r="OIZ8"/>
      <c r="OJA8"/>
      <c r="OJB8"/>
      <c r="OJC8"/>
      <c r="OJD8"/>
      <c r="OJE8"/>
      <c r="OJF8"/>
      <c r="OJG8"/>
      <c r="OJH8"/>
      <c r="OJI8"/>
      <c r="OJJ8"/>
      <c r="OJK8"/>
      <c r="OJL8"/>
      <c r="OJM8"/>
      <c r="OJN8"/>
      <c r="OJO8"/>
      <c r="OJP8"/>
      <c r="OJQ8"/>
      <c r="OJR8"/>
      <c r="OJS8"/>
      <c r="OJT8"/>
      <c r="OJU8"/>
      <c r="OJV8"/>
      <c r="OJW8"/>
      <c r="OJX8"/>
      <c r="OJY8"/>
      <c r="OJZ8"/>
      <c r="OKA8"/>
      <c r="OKB8"/>
      <c r="OKC8"/>
      <c r="OKD8"/>
      <c r="OKE8"/>
      <c r="OKF8"/>
      <c r="OKG8"/>
      <c r="OKH8"/>
      <c r="OKI8"/>
      <c r="OKJ8"/>
      <c r="OKK8"/>
      <c r="OKL8"/>
      <c r="OKM8"/>
      <c r="OKN8"/>
      <c r="OKO8"/>
      <c r="OKP8"/>
      <c r="OKQ8"/>
      <c r="OKR8"/>
      <c r="OKS8"/>
      <c r="OKT8"/>
      <c r="OKU8"/>
      <c r="OKV8"/>
      <c r="OKW8"/>
      <c r="OKX8"/>
      <c r="OKY8"/>
      <c r="OKZ8"/>
      <c r="OLA8"/>
      <c r="OLB8"/>
      <c r="OLC8"/>
      <c r="OLD8"/>
      <c r="OLE8"/>
      <c r="OLF8"/>
      <c r="OLG8"/>
      <c r="OLH8"/>
      <c r="OLI8"/>
      <c r="OLJ8"/>
      <c r="OLK8"/>
      <c r="OLL8"/>
      <c r="OLM8"/>
      <c r="OLN8"/>
      <c r="OLO8"/>
      <c r="OLP8"/>
      <c r="OLQ8"/>
      <c r="OLR8"/>
      <c r="OLS8"/>
      <c r="OLT8"/>
      <c r="OLU8"/>
      <c r="OLV8"/>
      <c r="OLW8"/>
      <c r="OLX8"/>
      <c r="OLY8"/>
      <c r="OLZ8"/>
      <c r="OMA8"/>
      <c r="OMB8"/>
      <c r="OMC8"/>
      <c r="OMD8"/>
      <c r="OME8"/>
      <c r="OMF8"/>
      <c r="OMG8"/>
      <c r="OMH8"/>
      <c r="OMI8"/>
      <c r="OMJ8"/>
      <c r="OMK8"/>
      <c r="OML8"/>
      <c r="OMM8"/>
      <c r="OMN8"/>
      <c r="OMO8"/>
      <c r="OMP8"/>
      <c r="OMQ8"/>
      <c r="OMR8"/>
      <c r="OMS8"/>
      <c r="OMT8"/>
      <c r="OMU8"/>
      <c r="OMV8"/>
      <c r="OMW8"/>
      <c r="OMX8"/>
      <c r="OMY8"/>
      <c r="OMZ8"/>
      <c r="ONA8"/>
      <c r="ONB8"/>
      <c r="ONC8"/>
      <c r="OND8"/>
      <c r="ONE8"/>
      <c r="ONF8"/>
      <c r="ONG8"/>
      <c r="ONH8"/>
      <c r="ONI8"/>
      <c r="ONJ8"/>
      <c r="ONK8"/>
      <c r="ONL8"/>
      <c r="ONM8"/>
      <c r="ONN8"/>
      <c r="ONO8"/>
      <c r="ONP8"/>
      <c r="ONQ8"/>
      <c r="ONR8"/>
      <c r="ONS8"/>
      <c r="ONT8"/>
      <c r="ONU8"/>
      <c r="ONV8"/>
      <c r="ONW8"/>
      <c r="ONX8"/>
      <c r="ONY8"/>
      <c r="ONZ8"/>
      <c r="OOA8"/>
      <c r="OOB8"/>
      <c r="OOC8"/>
      <c r="OOD8"/>
      <c r="OOE8"/>
      <c r="OOF8"/>
      <c r="OOG8"/>
      <c r="OOH8"/>
      <c r="OOI8"/>
      <c r="OOJ8"/>
      <c r="OOK8"/>
      <c r="OOL8"/>
      <c r="OOM8"/>
      <c r="OON8"/>
      <c r="OOO8"/>
      <c r="OOP8"/>
      <c r="OOQ8"/>
      <c r="OOR8"/>
      <c r="OOS8"/>
      <c r="OOT8"/>
      <c r="OOU8"/>
      <c r="OOV8"/>
      <c r="OOW8"/>
      <c r="OOX8"/>
      <c r="OOY8"/>
      <c r="OOZ8"/>
      <c r="OPA8"/>
      <c r="OPB8"/>
      <c r="OPC8"/>
      <c r="OPD8"/>
      <c r="OPE8"/>
      <c r="OPF8"/>
      <c r="OPG8"/>
      <c r="OPH8"/>
      <c r="OPI8"/>
      <c r="OPJ8"/>
      <c r="OPK8"/>
      <c r="OPL8"/>
      <c r="OPM8"/>
      <c r="OPN8"/>
      <c r="OPO8"/>
      <c r="OPP8"/>
      <c r="OPQ8"/>
      <c r="OPR8"/>
      <c r="OPS8"/>
      <c r="OPT8"/>
      <c r="OPU8"/>
      <c r="OPV8"/>
      <c r="OPW8"/>
      <c r="OPX8"/>
      <c r="OPY8"/>
      <c r="OPZ8"/>
      <c r="OQA8"/>
      <c r="OQB8"/>
      <c r="OQC8"/>
      <c r="OQD8"/>
      <c r="OQE8"/>
      <c r="OQF8"/>
      <c r="OQG8"/>
      <c r="OQH8"/>
      <c r="OQI8"/>
      <c r="OQJ8"/>
      <c r="OQK8"/>
      <c r="OQL8"/>
      <c r="OQM8"/>
      <c r="OQN8"/>
      <c r="OQO8"/>
      <c r="OQP8"/>
      <c r="OQQ8"/>
      <c r="OQR8"/>
      <c r="OQS8"/>
      <c r="OQT8"/>
      <c r="OQU8"/>
      <c r="OQV8"/>
      <c r="OQW8"/>
      <c r="OQX8"/>
      <c r="OQY8"/>
      <c r="OQZ8"/>
      <c r="ORA8"/>
      <c r="ORB8"/>
      <c r="ORC8"/>
      <c r="ORD8"/>
      <c r="ORE8"/>
      <c r="ORF8"/>
      <c r="ORG8"/>
      <c r="ORH8"/>
      <c r="ORI8"/>
      <c r="ORJ8"/>
      <c r="ORK8"/>
      <c r="ORL8"/>
      <c r="ORM8"/>
      <c r="ORN8"/>
      <c r="ORO8"/>
      <c r="ORP8"/>
      <c r="ORQ8"/>
      <c r="ORR8"/>
      <c r="ORS8"/>
      <c r="ORT8"/>
      <c r="ORU8"/>
      <c r="ORV8"/>
      <c r="ORW8"/>
      <c r="ORX8"/>
      <c r="ORY8"/>
      <c r="ORZ8"/>
      <c r="OSA8"/>
      <c r="OSB8"/>
      <c r="OSC8"/>
      <c r="OSD8"/>
      <c r="OSE8"/>
      <c r="OSF8"/>
      <c r="OSG8"/>
      <c r="OSH8"/>
      <c r="OSI8"/>
      <c r="OSJ8"/>
      <c r="OSK8"/>
      <c r="OSL8"/>
      <c r="OSM8"/>
      <c r="OSN8"/>
      <c r="OSO8"/>
      <c r="OSP8"/>
      <c r="OSQ8"/>
      <c r="OSR8"/>
      <c r="OSS8"/>
      <c r="OST8"/>
      <c r="OSU8"/>
      <c r="OSV8"/>
      <c r="OSW8"/>
      <c r="OSX8"/>
      <c r="OSY8"/>
      <c r="OSZ8"/>
      <c r="OTA8"/>
      <c r="OTB8"/>
      <c r="OTC8"/>
      <c r="OTD8"/>
      <c r="OTE8"/>
      <c r="OTF8"/>
      <c r="OTG8"/>
      <c r="OTH8"/>
      <c r="OTI8"/>
      <c r="OTJ8"/>
      <c r="OTK8"/>
      <c r="OTL8"/>
      <c r="OTM8"/>
      <c r="OTN8"/>
      <c r="OTO8"/>
      <c r="OTP8"/>
      <c r="OTQ8"/>
      <c r="OTR8"/>
      <c r="OTS8"/>
      <c r="OTT8"/>
      <c r="OTU8"/>
      <c r="OTV8"/>
      <c r="OTW8"/>
      <c r="OTX8"/>
      <c r="OTY8"/>
      <c r="OTZ8"/>
      <c r="OUA8"/>
      <c r="OUB8"/>
      <c r="OUC8"/>
      <c r="OUD8"/>
      <c r="OUE8"/>
      <c r="OUF8"/>
      <c r="OUG8"/>
      <c r="OUH8"/>
      <c r="OUI8"/>
      <c r="OUJ8"/>
      <c r="OUK8"/>
      <c r="OUL8"/>
      <c r="OUM8"/>
      <c r="OUN8"/>
      <c r="OUO8"/>
      <c r="OUP8"/>
      <c r="OUQ8"/>
      <c r="OUR8"/>
      <c r="OUS8"/>
      <c r="OUT8"/>
      <c r="OUU8"/>
      <c r="OUV8"/>
      <c r="OUW8"/>
      <c r="OUX8"/>
      <c r="OUY8"/>
      <c r="OUZ8"/>
      <c r="OVA8"/>
      <c r="OVB8"/>
      <c r="OVC8"/>
      <c r="OVD8"/>
      <c r="OVE8"/>
      <c r="OVF8"/>
      <c r="OVG8"/>
      <c r="OVH8"/>
      <c r="OVI8"/>
      <c r="OVJ8"/>
      <c r="OVK8"/>
      <c r="OVL8"/>
      <c r="OVM8"/>
      <c r="OVN8"/>
      <c r="OVO8"/>
      <c r="OVP8"/>
      <c r="OVQ8"/>
      <c r="OVR8"/>
      <c r="OVS8"/>
      <c r="OVT8"/>
      <c r="OVU8"/>
      <c r="OVV8"/>
      <c r="OVW8"/>
      <c r="OVX8"/>
      <c r="OVY8"/>
      <c r="OVZ8"/>
      <c r="OWA8"/>
      <c r="OWB8"/>
      <c r="OWC8"/>
      <c r="OWD8"/>
      <c r="OWE8"/>
      <c r="OWF8"/>
      <c r="OWG8"/>
      <c r="OWH8"/>
      <c r="OWI8"/>
      <c r="OWJ8"/>
      <c r="OWK8"/>
      <c r="OWL8"/>
      <c r="OWM8"/>
      <c r="OWN8"/>
      <c r="OWO8"/>
      <c r="OWP8"/>
      <c r="OWQ8"/>
      <c r="OWR8"/>
      <c r="OWS8"/>
      <c r="OWT8"/>
      <c r="OWU8"/>
      <c r="OWV8"/>
      <c r="OWW8"/>
      <c r="OWX8"/>
      <c r="OWY8"/>
      <c r="OWZ8"/>
      <c r="OXA8"/>
      <c r="OXB8"/>
      <c r="OXC8"/>
      <c r="OXD8"/>
      <c r="OXE8"/>
      <c r="OXF8"/>
      <c r="OXG8"/>
      <c r="OXH8"/>
      <c r="OXI8"/>
      <c r="OXJ8"/>
      <c r="OXK8"/>
      <c r="OXL8"/>
      <c r="OXM8"/>
      <c r="OXN8"/>
      <c r="OXO8"/>
      <c r="OXP8"/>
      <c r="OXQ8"/>
      <c r="OXR8"/>
      <c r="OXS8"/>
      <c r="OXT8"/>
      <c r="OXU8"/>
      <c r="OXV8"/>
      <c r="OXW8"/>
      <c r="OXX8"/>
      <c r="OXY8"/>
      <c r="OXZ8"/>
      <c r="OYA8"/>
      <c r="OYB8"/>
      <c r="OYC8"/>
      <c r="OYD8"/>
      <c r="OYE8"/>
      <c r="OYF8"/>
      <c r="OYG8"/>
      <c r="OYH8"/>
      <c r="OYI8"/>
      <c r="OYJ8"/>
      <c r="OYK8"/>
      <c r="OYL8"/>
      <c r="OYM8"/>
      <c r="OYN8"/>
      <c r="OYO8"/>
      <c r="OYP8"/>
      <c r="OYQ8"/>
      <c r="OYR8"/>
      <c r="OYS8"/>
      <c r="OYT8"/>
      <c r="OYU8"/>
      <c r="OYV8"/>
      <c r="OYW8"/>
      <c r="OYX8"/>
      <c r="OYY8"/>
      <c r="OYZ8"/>
      <c r="OZA8"/>
      <c r="OZB8"/>
      <c r="OZC8"/>
      <c r="OZD8"/>
      <c r="OZE8"/>
      <c r="OZF8"/>
      <c r="OZG8"/>
      <c r="OZH8"/>
      <c r="OZI8"/>
      <c r="OZJ8"/>
      <c r="OZK8"/>
      <c r="OZL8"/>
      <c r="OZM8"/>
      <c r="OZN8"/>
      <c r="OZO8"/>
      <c r="OZP8"/>
      <c r="OZQ8"/>
      <c r="OZR8"/>
      <c r="OZS8"/>
      <c r="OZT8"/>
      <c r="OZU8"/>
      <c r="OZV8"/>
      <c r="OZW8"/>
      <c r="OZX8"/>
      <c r="OZY8"/>
      <c r="OZZ8"/>
      <c r="PAA8"/>
      <c r="PAB8"/>
      <c r="PAC8"/>
      <c r="PAD8"/>
      <c r="PAE8"/>
      <c r="PAF8"/>
      <c r="PAG8"/>
      <c r="PAH8"/>
      <c r="PAI8"/>
      <c r="PAJ8"/>
      <c r="PAK8"/>
      <c r="PAL8"/>
      <c r="PAM8"/>
      <c r="PAN8"/>
      <c r="PAO8"/>
      <c r="PAP8"/>
      <c r="PAQ8"/>
      <c r="PAR8"/>
      <c r="PAS8"/>
      <c r="PAT8"/>
      <c r="PAU8"/>
      <c r="PAV8"/>
      <c r="PAW8"/>
      <c r="PAX8"/>
      <c r="PAY8"/>
      <c r="PAZ8"/>
      <c r="PBA8"/>
      <c r="PBB8"/>
      <c r="PBC8"/>
      <c r="PBD8"/>
      <c r="PBE8"/>
      <c r="PBF8"/>
      <c r="PBG8"/>
      <c r="PBH8"/>
      <c r="PBI8"/>
      <c r="PBJ8"/>
      <c r="PBK8"/>
      <c r="PBL8"/>
      <c r="PBM8"/>
      <c r="PBN8"/>
      <c r="PBO8"/>
      <c r="PBP8"/>
      <c r="PBQ8"/>
      <c r="PBR8"/>
      <c r="PBS8"/>
      <c r="PBT8"/>
      <c r="PBU8"/>
      <c r="PBV8"/>
      <c r="PBW8"/>
      <c r="PBX8"/>
      <c r="PBY8"/>
      <c r="PBZ8"/>
      <c r="PCA8"/>
      <c r="PCB8"/>
      <c r="PCC8"/>
      <c r="PCD8"/>
      <c r="PCE8"/>
      <c r="PCF8"/>
      <c r="PCG8"/>
      <c r="PCH8"/>
      <c r="PCI8"/>
      <c r="PCJ8"/>
      <c r="PCK8"/>
      <c r="PCL8"/>
      <c r="PCM8"/>
      <c r="PCN8"/>
      <c r="PCO8"/>
      <c r="PCP8"/>
      <c r="PCQ8"/>
      <c r="PCR8"/>
      <c r="PCS8"/>
      <c r="PCT8"/>
      <c r="PCU8"/>
      <c r="PCV8"/>
      <c r="PCW8"/>
      <c r="PCX8"/>
      <c r="PCY8"/>
      <c r="PCZ8"/>
      <c r="PDA8"/>
      <c r="PDB8"/>
      <c r="PDC8"/>
      <c r="PDD8"/>
      <c r="PDE8"/>
      <c r="PDF8"/>
      <c r="PDG8"/>
      <c r="PDH8"/>
      <c r="PDI8"/>
      <c r="PDJ8"/>
      <c r="PDK8"/>
      <c r="PDL8"/>
      <c r="PDM8"/>
      <c r="PDN8"/>
      <c r="PDO8"/>
      <c r="PDP8"/>
      <c r="PDQ8"/>
      <c r="PDR8"/>
      <c r="PDS8"/>
      <c r="PDT8"/>
      <c r="PDU8"/>
      <c r="PDV8"/>
      <c r="PDW8"/>
      <c r="PDX8"/>
      <c r="PDY8"/>
      <c r="PDZ8"/>
      <c r="PEA8"/>
      <c r="PEB8"/>
      <c r="PEC8"/>
      <c r="PED8"/>
      <c r="PEE8"/>
      <c r="PEF8"/>
      <c r="PEG8"/>
      <c r="PEH8"/>
      <c r="PEI8"/>
      <c r="PEJ8"/>
      <c r="PEK8"/>
      <c r="PEL8"/>
      <c r="PEM8"/>
      <c r="PEN8"/>
      <c r="PEO8"/>
      <c r="PEP8"/>
      <c r="PEQ8"/>
      <c r="PER8"/>
      <c r="PES8"/>
      <c r="PET8"/>
      <c r="PEU8"/>
      <c r="PEV8"/>
      <c r="PEW8"/>
      <c r="PEX8"/>
      <c r="PEY8"/>
      <c r="PEZ8"/>
      <c r="PFA8"/>
      <c r="PFB8"/>
      <c r="PFC8"/>
      <c r="PFD8"/>
      <c r="PFE8"/>
      <c r="PFF8"/>
      <c r="PFG8"/>
      <c r="PFH8"/>
      <c r="PFI8"/>
      <c r="PFJ8"/>
      <c r="PFK8"/>
      <c r="PFL8"/>
      <c r="PFM8"/>
      <c r="PFN8"/>
      <c r="PFO8"/>
      <c r="PFP8"/>
      <c r="PFQ8"/>
      <c r="PFR8"/>
      <c r="PFS8"/>
      <c r="PFT8"/>
      <c r="PFU8"/>
      <c r="PFV8"/>
      <c r="PFW8"/>
      <c r="PFX8"/>
      <c r="PFY8"/>
      <c r="PFZ8"/>
      <c r="PGA8"/>
      <c r="PGB8"/>
      <c r="PGC8"/>
      <c r="PGD8"/>
      <c r="PGE8"/>
      <c r="PGF8"/>
      <c r="PGG8"/>
      <c r="PGH8"/>
      <c r="PGI8"/>
      <c r="PGJ8"/>
      <c r="PGK8"/>
      <c r="PGL8"/>
      <c r="PGM8"/>
      <c r="PGN8"/>
      <c r="PGO8"/>
      <c r="PGP8"/>
      <c r="PGQ8"/>
      <c r="PGR8"/>
      <c r="PGS8"/>
      <c r="PGT8"/>
      <c r="PGU8"/>
      <c r="PGV8"/>
      <c r="PGW8"/>
      <c r="PGX8"/>
      <c r="PGY8"/>
      <c r="PGZ8"/>
      <c r="PHA8"/>
      <c r="PHB8"/>
      <c r="PHC8"/>
      <c r="PHD8"/>
      <c r="PHE8"/>
      <c r="PHF8"/>
      <c r="PHG8"/>
      <c r="PHH8"/>
      <c r="PHI8"/>
      <c r="PHJ8"/>
      <c r="PHK8"/>
      <c r="PHL8"/>
      <c r="PHM8"/>
      <c r="PHN8"/>
      <c r="PHO8"/>
      <c r="PHP8"/>
      <c r="PHQ8"/>
      <c r="PHR8"/>
      <c r="PHS8"/>
      <c r="PHT8"/>
      <c r="PHU8"/>
      <c r="PHV8"/>
      <c r="PHW8"/>
      <c r="PHX8"/>
      <c r="PHY8"/>
      <c r="PHZ8"/>
      <c r="PIA8"/>
      <c r="PIB8"/>
      <c r="PIC8"/>
      <c r="PID8"/>
      <c r="PIE8"/>
      <c r="PIF8"/>
      <c r="PIG8"/>
      <c r="PIH8"/>
      <c r="PII8"/>
      <c r="PIJ8"/>
      <c r="PIK8"/>
      <c r="PIL8"/>
      <c r="PIM8"/>
      <c r="PIN8"/>
      <c r="PIO8"/>
      <c r="PIP8"/>
      <c r="PIQ8"/>
      <c r="PIR8"/>
      <c r="PIS8"/>
      <c r="PIT8"/>
      <c r="PIU8"/>
      <c r="PIV8"/>
      <c r="PIW8"/>
      <c r="PIX8"/>
      <c r="PIY8"/>
      <c r="PIZ8"/>
      <c r="PJA8"/>
      <c r="PJB8"/>
      <c r="PJC8"/>
      <c r="PJD8"/>
      <c r="PJE8"/>
      <c r="PJF8"/>
      <c r="PJG8"/>
      <c r="PJH8"/>
      <c r="PJI8"/>
      <c r="PJJ8"/>
      <c r="PJK8"/>
      <c r="PJL8"/>
      <c r="PJM8"/>
      <c r="PJN8"/>
      <c r="PJO8"/>
      <c r="PJP8"/>
      <c r="PJQ8"/>
      <c r="PJR8"/>
      <c r="PJS8"/>
      <c r="PJT8"/>
      <c r="PJU8"/>
      <c r="PJV8"/>
      <c r="PJW8"/>
      <c r="PJX8"/>
      <c r="PJY8"/>
      <c r="PJZ8"/>
      <c r="PKA8"/>
      <c r="PKB8"/>
      <c r="PKC8"/>
      <c r="PKD8"/>
      <c r="PKE8"/>
      <c r="PKF8"/>
      <c r="PKG8"/>
      <c r="PKH8"/>
      <c r="PKI8"/>
      <c r="PKJ8"/>
      <c r="PKK8"/>
      <c r="PKL8"/>
      <c r="PKM8"/>
      <c r="PKN8"/>
      <c r="PKO8"/>
      <c r="PKP8"/>
      <c r="PKQ8"/>
      <c r="PKR8"/>
      <c r="PKS8"/>
      <c r="PKT8"/>
      <c r="PKU8"/>
      <c r="PKV8"/>
      <c r="PKW8"/>
      <c r="PKX8"/>
      <c r="PKY8"/>
      <c r="PKZ8"/>
      <c r="PLA8"/>
      <c r="PLB8"/>
      <c r="PLC8"/>
      <c r="PLD8"/>
      <c r="PLE8"/>
      <c r="PLF8"/>
      <c r="PLG8"/>
      <c r="PLH8"/>
      <c r="PLI8"/>
      <c r="PLJ8"/>
      <c r="PLK8"/>
      <c r="PLL8"/>
      <c r="PLM8"/>
      <c r="PLN8"/>
      <c r="PLO8"/>
      <c r="PLP8"/>
      <c r="PLQ8"/>
      <c r="PLR8"/>
      <c r="PLS8"/>
      <c r="PLT8"/>
      <c r="PLU8"/>
      <c r="PLV8"/>
      <c r="PLW8"/>
      <c r="PLX8"/>
      <c r="PLY8"/>
      <c r="PLZ8"/>
      <c r="PMA8"/>
      <c r="PMB8"/>
      <c r="PMC8"/>
      <c r="PMD8"/>
      <c r="PME8"/>
      <c r="PMF8"/>
      <c r="PMG8"/>
      <c r="PMH8"/>
      <c r="PMI8"/>
      <c r="PMJ8"/>
      <c r="PMK8"/>
      <c r="PML8"/>
      <c r="PMM8"/>
      <c r="PMN8"/>
      <c r="PMO8"/>
      <c r="PMP8"/>
      <c r="PMQ8"/>
      <c r="PMR8"/>
      <c r="PMS8"/>
      <c r="PMT8"/>
      <c r="PMU8"/>
      <c r="PMV8"/>
      <c r="PMW8"/>
      <c r="PMX8"/>
      <c r="PMY8"/>
      <c r="PMZ8"/>
      <c r="PNA8"/>
      <c r="PNB8"/>
      <c r="PNC8"/>
      <c r="PND8"/>
      <c r="PNE8"/>
      <c r="PNF8"/>
      <c r="PNG8"/>
      <c r="PNH8"/>
      <c r="PNI8"/>
      <c r="PNJ8"/>
      <c r="PNK8"/>
      <c r="PNL8"/>
      <c r="PNM8"/>
      <c r="PNN8"/>
      <c r="PNO8"/>
      <c r="PNP8"/>
      <c r="PNQ8"/>
      <c r="PNR8"/>
      <c r="PNS8"/>
      <c r="PNT8"/>
      <c r="PNU8"/>
      <c r="PNV8"/>
      <c r="PNW8"/>
      <c r="PNX8"/>
      <c r="PNY8"/>
      <c r="PNZ8"/>
      <c r="POA8"/>
      <c r="POB8"/>
      <c r="POC8"/>
      <c r="POD8"/>
      <c r="POE8"/>
      <c r="POF8"/>
      <c r="POG8"/>
      <c r="POH8"/>
      <c r="POI8"/>
      <c r="POJ8"/>
      <c r="POK8"/>
      <c r="POL8"/>
      <c r="POM8"/>
      <c r="PON8"/>
      <c r="POO8"/>
      <c r="POP8"/>
      <c r="POQ8"/>
      <c r="POR8"/>
      <c r="POS8"/>
      <c r="POT8"/>
      <c r="POU8"/>
      <c r="POV8"/>
      <c r="POW8"/>
      <c r="POX8"/>
      <c r="POY8"/>
      <c r="POZ8"/>
      <c r="PPA8"/>
      <c r="PPB8"/>
      <c r="PPC8"/>
      <c r="PPD8"/>
      <c r="PPE8"/>
      <c r="PPF8"/>
      <c r="PPG8"/>
      <c r="PPH8"/>
      <c r="PPI8"/>
      <c r="PPJ8"/>
      <c r="PPK8"/>
      <c r="PPL8"/>
      <c r="PPM8"/>
      <c r="PPN8"/>
      <c r="PPO8"/>
      <c r="PPP8"/>
      <c r="PPQ8"/>
      <c r="PPR8"/>
      <c r="PPS8"/>
      <c r="PPT8"/>
      <c r="PPU8"/>
      <c r="PPV8"/>
      <c r="PPW8"/>
      <c r="PPX8"/>
      <c r="PPY8"/>
      <c r="PPZ8"/>
      <c r="PQA8"/>
      <c r="PQB8"/>
      <c r="PQC8"/>
      <c r="PQD8"/>
      <c r="PQE8"/>
      <c r="PQF8"/>
      <c r="PQG8"/>
      <c r="PQH8"/>
      <c r="PQI8"/>
      <c r="PQJ8"/>
      <c r="PQK8"/>
      <c r="PQL8"/>
      <c r="PQM8"/>
      <c r="PQN8"/>
      <c r="PQO8"/>
      <c r="PQP8"/>
      <c r="PQQ8"/>
      <c r="PQR8"/>
      <c r="PQS8"/>
      <c r="PQT8"/>
      <c r="PQU8"/>
      <c r="PQV8"/>
      <c r="PQW8"/>
      <c r="PQX8"/>
      <c r="PQY8"/>
      <c r="PQZ8"/>
      <c r="PRA8"/>
      <c r="PRB8"/>
      <c r="PRC8"/>
      <c r="PRD8"/>
      <c r="PRE8"/>
      <c r="PRF8"/>
      <c r="PRG8"/>
      <c r="PRH8"/>
      <c r="PRI8"/>
      <c r="PRJ8"/>
      <c r="PRK8"/>
      <c r="PRL8"/>
      <c r="PRM8"/>
      <c r="PRN8"/>
      <c r="PRO8"/>
      <c r="PRP8"/>
      <c r="PRQ8"/>
      <c r="PRR8"/>
      <c r="PRS8"/>
      <c r="PRT8"/>
      <c r="PRU8"/>
      <c r="PRV8"/>
      <c r="PRW8"/>
      <c r="PRX8"/>
      <c r="PRY8"/>
      <c r="PRZ8"/>
      <c r="PSA8"/>
      <c r="PSB8"/>
      <c r="PSC8"/>
      <c r="PSD8"/>
      <c r="PSE8"/>
      <c r="PSF8"/>
      <c r="PSG8"/>
      <c r="PSH8"/>
      <c r="PSI8"/>
      <c r="PSJ8"/>
      <c r="PSK8"/>
      <c r="PSL8"/>
      <c r="PSM8"/>
      <c r="PSN8"/>
      <c r="PSO8"/>
      <c r="PSP8"/>
      <c r="PSQ8"/>
      <c r="PSR8"/>
      <c r="PSS8"/>
      <c r="PST8"/>
      <c r="PSU8"/>
      <c r="PSV8"/>
      <c r="PSW8"/>
      <c r="PSX8"/>
      <c r="PSY8"/>
      <c r="PSZ8"/>
      <c r="PTA8"/>
      <c r="PTB8"/>
      <c r="PTC8"/>
      <c r="PTD8"/>
      <c r="PTE8"/>
      <c r="PTF8"/>
      <c r="PTG8"/>
      <c r="PTH8"/>
      <c r="PTI8"/>
      <c r="PTJ8"/>
      <c r="PTK8"/>
      <c r="PTL8"/>
      <c r="PTM8"/>
      <c r="PTN8"/>
      <c r="PTO8"/>
      <c r="PTP8"/>
      <c r="PTQ8"/>
      <c r="PTR8"/>
      <c r="PTS8"/>
      <c r="PTT8"/>
      <c r="PTU8"/>
      <c r="PTV8"/>
      <c r="PTW8"/>
      <c r="PTX8"/>
      <c r="PTY8"/>
      <c r="PTZ8"/>
      <c r="PUA8"/>
      <c r="PUB8"/>
      <c r="PUC8"/>
      <c r="PUD8"/>
      <c r="PUE8"/>
      <c r="PUF8"/>
      <c r="PUG8"/>
      <c r="PUH8"/>
      <c r="PUI8"/>
      <c r="PUJ8"/>
      <c r="PUK8"/>
      <c r="PUL8"/>
      <c r="PUM8"/>
      <c r="PUN8"/>
      <c r="PUO8"/>
      <c r="PUP8"/>
      <c r="PUQ8"/>
      <c r="PUR8"/>
      <c r="PUS8"/>
      <c r="PUT8"/>
      <c r="PUU8"/>
      <c r="PUV8"/>
      <c r="PUW8"/>
      <c r="PUX8"/>
      <c r="PUY8"/>
      <c r="PUZ8"/>
      <c r="PVA8"/>
      <c r="PVB8"/>
      <c r="PVC8"/>
      <c r="PVD8"/>
      <c r="PVE8"/>
      <c r="PVF8"/>
      <c r="PVG8"/>
      <c r="PVH8"/>
      <c r="PVI8"/>
      <c r="PVJ8"/>
      <c r="PVK8"/>
      <c r="PVL8"/>
      <c r="PVM8"/>
      <c r="PVN8"/>
      <c r="PVO8"/>
      <c r="PVP8"/>
      <c r="PVQ8"/>
      <c r="PVR8"/>
      <c r="PVS8"/>
      <c r="PVT8"/>
      <c r="PVU8"/>
      <c r="PVV8"/>
      <c r="PVW8"/>
      <c r="PVX8"/>
      <c r="PVY8"/>
      <c r="PVZ8"/>
      <c r="PWA8"/>
      <c r="PWB8"/>
      <c r="PWC8"/>
      <c r="PWD8"/>
      <c r="PWE8"/>
      <c r="PWF8"/>
      <c r="PWG8"/>
      <c r="PWH8"/>
      <c r="PWI8"/>
      <c r="PWJ8"/>
      <c r="PWK8"/>
      <c r="PWL8"/>
      <c r="PWM8"/>
      <c r="PWN8"/>
      <c r="PWO8"/>
      <c r="PWP8"/>
      <c r="PWQ8"/>
      <c r="PWR8"/>
      <c r="PWS8"/>
      <c r="PWT8"/>
      <c r="PWU8"/>
      <c r="PWV8"/>
      <c r="PWW8"/>
      <c r="PWX8"/>
      <c r="PWY8"/>
      <c r="PWZ8"/>
      <c r="PXA8"/>
      <c r="PXB8"/>
      <c r="PXC8"/>
      <c r="PXD8"/>
      <c r="PXE8"/>
      <c r="PXF8"/>
      <c r="PXG8"/>
      <c r="PXH8"/>
      <c r="PXI8"/>
      <c r="PXJ8"/>
      <c r="PXK8"/>
      <c r="PXL8"/>
      <c r="PXM8"/>
      <c r="PXN8"/>
      <c r="PXO8"/>
      <c r="PXP8"/>
      <c r="PXQ8"/>
      <c r="PXR8"/>
      <c r="PXS8"/>
      <c r="PXT8"/>
      <c r="PXU8"/>
      <c r="PXV8"/>
      <c r="PXW8"/>
      <c r="PXX8"/>
      <c r="PXY8"/>
      <c r="PXZ8"/>
      <c r="PYA8"/>
      <c r="PYB8"/>
      <c r="PYC8"/>
      <c r="PYD8"/>
      <c r="PYE8"/>
      <c r="PYF8"/>
      <c r="PYG8"/>
      <c r="PYH8"/>
      <c r="PYI8"/>
      <c r="PYJ8"/>
      <c r="PYK8"/>
      <c r="PYL8"/>
      <c r="PYM8"/>
      <c r="PYN8"/>
      <c r="PYO8"/>
      <c r="PYP8"/>
      <c r="PYQ8"/>
      <c r="PYR8"/>
      <c r="PYS8"/>
      <c r="PYT8"/>
      <c r="PYU8"/>
      <c r="PYV8"/>
      <c r="PYW8"/>
      <c r="PYX8"/>
      <c r="PYY8"/>
      <c r="PYZ8"/>
      <c r="PZA8"/>
      <c r="PZB8"/>
      <c r="PZC8"/>
      <c r="PZD8"/>
      <c r="PZE8"/>
      <c r="PZF8"/>
      <c r="PZG8"/>
      <c r="PZH8"/>
      <c r="PZI8"/>
      <c r="PZJ8"/>
      <c r="PZK8"/>
      <c r="PZL8"/>
      <c r="PZM8"/>
      <c r="PZN8"/>
      <c r="PZO8"/>
      <c r="PZP8"/>
      <c r="PZQ8"/>
      <c r="PZR8"/>
      <c r="PZS8"/>
      <c r="PZT8"/>
      <c r="PZU8"/>
      <c r="PZV8"/>
      <c r="PZW8"/>
      <c r="PZX8"/>
      <c r="PZY8"/>
      <c r="PZZ8"/>
      <c r="QAA8"/>
      <c r="QAB8"/>
      <c r="QAC8"/>
      <c r="QAD8"/>
      <c r="QAE8"/>
      <c r="QAF8"/>
      <c r="QAG8"/>
      <c r="QAH8"/>
      <c r="QAI8"/>
      <c r="QAJ8"/>
      <c r="QAK8"/>
      <c r="QAL8"/>
      <c r="QAM8"/>
      <c r="QAN8"/>
      <c r="QAO8"/>
      <c r="QAP8"/>
      <c r="QAQ8"/>
      <c r="QAR8"/>
      <c r="QAS8"/>
      <c r="QAT8"/>
      <c r="QAU8"/>
      <c r="QAV8"/>
      <c r="QAW8"/>
      <c r="QAX8"/>
      <c r="QAY8"/>
      <c r="QAZ8"/>
      <c r="QBA8"/>
      <c r="QBB8"/>
      <c r="QBC8"/>
      <c r="QBD8"/>
      <c r="QBE8"/>
      <c r="QBF8"/>
      <c r="QBG8"/>
      <c r="QBH8"/>
      <c r="QBI8"/>
      <c r="QBJ8"/>
      <c r="QBK8"/>
      <c r="QBL8"/>
      <c r="QBM8"/>
      <c r="QBN8"/>
      <c r="QBO8"/>
      <c r="QBP8"/>
      <c r="QBQ8"/>
      <c r="QBR8"/>
      <c r="QBS8"/>
      <c r="QBT8"/>
      <c r="QBU8"/>
      <c r="QBV8"/>
      <c r="QBW8"/>
      <c r="QBX8"/>
      <c r="QBY8"/>
      <c r="QBZ8"/>
      <c r="QCA8"/>
      <c r="QCB8"/>
      <c r="QCC8"/>
      <c r="QCD8"/>
      <c r="QCE8"/>
      <c r="QCF8"/>
      <c r="QCG8"/>
      <c r="QCH8"/>
      <c r="QCI8"/>
      <c r="QCJ8"/>
      <c r="QCK8"/>
      <c r="QCL8"/>
      <c r="QCM8"/>
      <c r="QCN8"/>
      <c r="QCO8"/>
      <c r="QCP8"/>
      <c r="QCQ8"/>
      <c r="QCR8"/>
      <c r="QCS8"/>
      <c r="QCT8"/>
      <c r="QCU8"/>
      <c r="QCV8"/>
      <c r="QCW8"/>
      <c r="QCX8"/>
      <c r="QCY8"/>
      <c r="QCZ8"/>
      <c r="QDA8"/>
      <c r="QDB8"/>
      <c r="QDC8"/>
      <c r="QDD8"/>
      <c r="QDE8"/>
      <c r="QDF8"/>
      <c r="QDG8"/>
      <c r="QDH8"/>
      <c r="QDI8"/>
      <c r="QDJ8"/>
      <c r="QDK8"/>
      <c r="QDL8"/>
      <c r="QDM8"/>
      <c r="QDN8"/>
      <c r="QDO8"/>
      <c r="QDP8"/>
      <c r="QDQ8"/>
      <c r="QDR8"/>
      <c r="QDS8"/>
      <c r="QDT8"/>
      <c r="QDU8"/>
      <c r="QDV8"/>
      <c r="QDW8"/>
      <c r="QDX8"/>
      <c r="QDY8"/>
      <c r="QDZ8"/>
      <c r="QEA8"/>
      <c r="QEB8"/>
      <c r="QEC8"/>
      <c r="QED8"/>
      <c r="QEE8"/>
      <c r="QEF8"/>
      <c r="QEG8"/>
      <c r="QEH8"/>
      <c r="QEI8"/>
      <c r="QEJ8"/>
      <c r="QEK8"/>
      <c r="QEL8"/>
      <c r="QEM8"/>
      <c r="QEN8"/>
      <c r="QEO8"/>
      <c r="QEP8"/>
      <c r="QEQ8"/>
      <c r="QER8"/>
      <c r="QES8"/>
      <c r="QET8"/>
      <c r="QEU8"/>
      <c r="QEV8"/>
      <c r="QEW8"/>
      <c r="QEX8"/>
      <c r="QEY8"/>
      <c r="QEZ8"/>
      <c r="QFA8"/>
      <c r="QFB8"/>
      <c r="QFC8"/>
      <c r="QFD8"/>
      <c r="QFE8"/>
      <c r="QFF8"/>
      <c r="QFG8"/>
      <c r="QFH8"/>
      <c r="QFI8"/>
      <c r="QFJ8"/>
      <c r="QFK8"/>
      <c r="QFL8"/>
      <c r="QFM8"/>
      <c r="QFN8"/>
      <c r="QFO8"/>
      <c r="QFP8"/>
      <c r="QFQ8"/>
      <c r="QFR8"/>
      <c r="QFS8"/>
      <c r="QFT8"/>
      <c r="QFU8"/>
      <c r="QFV8"/>
      <c r="QFW8"/>
      <c r="QFX8"/>
      <c r="QFY8"/>
      <c r="QFZ8"/>
      <c r="QGA8"/>
      <c r="QGB8"/>
      <c r="QGC8"/>
      <c r="QGD8"/>
      <c r="QGE8"/>
      <c r="QGF8"/>
      <c r="QGG8"/>
      <c r="QGH8"/>
      <c r="QGI8"/>
      <c r="QGJ8"/>
      <c r="QGK8"/>
      <c r="QGL8"/>
      <c r="QGM8"/>
      <c r="QGN8"/>
      <c r="QGO8"/>
      <c r="QGP8"/>
      <c r="QGQ8"/>
      <c r="QGR8"/>
      <c r="QGS8"/>
      <c r="QGT8"/>
      <c r="QGU8"/>
      <c r="QGV8"/>
      <c r="QGW8"/>
      <c r="QGX8"/>
      <c r="QGY8"/>
      <c r="QGZ8"/>
      <c r="QHA8"/>
      <c r="QHB8"/>
      <c r="QHC8"/>
      <c r="QHD8"/>
      <c r="QHE8"/>
      <c r="QHF8"/>
      <c r="QHG8"/>
      <c r="QHH8"/>
      <c r="QHI8"/>
      <c r="QHJ8"/>
      <c r="QHK8"/>
      <c r="QHL8"/>
      <c r="QHM8"/>
      <c r="QHN8"/>
      <c r="QHO8"/>
      <c r="QHP8"/>
      <c r="QHQ8"/>
      <c r="QHR8"/>
      <c r="QHS8"/>
      <c r="QHT8"/>
      <c r="QHU8"/>
      <c r="QHV8"/>
      <c r="QHW8"/>
      <c r="QHX8"/>
      <c r="QHY8"/>
      <c r="QHZ8"/>
      <c r="QIA8"/>
      <c r="QIB8"/>
      <c r="QIC8"/>
      <c r="QID8"/>
      <c r="QIE8"/>
      <c r="QIF8"/>
      <c r="QIG8"/>
      <c r="QIH8"/>
      <c r="QII8"/>
      <c r="QIJ8"/>
      <c r="QIK8"/>
      <c r="QIL8"/>
      <c r="QIM8"/>
      <c r="QIN8"/>
      <c r="QIO8"/>
      <c r="QIP8"/>
      <c r="QIQ8"/>
      <c r="QIR8"/>
      <c r="QIS8"/>
      <c r="QIT8"/>
      <c r="QIU8"/>
      <c r="QIV8"/>
      <c r="QIW8"/>
      <c r="QIX8"/>
      <c r="QIY8"/>
      <c r="QIZ8"/>
      <c r="QJA8"/>
      <c r="QJB8"/>
      <c r="QJC8"/>
      <c r="QJD8"/>
      <c r="QJE8"/>
      <c r="QJF8"/>
      <c r="QJG8"/>
      <c r="QJH8"/>
      <c r="QJI8"/>
      <c r="QJJ8"/>
      <c r="QJK8"/>
      <c r="QJL8"/>
      <c r="QJM8"/>
      <c r="QJN8"/>
      <c r="QJO8"/>
      <c r="QJP8"/>
      <c r="QJQ8"/>
      <c r="QJR8"/>
      <c r="QJS8"/>
      <c r="QJT8"/>
      <c r="QJU8"/>
      <c r="QJV8"/>
      <c r="QJW8"/>
      <c r="QJX8"/>
      <c r="QJY8"/>
      <c r="QJZ8"/>
      <c r="QKA8"/>
      <c r="QKB8"/>
      <c r="QKC8"/>
      <c r="QKD8"/>
      <c r="QKE8"/>
      <c r="QKF8"/>
      <c r="QKG8"/>
      <c r="QKH8"/>
      <c r="QKI8"/>
      <c r="QKJ8"/>
      <c r="QKK8"/>
      <c r="QKL8"/>
      <c r="QKM8"/>
      <c r="QKN8"/>
      <c r="QKO8"/>
      <c r="QKP8"/>
      <c r="QKQ8"/>
      <c r="QKR8"/>
      <c r="QKS8"/>
      <c r="QKT8"/>
      <c r="QKU8"/>
      <c r="QKV8"/>
      <c r="QKW8"/>
      <c r="QKX8"/>
      <c r="QKY8"/>
      <c r="QKZ8"/>
      <c r="QLA8"/>
      <c r="QLB8"/>
      <c r="QLC8"/>
      <c r="QLD8"/>
      <c r="QLE8"/>
      <c r="QLF8"/>
      <c r="QLG8"/>
      <c r="QLH8"/>
      <c r="QLI8"/>
      <c r="QLJ8"/>
      <c r="QLK8"/>
      <c r="QLL8"/>
      <c r="QLM8"/>
      <c r="QLN8"/>
      <c r="QLO8"/>
      <c r="QLP8"/>
      <c r="QLQ8"/>
      <c r="QLR8"/>
      <c r="QLS8"/>
      <c r="QLT8"/>
      <c r="QLU8"/>
      <c r="QLV8"/>
      <c r="QLW8"/>
      <c r="QLX8"/>
      <c r="QLY8"/>
      <c r="QLZ8"/>
      <c r="QMA8"/>
      <c r="QMB8"/>
      <c r="QMC8"/>
      <c r="QMD8"/>
      <c r="QME8"/>
      <c r="QMF8"/>
      <c r="QMG8"/>
      <c r="QMH8"/>
      <c r="QMI8"/>
      <c r="QMJ8"/>
      <c r="QMK8"/>
      <c r="QML8"/>
      <c r="QMM8"/>
      <c r="QMN8"/>
      <c r="QMO8"/>
      <c r="QMP8"/>
      <c r="QMQ8"/>
      <c r="QMR8"/>
      <c r="QMS8"/>
      <c r="QMT8"/>
      <c r="QMU8"/>
      <c r="QMV8"/>
      <c r="QMW8"/>
      <c r="QMX8"/>
      <c r="QMY8"/>
      <c r="QMZ8"/>
      <c r="QNA8"/>
      <c r="QNB8"/>
      <c r="QNC8"/>
      <c r="QND8"/>
      <c r="QNE8"/>
      <c r="QNF8"/>
      <c r="QNG8"/>
      <c r="QNH8"/>
      <c r="QNI8"/>
      <c r="QNJ8"/>
      <c r="QNK8"/>
      <c r="QNL8"/>
      <c r="QNM8"/>
      <c r="QNN8"/>
      <c r="QNO8"/>
      <c r="QNP8"/>
      <c r="QNQ8"/>
      <c r="QNR8"/>
      <c r="QNS8"/>
      <c r="QNT8"/>
      <c r="QNU8"/>
      <c r="QNV8"/>
      <c r="QNW8"/>
      <c r="QNX8"/>
      <c r="QNY8"/>
      <c r="QNZ8"/>
      <c r="QOA8"/>
      <c r="QOB8"/>
      <c r="QOC8"/>
      <c r="QOD8"/>
      <c r="QOE8"/>
      <c r="QOF8"/>
      <c r="QOG8"/>
      <c r="QOH8"/>
      <c r="QOI8"/>
      <c r="QOJ8"/>
      <c r="QOK8"/>
      <c r="QOL8"/>
      <c r="QOM8"/>
      <c r="QON8"/>
      <c r="QOO8"/>
      <c r="QOP8"/>
      <c r="QOQ8"/>
      <c r="QOR8"/>
      <c r="QOS8"/>
      <c r="QOT8"/>
      <c r="QOU8"/>
      <c r="QOV8"/>
      <c r="QOW8"/>
      <c r="QOX8"/>
      <c r="QOY8"/>
      <c r="QOZ8"/>
      <c r="QPA8"/>
      <c r="QPB8"/>
      <c r="QPC8"/>
      <c r="QPD8"/>
      <c r="QPE8"/>
      <c r="QPF8"/>
      <c r="QPG8"/>
      <c r="QPH8"/>
      <c r="QPI8"/>
      <c r="QPJ8"/>
      <c r="QPK8"/>
      <c r="QPL8"/>
      <c r="QPM8"/>
      <c r="QPN8"/>
      <c r="QPO8"/>
      <c r="QPP8"/>
      <c r="QPQ8"/>
      <c r="QPR8"/>
      <c r="QPS8"/>
      <c r="QPT8"/>
      <c r="QPU8"/>
      <c r="QPV8"/>
      <c r="QPW8"/>
      <c r="QPX8"/>
      <c r="QPY8"/>
      <c r="QPZ8"/>
      <c r="QQA8"/>
      <c r="QQB8"/>
      <c r="QQC8"/>
      <c r="QQD8"/>
      <c r="QQE8"/>
      <c r="QQF8"/>
      <c r="QQG8"/>
      <c r="QQH8"/>
      <c r="QQI8"/>
      <c r="QQJ8"/>
      <c r="QQK8"/>
      <c r="QQL8"/>
      <c r="QQM8"/>
      <c r="QQN8"/>
      <c r="QQO8"/>
      <c r="QQP8"/>
      <c r="QQQ8"/>
      <c r="QQR8"/>
      <c r="QQS8"/>
      <c r="QQT8"/>
      <c r="QQU8"/>
      <c r="QQV8"/>
      <c r="QQW8"/>
      <c r="QQX8"/>
      <c r="QQY8"/>
      <c r="QQZ8"/>
      <c r="QRA8"/>
      <c r="QRB8"/>
      <c r="QRC8"/>
      <c r="QRD8"/>
      <c r="QRE8"/>
      <c r="QRF8"/>
      <c r="QRG8"/>
      <c r="QRH8"/>
      <c r="QRI8"/>
      <c r="QRJ8"/>
      <c r="QRK8"/>
      <c r="QRL8"/>
      <c r="QRM8"/>
      <c r="QRN8"/>
      <c r="QRO8"/>
      <c r="QRP8"/>
      <c r="QRQ8"/>
      <c r="QRR8"/>
      <c r="QRS8"/>
      <c r="QRT8"/>
      <c r="QRU8"/>
      <c r="QRV8"/>
      <c r="QRW8"/>
      <c r="QRX8"/>
      <c r="QRY8"/>
      <c r="QRZ8"/>
      <c r="QSA8"/>
      <c r="QSB8"/>
      <c r="QSC8"/>
      <c r="QSD8"/>
      <c r="QSE8"/>
      <c r="QSF8"/>
      <c r="QSG8"/>
      <c r="QSH8"/>
      <c r="QSI8"/>
      <c r="QSJ8"/>
      <c r="QSK8"/>
      <c r="QSL8"/>
      <c r="QSM8"/>
      <c r="QSN8"/>
      <c r="QSO8"/>
      <c r="QSP8"/>
      <c r="QSQ8"/>
      <c r="QSR8"/>
      <c r="QSS8"/>
      <c r="QST8"/>
      <c r="QSU8"/>
      <c r="QSV8"/>
      <c r="QSW8"/>
      <c r="QSX8"/>
      <c r="QSY8"/>
      <c r="QSZ8"/>
      <c r="QTA8"/>
      <c r="QTB8"/>
      <c r="QTC8"/>
      <c r="QTD8"/>
      <c r="QTE8"/>
      <c r="QTF8"/>
      <c r="QTG8"/>
      <c r="QTH8"/>
      <c r="QTI8"/>
      <c r="QTJ8"/>
      <c r="QTK8"/>
      <c r="QTL8"/>
      <c r="QTM8"/>
      <c r="QTN8"/>
      <c r="QTO8"/>
      <c r="QTP8"/>
      <c r="QTQ8"/>
      <c r="QTR8"/>
      <c r="QTS8"/>
      <c r="QTT8"/>
      <c r="QTU8"/>
      <c r="QTV8"/>
      <c r="QTW8"/>
      <c r="QTX8"/>
      <c r="QTY8"/>
      <c r="QTZ8"/>
      <c r="QUA8"/>
      <c r="QUB8"/>
      <c r="QUC8"/>
      <c r="QUD8"/>
      <c r="QUE8"/>
      <c r="QUF8"/>
      <c r="QUG8"/>
      <c r="QUH8"/>
      <c r="QUI8"/>
      <c r="QUJ8"/>
      <c r="QUK8"/>
      <c r="QUL8"/>
      <c r="QUM8"/>
      <c r="QUN8"/>
      <c r="QUO8"/>
      <c r="QUP8"/>
      <c r="QUQ8"/>
      <c r="QUR8"/>
      <c r="QUS8"/>
      <c r="QUT8"/>
      <c r="QUU8"/>
      <c r="QUV8"/>
      <c r="QUW8"/>
      <c r="QUX8"/>
      <c r="QUY8"/>
      <c r="QUZ8"/>
      <c r="QVA8"/>
      <c r="QVB8"/>
      <c r="QVC8"/>
      <c r="QVD8"/>
      <c r="QVE8"/>
      <c r="QVF8"/>
      <c r="QVG8"/>
      <c r="QVH8"/>
      <c r="QVI8"/>
      <c r="QVJ8"/>
      <c r="QVK8"/>
      <c r="QVL8"/>
      <c r="QVM8"/>
      <c r="QVN8"/>
      <c r="QVO8"/>
      <c r="QVP8"/>
      <c r="QVQ8"/>
      <c r="QVR8"/>
      <c r="QVS8"/>
      <c r="QVT8"/>
      <c r="QVU8"/>
      <c r="QVV8"/>
      <c r="QVW8"/>
      <c r="QVX8"/>
      <c r="QVY8"/>
      <c r="QVZ8"/>
      <c r="QWA8"/>
      <c r="QWB8"/>
      <c r="QWC8"/>
      <c r="QWD8"/>
      <c r="QWE8"/>
      <c r="QWF8"/>
      <c r="QWG8"/>
      <c r="QWH8"/>
      <c r="QWI8"/>
      <c r="QWJ8"/>
      <c r="QWK8"/>
      <c r="QWL8"/>
      <c r="QWM8"/>
      <c r="QWN8"/>
      <c r="QWO8"/>
      <c r="QWP8"/>
      <c r="QWQ8"/>
      <c r="QWR8"/>
      <c r="QWS8"/>
      <c r="QWT8"/>
      <c r="QWU8"/>
      <c r="QWV8"/>
      <c r="QWW8"/>
      <c r="QWX8"/>
      <c r="QWY8"/>
      <c r="QWZ8"/>
      <c r="QXA8"/>
      <c r="QXB8"/>
      <c r="QXC8"/>
      <c r="QXD8"/>
      <c r="QXE8"/>
      <c r="QXF8"/>
      <c r="QXG8"/>
      <c r="QXH8"/>
      <c r="QXI8"/>
      <c r="QXJ8"/>
      <c r="QXK8"/>
      <c r="QXL8"/>
      <c r="QXM8"/>
      <c r="QXN8"/>
      <c r="QXO8"/>
      <c r="QXP8"/>
      <c r="QXQ8"/>
      <c r="QXR8"/>
      <c r="QXS8"/>
      <c r="QXT8"/>
      <c r="QXU8"/>
      <c r="QXV8"/>
      <c r="QXW8"/>
      <c r="QXX8"/>
      <c r="QXY8"/>
      <c r="QXZ8"/>
      <c r="QYA8"/>
      <c r="QYB8"/>
      <c r="QYC8"/>
      <c r="QYD8"/>
      <c r="QYE8"/>
      <c r="QYF8"/>
      <c r="QYG8"/>
      <c r="QYH8"/>
      <c r="QYI8"/>
      <c r="QYJ8"/>
      <c r="QYK8"/>
      <c r="QYL8"/>
      <c r="QYM8"/>
      <c r="QYN8"/>
      <c r="QYO8"/>
      <c r="QYP8"/>
      <c r="QYQ8"/>
      <c r="QYR8"/>
      <c r="QYS8"/>
      <c r="QYT8"/>
      <c r="QYU8"/>
      <c r="QYV8"/>
      <c r="QYW8"/>
      <c r="QYX8"/>
      <c r="QYY8"/>
      <c r="QYZ8"/>
      <c r="QZA8"/>
      <c r="QZB8"/>
      <c r="QZC8"/>
      <c r="QZD8"/>
      <c r="QZE8"/>
      <c r="QZF8"/>
      <c r="QZG8"/>
      <c r="QZH8"/>
      <c r="QZI8"/>
      <c r="QZJ8"/>
      <c r="QZK8"/>
      <c r="QZL8"/>
      <c r="QZM8"/>
      <c r="QZN8"/>
      <c r="QZO8"/>
      <c r="QZP8"/>
      <c r="QZQ8"/>
      <c r="QZR8"/>
      <c r="QZS8"/>
      <c r="QZT8"/>
      <c r="QZU8"/>
      <c r="QZV8"/>
      <c r="QZW8"/>
      <c r="QZX8"/>
      <c r="QZY8"/>
      <c r="QZZ8"/>
      <c r="RAA8"/>
      <c r="RAB8"/>
      <c r="RAC8"/>
      <c r="RAD8"/>
      <c r="RAE8"/>
      <c r="RAF8"/>
      <c r="RAG8"/>
      <c r="RAH8"/>
      <c r="RAI8"/>
      <c r="RAJ8"/>
      <c r="RAK8"/>
      <c r="RAL8"/>
      <c r="RAM8"/>
      <c r="RAN8"/>
      <c r="RAO8"/>
      <c r="RAP8"/>
      <c r="RAQ8"/>
      <c r="RAR8"/>
      <c r="RAS8"/>
      <c r="RAT8"/>
      <c r="RAU8"/>
      <c r="RAV8"/>
      <c r="RAW8"/>
      <c r="RAX8"/>
      <c r="RAY8"/>
      <c r="RAZ8"/>
      <c r="RBA8"/>
      <c r="RBB8"/>
      <c r="RBC8"/>
      <c r="RBD8"/>
      <c r="RBE8"/>
      <c r="RBF8"/>
      <c r="RBG8"/>
      <c r="RBH8"/>
      <c r="RBI8"/>
      <c r="RBJ8"/>
      <c r="RBK8"/>
      <c r="RBL8"/>
      <c r="RBM8"/>
      <c r="RBN8"/>
      <c r="RBO8"/>
      <c r="RBP8"/>
      <c r="RBQ8"/>
      <c r="RBR8"/>
      <c r="RBS8"/>
      <c r="RBT8"/>
      <c r="RBU8"/>
      <c r="RBV8"/>
      <c r="RBW8"/>
      <c r="RBX8"/>
      <c r="RBY8"/>
      <c r="RBZ8"/>
      <c r="RCA8"/>
      <c r="RCB8"/>
      <c r="RCC8"/>
      <c r="RCD8"/>
      <c r="RCE8"/>
      <c r="RCF8"/>
      <c r="RCG8"/>
      <c r="RCH8"/>
      <c r="RCI8"/>
      <c r="RCJ8"/>
      <c r="RCK8"/>
      <c r="RCL8"/>
      <c r="RCM8"/>
      <c r="RCN8"/>
      <c r="RCO8"/>
      <c r="RCP8"/>
      <c r="RCQ8"/>
      <c r="RCR8"/>
      <c r="RCS8"/>
      <c r="RCT8"/>
      <c r="RCU8"/>
      <c r="RCV8"/>
      <c r="RCW8"/>
      <c r="RCX8"/>
      <c r="RCY8"/>
      <c r="RCZ8"/>
      <c r="RDA8"/>
      <c r="RDB8"/>
      <c r="RDC8"/>
      <c r="RDD8"/>
      <c r="RDE8"/>
      <c r="RDF8"/>
      <c r="RDG8"/>
      <c r="RDH8"/>
      <c r="RDI8"/>
      <c r="RDJ8"/>
      <c r="RDK8"/>
      <c r="RDL8"/>
      <c r="RDM8"/>
      <c r="RDN8"/>
      <c r="RDO8"/>
      <c r="RDP8"/>
      <c r="RDQ8"/>
      <c r="RDR8"/>
      <c r="RDS8"/>
      <c r="RDT8"/>
      <c r="RDU8"/>
      <c r="RDV8"/>
      <c r="RDW8"/>
      <c r="RDX8"/>
      <c r="RDY8"/>
      <c r="RDZ8"/>
      <c r="REA8"/>
      <c r="REB8"/>
      <c r="REC8"/>
      <c r="RED8"/>
      <c r="REE8"/>
      <c r="REF8"/>
      <c r="REG8"/>
      <c r="REH8"/>
      <c r="REI8"/>
      <c r="REJ8"/>
      <c r="REK8"/>
      <c r="REL8"/>
      <c r="REM8"/>
      <c r="REN8"/>
      <c r="REO8"/>
      <c r="REP8"/>
      <c r="REQ8"/>
      <c r="RER8"/>
      <c r="RES8"/>
      <c r="RET8"/>
      <c r="REU8"/>
      <c r="REV8"/>
      <c r="REW8"/>
      <c r="REX8"/>
      <c r="REY8"/>
      <c r="REZ8"/>
      <c r="RFA8"/>
      <c r="RFB8"/>
      <c r="RFC8"/>
      <c r="RFD8"/>
      <c r="RFE8"/>
      <c r="RFF8"/>
      <c r="RFG8"/>
      <c r="RFH8"/>
      <c r="RFI8"/>
      <c r="RFJ8"/>
      <c r="RFK8"/>
      <c r="RFL8"/>
      <c r="RFM8"/>
      <c r="RFN8"/>
      <c r="RFO8"/>
      <c r="RFP8"/>
      <c r="RFQ8"/>
      <c r="RFR8"/>
      <c r="RFS8"/>
      <c r="RFT8"/>
      <c r="RFU8"/>
      <c r="RFV8"/>
      <c r="RFW8"/>
      <c r="RFX8"/>
      <c r="RFY8"/>
      <c r="RFZ8"/>
      <c r="RGA8"/>
      <c r="RGB8"/>
      <c r="RGC8"/>
      <c r="RGD8"/>
      <c r="RGE8"/>
      <c r="RGF8"/>
      <c r="RGG8"/>
      <c r="RGH8"/>
      <c r="RGI8"/>
      <c r="RGJ8"/>
      <c r="RGK8"/>
      <c r="RGL8"/>
      <c r="RGM8"/>
      <c r="RGN8"/>
      <c r="RGO8"/>
      <c r="RGP8"/>
      <c r="RGQ8"/>
      <c r="RGR8"/>
      <c r="RGS8"/>
      <c r="RGT8"/>
      <c r="RGU8"/>
      <c r="RGV8"/>
      <c r="RGW8"/>
      <c r="RGX8"/>
      <c r="RGY8"/>
      <c r="RGZ8"/>
      <c r="RHA8"/>
      <c r="RHB8"/>
      <c r="RHC8"/>
      <c r="RHD8"/>
      <c r="RHE8"/>
      <c r="RHF8"/>
      <c r="RHG8"/>
      <c r="RHH8"/>
      <c r="RHI8"/>
      <c r="RHJ8"/>
      <c r="RHK8"/>
      <c r="RHL8"/>
      <c r="RHM8"/>
      <c r="RHN8"/>
      <c r="RHO8"/>
      <c r="RHP8"/>
      <c r="RHQ8"/>
      <c r="RHR8"/>
      <c r="RHS8"/>
      <c r="RHT8"/>
      <c r="RHU8"/>
      <c r="RHV8"/>
      <c r="RHW8"/>
      <c r="RHX8"/>
      <c r="RHY8"/>
      <c r="RHZ8"/>
      <c r="RIA8"/>
      <c r="RIB8"/>
      <c r="RIC8"/>
      <c r="RID8"/>
      <c r="RIE8"/>
      <c r="RIF8"/>
      <c r="RIG8"/>
      <c r="RIH8"/>
      <c r="RII8"/>
      <c r="RIJ8"/>
      <c r="RIK8"/>
      <c r="RIL8"/>
      <c r="RIM8"/>
      <c r="RIN8"/>
      <c r="RIO8"/>
      <c r="RIP8"/>
      <c r="RIQ8"/>
      <c r="RIR8"/>
      <c r="RIS8"/>
      <c r="RIT8"/>
      <c r="RIU8"/>
      <c r="RIV8"/>
      <c r="RIW8"/>
      <c r="RIX8"/>
      <c r="RIY8"/>
      <c r="RIZ8"/>
      <c r="RJA8"/>
      <c r="RJB8"/>
      <c r="RJC8"/>
      <c r="RJD8"/>
      <c r="RJE8"/>
      <c r="RJF8"/>
      <c r="RJG8"/>
      <c r="RJH8"/>
      <c r="RJI8"/>
      <c r="RJJ8"/>
      <c r="RJK8"/>
      <c r="RJL8"/>
      <c r="RJM8"/>
      <c r="RJN8"/>
      <c r="RJO8"/>
      <c r="RJP8"/>
      <c r="RJQ8"/>
      <c r="RJR8"/>
      <c r="RJS8"/>
      <c r="RJT8"/>
      <c r="RJU8"/>
      <c r="RJV8"/>
      <c r="RJW8"/>
      <c r="RJX8"/>
      <c r="RJY8"/>
      <c r="RJZ8"/>
      <c r="RKA8"/>
      <c r="RKB8"/>
      <c r="RKC8"/>
      <c r="RKD8"/>
      <c r="RKE8"/>
      <c r="RKF8"/>
      <c r="RKG8"/>
      <c r="RKH8"/>
      <c r="RKI8"/>
      <c r="RKJ8"/>
      <c r="RKK8"/>
      <c r="RKL8"/>
      <c r="RKM8"/>
      <c r="RKN8"/>
      <c r="RKO8"/>
      <c r="RKP8"/>
      <c r="RKQ8"/>
      <c r="RKR8"/>
      <c r="RKS8"/>
      <c r="RKT8"/>
      <c r="RKU8"/>
      <c r="RKV8"/>
      <c r="RKW8"/>
      <c r="RKX8"/>
      <c r="RKY8"/>
      <c r="RKZ8"/>
      <c r="RLA8"/>
      <c r="RLB8"/>
      <c r="RLC8"/>
      <c r="RLD8"/>
      <c r="RLE8"/>
      <c r="RLF8"/>
      <c r="RLG8"/>
      <c r="RLH8"/>
      <c r="RLI8"/>
      <c r="RLJ8"/>
      <c r="RLK8"/>
      <c r="RLL8"/>
      <c r="RLM8"/>
      <c r="RLN8"/>
      <c r="RLO8"/>
      <c r="RLP8"/>
      <c r="RLQ8"/>
      <c r="RLR8"/>
      <c r="RLS8"/>
      <c r="RLT8"/>
      <c r="RLU8"/>
      <c r="RLV8"/>
      <c r="RLW8"/>
      <c r="RLX8"/>
      <c r="RLY8"/>
      <c r="RLZ8"/>
      <c r="RMA8"/>
      <c r="RMB8"/>
      <c r="RMC8"/>
      <c r="RMD8"/>
      <c r="RME8"/>
      <c r="RMF8"/>
      <c r="RMG8"/>
      <c r="RMH8"/>
      <c r="RMI8"/>
      <c r="RMJ8"/>
      <c r="RMK8"/>
      <c r="RML8"/>
      <c r="RMM8"/>
      <c r="RMN8"/>
      <c r="RMO8"/>
      <c r="RMP8"/>
      <c r="RMQ8"/>
      <c r="RMR8"/>
      <c r="RMS8"/>
      <c r="RMT8"/>
      <c r="RMU8"/>
      <c r="RMV8"/>
      <c r="RMW8"/>
      <c r="RMX8"/>
      <c r="RMY8"/>
      <c r="RMZ8"/>
      <c r="RNA8"/>
      <c r="RNB8"/>
      <c r="RNC8"/>
      <c r="RND8"/>
      <c r="RNE8"/>
      <c r="RNF8"/>
      <c r="RNG8"/>
      <c r="RNH8"/>
      <c r="RNI8"/>
      <c r="RNJ8"/>
      <c r="RNK8"/>
      <c r="RNL8"/>
      <c r="RNM8"/>
      <c r="RNN8"/>
      <c r="RNO8"/>
      <c r="RNP8"/>
      <c r="RNQ8"/>
      <c r="RNR8"/>
      <c r="RNS8"/>
      <c r="RNT8"/>
      <c r="RNU8"/>
      <c r="RNV8"/>
      <c r="RNW8"/>
      <c r="RNX8"/>
      <c r="RNY8"/>
      <c r="RNZ8"/>
      <c r="ROA8"/>
      <c r="ROB8"/>
      <c r="ROC8"/>
      <c r="ROD8"/>
      <c r="ROE8"/>
      <c r="ROF8"/>
      <c r="ROG8"/>
      <c r="ROH8"/>
      <c r="ROI8"/>
      <c r="ROJ8"/>
      <c r="ROK8"/>
      <c r="ROL8"/>
      <c r="ROM8"/>
      <c r="RON8"/>
      <c r="ROO8"/>
      <c r="ROP8"/>
      <c r="ROQ8"/>
      <c r="ROR8"/>
      <c r="ROS8"/>
      <c r="ROT8"/>
      <c r="ROU8"/>
      <c r="ROV8"/>
      <c r="ROW8"/>
      <c r="ROX8"/>
      <c r="ROY8"/>
      <c r="ROZ8"/>
      <c r="RPA8"/>
      <c r="RPB8"/>
      <c r="RPC8"/>
      <c r="RPD8"/>
      <c r="RPE8"/>
      <c r="RPF8"/>
      <c r="RPG8"/>
      <c r="RPH8"/>
      <c r="RPI8"/>
      <c r="RPJ8"/>
      <c r="RPK8"/>
      <c r="RPL8"/>
      <c r="RPM8"/>
      <c r="RPN8"/>
      <c r="RPO8"/>
      <c r="RPP8"/>
      <c r="RPQ8"/>
      <c r="RPR8"/>
      <c r="RPS8"/>
      <c r="RPT8"/>
      <c r="RPU8"/>
      <c r="RPV8"/>
      <c r="RPW8"/>
      <c r="RPX8"/>
      <c r="RPY8"/>
      <c r="RPZ8"/>
      <c r="RQA8"/>
      <c r="RQB8"/>
      <c r="RQC8"/>
      <c r="RQD8"/>
      <c r="RQE8"/>
      <c r="RQF8"/>
      <c r="RQG8"/>
      <c r="RQH8"/>
      <c r="RQI8"/>
      <c r="RQJ8"/>
      <c r="RQK8"/>
      <c r="RQL8"/>
      <c r="RQM8"/>
      <c r="RQN8"/>
      <c r="RQO8"/>
      <c r="RQP8"/>
      <c r="RQQ8"/>
      <c r="RQR8"/>
      <c r="RQS8"/>
      <c r="RQT8"/>
      <c r="RQU8"/>
      <c r="RQV8"/>
      <c r="RQW8"/>
      <c r="RQX8"/>
      <c r="RQY8"/>
      <c r="RQZ8"/>
      <c r="RRA8"/>
      <c r="RRB8"/>
      <c r="RRC8"/>
      <c r="RRD8"/>
      <c r="RRE8"/>
      <c r="RRF8"/>
      <c r="RRG8"/>
      <c r="RRH8"/>
      <c r="RRI8"/>
      <c r="RRJ8"/>
      <c r="RRK8"/>
      <c r="RRL8"/>
      <c r="RRM8"/>
      <c r="RRN8"/>
      <c r="RRO8"/>
      <c r="RRP8"/>
      <c r="RRQ8"/>
      <c r="RRR8"/>
      <c r="RRS8"/>
      <c r="RRT8"/>
      <c r="RRU8"/>
      <c r="RRV8"/>
      <c r="RRW8"/>
      <c r="RRX8"/>
      <c r="RRY8"/>
      <c r="RRZ8"/>
      <c r="RSA8"/>
      <c r="RSB8"/>
      <c r="RSC8"/>
      <c r="RSD8"/>
      <c r="RSE8"/>
      <c r="RSF8"/>
      <c r="RSG8"/>
      <c r="RSH8"/>
      <c r="RSI8"/>
      <c r="RSJ8"/>
      <c r="RSK8"/>
      <c r="RSL8"/>
      <c r="RSM8"/>
      <c r="RSN8"/>
      <c r="RSO8"/>
      <c r="RSP8"/>
      <c r="RSQ8"/>
      <c r="RSR8"/>
      <c r="RSS8"/>
      <c r="RST8"/>
      <c r="RSU8"/>
      <c r="RSV8"/>
      <c r="RSW8"/>
      <c r="RSX8"/>
      <c r="RSY8"/>
      <c r="RSZ8"/>
      <c r="RTA8"/>
      <c r="RTB8"/>
      <c r="RTC8"/>
      <c r="RTD8"/>
      <c r="RTE8"/>
      <c r="RTF8"/>
      <c r="RTG8"/>
      <c r="RTH8"/>
      <c r="RTI8"/>
      <c r="RTJ8"/>
      <c r="RTK8"/>
      <c r="RTL8"/>
      <c r="RTM8"/>
      <c r="RTN8"/>
      <c r="RTO8"/>
      <c r="RTP8"/>
      <c r="RTQ8"/>
      <c r="RTR8"/>
      <c r="RTS8"/>
      <c r="RTT8"/>
      <c r="RTU8"/>
      <c r="RTV8"/>
      <c r="RTW8"/>
      <c r="RTX8"/>
      <c r="RTY8"/>
      <c r="RTZ8"/>
      <c r="RUA8"/>
      <c r="RUB8"/>
      <c r="RUC8"/>
      <c r="RUD8"/>
      <c r="RUE8"/>
      <c r="RUF8"/>
      <c r="RUG8"/>
      <c r="RUH8"/>
      <c r="RUI8"/>
      <c r="RUJ8"/>
      <c r="RUK8"/>
      <c r="RUL8"/>
      <c r="RUM8"/>
      <c r="RUN8"/>
      <c r="RUO8"/>
      <c r="RUP8"/>
      <c r="RUQ8"/>
      <c r="RUR8"/>
      <c r="RUS8"/>
      <c r="RUT8"/>
      <c r="RUU8"/>
      <c r="RUV8"/>
      <c r="RUW8"/>
      <c r="RUX8"/>
      <c r="RUY8"/>
      <c r="RUZ8"/>
      <c r="RVA8"/>
      <c r="RVB8"/>
      <c r="RVC8"/>
      <c r="RVD8"/>
      <c r="RVE8"/>
      <c r="RVF8"/>
      <c r="RVG8"/>
      <c r="RVH8"/>
      <c r="RVI8"/>
      <c r="RVJ8"/>
      <c r="RVK8"/>
      <c r="RVL8"/>
      <c r="RVM8"/>
      <c r="RVN8"/>
      <c r="RVO8"/>
      <c r="RVP8"/>
      <c r="RVQ8"/>
      <c r="RVR8"/>
      <c r="RVS8"/>
      <c r="RVT8"/>
      <c r="RVU8"/>
      <c r="RVV8"/>
      <c r="RVW8"/>
      <c r="RVX8"/>
      <c r="RVY8"/>
      <c r="RVZ8"/>
      <c r="RWA8"/>
      <c r="RWB8"/>
      <c r="RWC8"/>
      <c r="RWD8"/>
      <c r="RWE8"/>
      <c r="RWF8"/>
      <c r="RWG8"/>
      <c r="RWH8"/>
      <c r="RWI8"/>
      <c r="RWJ8"/>
      <c r="RWK8"/>
      <c r="RWL8"/>
      <c r="RWM8"/>
      <c r="RWN8"/>
      <c r="RWO8"/>
      <c r="RWP8"/>
      <c r="RWQ8"/>
      <c r="RWR8"/>
      <c r="RWS8"/>
      <c r="RWT8"/>
      <c r="RWU8"/>
      <c r="RWV8"/>
      <c r="RWW8"/>
      <c r="RWX8"/>
      <c r="RWY8"/>
      <c r="RWZ8"/>
      <c r="RXA8"/>
      <c r="RXB8"/>
      <c r="RXC8"/>
      <c r="RXD8"/>
      <c r="RXE8"/>
      <c r="RXF8"/>
      <c r="RXG8"/>
      <c r="RXH8"/>
      <c r="RXI8"/>
      <c r="RXJ8"/>
      <c r="RXK8"/>
      <c r="RXL8"/>
      <c r="RXM8"/>
      <c r="RXN8"/>
      <c r="RXO8"/>
      <c r="RXP8"/>
      <c r="RXQ8"/>
      <c r="RXR8"/>
      <c r="RXS8"/>
      <c r="RXT8"/>
      <c r="RXU8"/>
      <c r="RXV8"/>
      <c r="RXW8"/>
      <c r="RXX8"/>
      <c r="RXY8"/>
      <c r="RXZ8"/>
      <c r="RYA8"/>
      <c r="RYB8"/>
      <c r="RYC8"/>
      <c r="RYD8"/>
      <c r="RYE8"/>
      <c r="RYF8"/>
      <c r="RYG8"/>
      <c r="RYH8"/>
      <c r="RYI8"/>
      <c r="RYJ8"/>
      <c r="RYK8"/>
      <c r="RYL8"/>
      <c r="RYM8"/>
      <c r="RYN8"/>
      <c r="RYO8"/>
      <c r="RYP8"/>
      <c r="RYQ8"/>
      <c r="RYR8"/>
      <c r="RYS8"/>
      <c r="RYT8"/>
      <c r="RYU8"/>
      <c r="RYV8"/>
      <c r="RYW8"/>
      <c r="RYX8"/>
      <c r="RYY8"/>
      <c r="RYZ8"/>
      <c r="RZA8"/>
      <c r="RZB8"/>
      <c r="RZC8"/>
      <c r="RZD8"/>
      <c r="RZE8"/>
      <c r="RZF8"/>
      <c r="RZG8"/>
      <c r="RZH8"/>
      <c r="RZI8"/>
      <c r="RZJ8"/>
      <c r="RZK8"/>
      <c r="RZL8"/>
      <c r="RZM8"/>
      <c r="RZN8"/>
      <c r="RZO8"/>
      <c r="RZP8"/>
      <c r="RZQ8"/>
      <c r="RZR8"/>
      <c r="RZS8"/>
      <c r="RZT8"/>
      <c r="RZU8"/>
      <c r="RZV8"/>
      <c r="RZW8"/>
      <c r="RZX8"/>
      <c r="RZY8"/>
      <c r="RZZ8"/>
      <c r="SAA8"/>
      <c r="SAB8"/>
      <c r="SAC8"/>
      <c r="SAD8"/>
      <c r="SAE8"/>
      <c r="SAF8"/>
      <c r="SAG8"/>
      <c r="SAH8"/>
      <c r="SAI8"/>
      <c r="SAJ8"/>
      <c r="SAK8"/>
      <c r="SAL8"/>
      <c r="SAM8"/>
      <c r="SAN8"/>
      <c r="SAO8"/>
      <c r="SAP8"/>
      <c r="SAQ8"/>
      <c r="SAR8"/>
      <c r="SAS8"/>
      <c r="SAT8"/>
      <c r="SAU8"/>
      <c r="SAV8"/>
      <c r="SAW8"/>
      <c r="SAX8"/>
      <c r="SAY8"/>
      <c r="SAZ8"/>
      <c r="SBA8"/>
      <c r="SBB8"/>
      <c r="SBC8"/>
      <c r="SBD8"/>
      <c r="SBE8"/>
      <c r="SBF8"/>
      <c r="SBG8"/>
      <c r="SBH8"/>
      <c r="SBI8"/>
      <c r="SBJ8"/>
      <c r="SBK8"/>
      <c r="SBL8"/>
      <c r="SBM8"/>
      <c r="SBN8"/>
      <c r="SBO8"/>
      <c r="SBP8"/>
      <c r="SBQ8"/>
      <c r="SBR8"/>
      <c r="SBS8"/>
      <c r="SBT8"/>
      <c r="SBU8"/>
      <c r="SBV8"/>
      <c r="SBW8"/>
      <c r="SBX8"/>
      <c r="SBY8"/>
      <c r="SBZ8"/>
      <c r="SCA8"/>
      <c r="SCB8"/>
      <c r="SCC8"/>
      <c r="SCD8"/>
      <c r="SCE8"/>
      <c r="SCF8"/>
      <c r="SCG8"/>
      <c r="SCH8"/>
      <c r="SCI8"/>
      <c r="SCJ8"/>
      <c r="SCK8"/>
      <c r="SCL8"/>
      <c r="SCM8"/>
      <c r="SCN8"/>
      <c r="SCO8"/>
      <c r="SCP8"/>
      <c r="SCQ8"/>
      <c r="SCR8"/>
      <c r="SCS8"/>
      <c r="SCT8"/>
      <c r="SCU8"/>
      <c r="SCV8"/>
      <c r="SCW8"/>
      <c r="SCX8"/>
      <c r="SCY8"/>
      <c r="SCZ8"/>
      <c r="SDA8"/>
      <c r="SDB8"/>
      <c r="SDC8"/>
      <c r="SDD8"/>
      <c r="SDE8"/>
      <c r="SDF8"/>
      <c r="SDG8"/>
      <c r="SDH8"/>
      <c r="SDI8"/>
      <c r="SDJ8"/>
      <c r="SDK8"/>
      <c r="SDL8"/>
      <c r="SDM8"/>
      <c r="SDN8"/>
      <c r="SDO8"/>
      <c r="SDP8"/>
      <c r="SDQ8"/>
      <c r="SDR8"/>
      <c r="SDS8"/>
      <c r="SDT8"/>
      <c r="SDU8"/>
      <c r="SDV8"/>
      <c r="SDW8"/>
      <c r="SDX8"/>
      <c r="SDY8"/>
      <c r="SDZ8"/>
      <c r="SEA8"/>
      <c r="SEB8"/>
      <c r="SEC8"/>
      <c r="SED8"/>
      <c r="SEE8"/>
      <c r="SEF8"/>
      <c r="SEG8"/>
      <c r="SEH8"/>
      <c r="SEI8"/>
      <c r="SEJ8"/>
      <c r="SEK8"/>
      <c r="SEL8"/>
      <c r="SEM8"/>
      <c r="SEN8"/>
      <c r="SEO8"/>
      <c r="SEP8"/>
      <c r="SEQ8"/>
      <c r="SER8"/>
      <c r="SES8"/>
      <c r="SET8"/>
      <c r="SEU8"/>
      <c r="SEV8"/>
      <c r="SEW8"/>
      <c r="SEX8"/>
      <c r="SEY8"/>
      <c r="SEZ8"/>
      <c r="SFA8"/>
      <c r="SFB8"/>
      <c r="SFC8"/>
      <c r="SFD8"/>
      <c r="SFE8"/>
      <c r="SFF8"/>
      <c r="SFG8"/>
      <c r="SFH8"/>
      <c r="SFI8"/>
      <c r="SFJ8"/>
      <c r="SFK8"/>
      <c r="SFL8"/>
      <c r="SFM8"/>
      <c r="SFN8"/>
      <c r="SFO8"/>
      <c r="SFP8"/>
      <c r="SFQ8"/>
      <c r="SFR8"/>
      <c r="SFS8"/>
      <c r="SFT8"/>
      <c r="SFU8"/>
      <c r="SFV8"/>
      <c r="SFW8"/>
      <c r="SFX8"/>
      <c r="SFY8"/>
      <c r="SFZ8"/>
      <c r="SGA8"/>
      <c r="SGB8"/>
      <c r="SGC8"/>
      <c r="SGD8"/>
      <c r="SGE8"/>
      <c r="SGF8"/>
      <c r="SGG8"/>
      <c r="SGH8"/>
      <c r="SGI8"/>
      <c r="SGJ8"/>
      <c r="SGK8"/>
      <c r="SGL8"/>
      <c r="SGM8"/>
      <c r="SGN8"/>
      <c r="SGO8"/>
      <c r="SGP8"/>
      <c r="SGQ8"/>
      <c r="SGR8"/>
      <c r="SGS8"/>
      <c r="SGT8"/>
      <c r="SGU8"/>
      <c r="SGV8"/>
      <c r="SGW8"/>
      <c r="SGX8"/>
      <c r="SGY8"/>
      <c r="SGZ8"/>
      <c r="SHA8"/>
      <c r="SHB8"/>
      <c r="SHC8"/>
      <c r="SHD8"/>
      <c r="SHE8"/>
      <c r="SHF8"/>
      <c r="SHG8"/>
      <c r="SHH8"/>
      <c r="SHI8"/>
      <c r="SHJ8"/>
      <c r="SHK8"/>
      <c r="SHL8"/>
      <c r="SHM8"/>
      <c r="SHN8"/>
      <c r="SHO8"/>
      <c r="SHP8"/>
      <c r="SHQ8"/>
      <c r="SHR8"/>
      <c r="SHS8"/>
      <c r="SHT8"/>
      <c r="SHU8"/>
      <c r="SHV8"/>
      <c r="SHW8"/>
      <c r="SHX8"/>
      <c r="SHY8"/>
      <c r="SHZ8"/>
      <c r="SIA8"/>
      <c r="SIB8"/>
      <c r="SIC8"/>
      <c r="SID8"/>
      <c r="SIE8"/>
      <c r="SIF8"/>
      <c r="SIG8"/>
      <c r="SIH8"/>
      <c r="SII8"/>
      <c r="SIJ8"/>
      <c r="SIK8"/>
      <c r="SIL8"/>
      <c r="SIM8"/>
      <c r="SIN8"/>
      <c r="SIO8"/>
      <c r="SIP8"/>
      <c r="SIQ8"/>
      <c r="SIR8"/>
      <c r="SIS8"/>
      <c r="SIT8"/>
      <c r="SIU8"/>
      <c r="SIV8"/>
      <c r="SIW8"/>
      <c r="SIX8"/>
      <c r="SIY8"/>
      <c r="SIZ8"/>
      <c r="SJA8"/>
      <c r="SJB8"/>
      <c r="SJC8"/>
      <c r="SJD8"/>
      <c r="SJE8"/>
      <c r="SJF8"/>
      <c r="SJG8"/>
      <c r="SJH8"/>
      <c r="SJI8"/>
      <c r="SJJ8"/>
      <c r="SJK8"/>
      <c r="SJL8"/>
      <c r="SJM8"/>
      <c r="SJN8"/>
      <c r="SJO8"/>
      <c r="SJP8"/>
      <c r="SJQ8"/>
      <c r="SJR8"/>
      <c r="SJS8"/>
      <c r="SJT8"/>
      <c r="SJU8"/>
      <c r="SJV8"/>
      <c r="SJW8"/>
      <c r="SJX8"/>
      <c r="SJY8"/>
      <c r="SJZ8"/>
      <c r="SKA8"/>
      <c r="SKB8"/>
      <c r="SKC8"/>
      <c r="SKD8"/>
      <c r="SKE8"/>
      <c r="SKF8"/>
      <c r="SKG8"/>
      <c r="SKH8"/>
      <c r="SKI8"/>
      <c r="SKJ8"/>
      <c r="SKK8"/>
      <c r="SKL8"/>
      <c r="SKM8"/>
      <c r="SKN8"/>
      <c r="SKO8"/>
      <c r="SKP8"/>
      <c r="SKQ8"/>
      <c r="SKR8"/>
      <c r="SKS8"/>
      <c r="SKT8"/>
      <c r="SKU8"/>
      <c r="SKV8"/>
      <c r="SKW8"/>
      <c r="SKX8"/>
      <c r="SKY8"/>
      <c r="SKZ8"/>
      <c r="SLA8"/>
      <c r="SLB8"/>
      <c r="SLC8"/>
      <c r="SLD8"/>
      <c r="SLE8"/>
      <c r="SLF8"/>
      <c r="SLG8"/>
      <c r="SLH8"/>
      <c r="SLI8"/>
      <c r="SLJ8"/>
      <c r="SLK8"/>
      <c r="SLL8"/>
      <c r="SLM8"/>
      <c r="SLN8"/>
      <c r="SLO8"/>
      <c r="SLP8"/>
      <c r="SLQ8"/>
      <c r="SLR8"/>
      <c r="SLS8"/>
      <c r="SLT8"/>
      <c r="SLU8"/>
      <c r="SLV8"/>
      <c r="SLW8"/>
      <c r="SLX8"/>
      <c r="SLY8"/>
      <c r="SLZ8"/>
      <c r="SMA8"/>
      <c r="SMB8"/>
      <c r="SMC8"/>
      <c r="SMD8"/>
      <c r="SME8"/>
      <c r="SMF8"/>
      <c r="SMG8"/>
      <c r="SMH8"/>
      <c r="SMI8"/>
      <c r="SMJ8"/>
      <c r="SMK8"/>
      <c r="SML8"/>
      <c r="SMM8"/>
      <c r="SMN8"/>
      <c r="SMO8"/>
      <c r="SMP8"/>
      <c r="SMQ8"/>
      <c r="SMR8"/>
      <c r="SMS8"/>
      <c r="SMT8"/>
      <c r="SMU8"/>
      <c r="SMV8"/>
      <c r="SMW8"/>
      <c r="SMX8"/>
      <c r="SMY8"/>
      <c r="SMZ8"/>
      <c r="SNA8"/>
      <c r="SNB8"/>
      <c r="SNC8"/>
      <c r="SND8"/>
      <c r="SNE8"/>
      <c r="SNF8"/>
      <c r="SNG8"/>
      <c r="SNH8"/>
      <c r="SNI8"/>
      <c r="SNJ8"/>
      <c r="SNK8"/>
      <c r="SNL8"/>
      <c r="SNM8"/>
      <c r="SNN8"/>
      <c r="SNO8"/>
      <c r="SNP8"/>
      <c r="SNQ8"/>
      <c r="SNR8"/>
      <c r="SNS8"/>
      <c r="SNT8"/>
      <c r="SNU8"/>
      <c r="SNV8"/>
      <c r="SNW8"/>
      <c r="SNX8"/>
      <c r="SNY8"/>
      <c r="SNZ8"/>
      <c r="SOA8"/>
      <c r="SOB8"/>
      <c r="SOC8"/>
      <c r="SOD8"/>
      <c r="SOE8"/>
      <c r="SOF8"/>
      <c r="SOG8"/>
      <c r="SOH8"/>
      <c r="SOI8"/>
      <c r="SOJ8"/>
      <c r="SOK8"/>
      <c r="SOL8"/>
      <c r="SOM8"/>
      <c r="SON8"/>
      <c r="SOO8"/>
      <c r="SOP8"/>
      <c r="SOQ8"/>
      <c r="SOR8"/>
      <c r="SOS8"/>
      <c r="SOT8"/>
      <c r="SOU8"/>
      <c r="SOV8"/>
      <c r="SOW8"/>
      <c r="SOX8"/>
      <c r="SOY8"/>
      <c r="SOZ8"/>
      <c r="SPA8"/>
      <c r="SPB8"/>
      <c r="SPC8"/>
      <c r="SPD8"/>
      <c r="SPE8"/>
      <c r="SPF8"/>
      <c r="SPG8"/>
      <c r="SPH8"/>
      <c r="SPI8"/>
      <c r="SPJ8"/>
      <c r="SPK8"/>
      <c r="SPL8"/>
      <c r="SPM8"/>
      <c r="SPN8"/>
      <c r="SPO8"/>
      <c r="SPP8"/>
      <c r="SPQ8"/>
      <c r="SPR8"/>
      <c r="SPS8"/>
      <c r="SPT8"/>
      <c r="SPU8"/>
      <c r="SPV8"/>
      <c r="SPW8"/>
      <c r="SPX8"/>
      <c r="SPY8"/>
      <c r="SPZ8"/>
      <c r="SQA8"/>
      <c r="SQB8"/>
      <c r="SQC8"/>
      <c r="SQD8"/>
      <c r="SQE8"/>
      <c r="SQF8"/>
      <c r="SQG8"/>
      <c r="SQH8"/>
      <c r="SQI8"/>
      <c r="SQJ8"/>
      <c r="SQK8"/>
      <c r="SQL8"/>
      <c r="SQM8"/>
      <c r="SQN8"/>
      <c r="SQO8"/>
      <c r="SQP8"/>
      <c r="SQQ8"/>
      <c r="SQR8"/>
      <c r="SQS8"/>
      <c r="SQT8"/>
      <c r="SQU8"/>
      <c r="SQV8"/>
      <c r="SQW8"/>
      <c r="SQX8"/>
      <c r="SQY8"/>
      <c r="SQZ8"/>
      <c r="SRA8"/>
      <c r="SRB8"/>
      <c r="SRC8"/>
      <c r="SRD8"/>
      <c r="SRE8"/>
      <c r="SRF8"/>
      <c r="SRG8"/>
      <c r="SRH8"/>
      <c r="SRI8"/>
      <c r="SRJ8"/>
      <c r="SRK8"/>
      <c r="SRL8"/>
      <c r="SRM8"/>
      <c r="SRN8"/>
      <c r="SRO8"/>
      <c r="SRP8"/>
      <c r="SRQ8"/>
      <c r="SRR8"/>
      <c r="SRS8"/>
      <c r="SRT8"/>
      <c r="SRU8"/>
      <c r="SRV8"/>
      <c r="SRW8"/>
      <c r="SRX8"/>
      <c r="SRY8"/>
      <c r="SRZ8"/>
      <c r="SSA8"/>
      <c r="SSB8"/>
      <c r="SSC8"/>
      <c r="SSD8"/>
      <c r="SSE8"/>
      <c r="SSF8"/>
      <c r="SSG8"/>
      <c r="SSH8"/>
      <c r="SSI8"/>
      <c r="SSJ8"/>
      <c r="SSK8"/>
      <c r="SSL8"/>
      <c r="SSM8"/>
      <c r="SSN8"/>
      <c r="SSO8"/>
      <c r="SSP8"/>
      <c r="SSQ8"/>
      <c r="SSR8"/>
      <c r="SSS8"/>
      <c r="SST8"/>
      <c r="SSU8"/>
      <c r="SSV8"/>
      <c r="SSW8"/>
      <c r="SSX8"/>
      <c r="SSY8"/>
      <c r="SSZ8"/>
      <c r="STA8"/>
      <c r="STB8"/>
      <c r="STC8"/>
      <c r="STD8"/>
      <c r="STE8"/>
      <c r="STF8"/>
      <c r="STG8"/>
      <c r="STH8"/>
      <c r="STI8"/>
      <c r="STJ8"/>
      <c r="STK8"/>
      <c r="STL8"/>
      <c r="STM8"/>
      <c r="STN8"/>
      <c r="STO8"/>
      <c r="STP8"/>
      <c r="STQ8"/>
      <c r="STR8"/>
      <c r="STS8"/>
      <c r="STT8"/>
      <c r="STU8"/>
      <c r="STV8"/>
      <c r="STW8"/>
      <c r="STX8"/>
      <c r="STY8"/>
      <c r="STZ8"/>
      <c r="SUA8"/>
      <c r="SUB8"/>
      <c r="SUC8"/>
      <c r="SUD8"/>
      <c r="SUE8"/>
      <c r="SUF8"/>
      <c r="SUG8"/>
      <c r="SUH8"/>
      <c r="SUI8"/>
      <c r="SUJ8"/>
      <c r="SUK8"/>
      <c r="SUL8"/>
      <c r="SUM8"/>
      <c r="SUN8"/>
      <c r="SUO8"/>
      <c r="SUP8"/>
      <c r="SUQ8"/>
      <c r="SUR8"/>
      <c r="SUS8"/>
      <c r="SUT8"/>
      <c r="SUU8"/>
      <c r="SUV8"/>
      <c r="SUW8"/>
      <c r="SUX8"/>
      <c r="SUY8"/>
      <c r="SUZ8"/>
      <c r="SVA8"/>
      <c r="SVB8"/>
      <c r="SVC8"/>
      <c r="SVD8"/>
      <c r="SVE8"/>
      <c r="SVF8"/>
      <c r="SVG8"/>
      <c r="SVH8"/>
      <c r="SVI8"/>
      <c r="SVJ8"/>
      <c r="SVK8"/>
      <c r="SVL8"/>
      <c r="SVM8"/>
      <c r="SVN8"/>
      <c r="SVO8"/>
      <c r="SVP8"/>
      <c r="SVQ8"/>
      <c r="SVR8"/>
      <c r="SVS8"/>
      <c r="SVT8"/>
      <c r="SVU8"/>
      <c r="SVV8"/>
      <c r="SVW8"/>
      <c r="SVX8"/>
      <c r="SVY8"/>
      <c r="SVZ8"/>
      <c r="SWA8"/>
      <c r="SWB8"/>
      <c r="SWC8"/>
      <c r="SWD8"/>
      <c r="SWE8"/>
      <c r="SWF8"/>
      <c r="SWG8"/>
      <c r="SWH8"/>
      <c r="SWI8"/>
      <c r="SWJ8"/>
      <c r="SWK8"/>
      <c r="SWL8"/>
      <c r="SWM8"/>
      <c r="SWN8"/>
      <c r="SWO8"/>
      <c r="SWP8"/>
      <c r="SWQ8"/>
      <c r="SWR8"/>
      <c r="SWS8"/>
      <c r="SWT8"/>
      <c r="SWU8"/>
      <c r="SWV8"/>
      <c r="SWW8"/>
      <c r="SWX8"/>
      <c r="SWY8"/>
      <c r="SWZ8"/>
      <c r="SXA8"/>
      <c r="SXB8"/>
      <c r="SXC8"/>
      <c r="SXD8"/>
      <c r="SXE8"/>
      <c r="SXF8"/>
      <c r="SXG8"/>
      <c r="SXH8"/>
      <c r="SXI8"/>
      <c r="SXJ8"/>
      <c r="SXK8"/>
      <c r="SXL8"/>
      <c r="SXM8"/>
      <c r="SXN8"/>
      <c r="SXO8"/>
      <c r="SXP8"/>
      <c r="SXQ8"/>
      <c r="SXR8"/>
      <c r="SXS8"/>
      <c r="SXT8"/>
      <c r="SXU8"/>
      <c r="SXV8"/>
      <c r="SXW8"/>
      <c r="SXX8"/>
      <c r="SXY8"/>
      <c r="SXZ8"/>
      <c r="SYA8"/>
      <c r="SYB8"/>
      <c r="SYC8"/>
      <c r="SYD8"/>
      <c r="SYE8"/>
      <c r="SYF8"/>
      <c r="SYG8"/>
      <c r="SYH8"/>
      <c r="SYI8"/>
      <c r="SYJ8"/>
      <c r="SYK8"/>
      <c r="SYL8"/>
      <c r="SYM8"/>
      <c r="SYN8"/>
      <c r="SYO8"/>
      <c r="SYP8"/>
      <c r="SYQ8"/>
      <c r="SYR8"/>
      <c r="SYS8"/>
      <c r="SYT8"/>
      <c r="SYU8"/>
      <c r="SYV8"/>
      <c r="SYW8"/>
      <c r="SYX8"/>
      <c r="SYY8"/>
      <c r="SYZ8"/>
      <c r="SZA8"/>
      <c r="SZB8"/>
      <c r="SZC8"/>
      <c r="SZD8"/>
      <c r="SZE8"/>
      <c r="SZF8"/>
      <c r="SZG8"/>
      <c r="SZH8"/>
      <c r="SZI8"/>
      <c r="SZJ8"/>
      <c r="SZK8"/>
      <c r="SZL8"/>
      <c r="SZM8"/>
      <c r="SZN8"/>
      <c r="SZO8"/>
      <c r="SZP8"/>
      <c r="SZQ8"/>
      <c r="SZR8"/>
      <c r="SZS8"/>
      <c r="SZT8"/>
      <c r="SZU8"/>
      <c r="SZV8"/>
      <c r="SZW8"/>
      <c r="SZX8"/>
      <c r="SZY8"/>
      <c r="SZZ8"/>
      <c r="TAA8"/>
      <c r="TAB8"/>
      <c r="TAC8"/>
      <c r="TAD8"/>
      <c r="TAE8"/>
      <c r="TAF8"/>
      <c r="TAG8"/>
      <c r="TAH8"/>
      <c r="TAI8"/>
      <c r="TAJ8"/>
      <c r="TAK8"/>
      <c r="TAL8"/>
      <c r="TAM8"/>
      <c r="TAN8"/>
      <c r="TAO8"/>
      <c r="TAP8"/>
      <c r="TAQ8"/>
      <c r="TAR8"/>
      <c r="TAS8"/>
      <c r="TAT8"/>
      <c r="TAU8"/>
      <c r="TAV8"/>
      <c r="TAW8"/>
      <c r="TAX8"/>
      <c r="TAY8"/>
      <c r="TAZ8"/>
      <c r="TBA8"/>
      <c r="TBB8"/>
      <c r="TBC8"/>
      <c r="TBD8"/>
      <c r="TBE8"/>
      <c r="TBF8"/>
      <c r="TBG8"/>
      <c r="TBH8"/>
      <c r="TBI8"/>
      <c r="TBJ8"/>
      <c r="TBK8"/>
      <c r="TBL8"/>
      <c r="TBM8"/>
      <c r="TBN8"/>
      <c r="TBO8"/>
      <c r="TBP8"/>
      <c r="TBQ8"/>
      <c r="TBR8"/>
      <c r="TBS8"/>
      <c r="TBT8"/>
      <c r="TBU8"/>
      <c r="TBV8"/>
      <c r="TBW8"/>
      <c r="TBX8"/>
      <c r="TBY8"/>
      <c r="TBZ8"/>
      <c r="TCA8"/>
      <c r="TCB8"/>
      <c r="TCC8"/>
      <c r="TCD8"/>
      <c r="TCE8"/>
      <c r="TCF8"/>
      <c r="TCG8"/>
      <c r="TCH8"/>
      <c r="TCI8"/>
      <c r="TCJ8"/>
      <c r="TCK8"/>
      <c r="TCL8"/>
      <c r="TCM8"/>
      <c r="TCN8"/>
      <c r="TCO8"/>
      <c r="TCP8"/>
      <c r="TCQ8"/>
      <c r="TCR8"/>
      <c r="TCS8"/>
      <c r="TCT8"/>
      <c r="TCU8"/>
      <c r="TCV8"/>
      <c r="TCW8"/>
      <c r="TCX8"/>
      <c r="TCY8"/>
      <c r="TCZ8"/>
      <c r="TDA8"/>
      <c r="TDB8"/>
      <c r="TDC8"/>
      <c r="TDD8"/>
      <c r="TDE8"/>
      <c r="TDF8"/>
      <c r="TDG8"/>
      <c r="TDH8"/>
      <c r="TDI8"/>
      <c r="TDJ8"/>
      <c r="TDK8"/>
      <c r="TDL8"/>
      <c r="TDM8"/>
      <c r="TDN8"/>
      <c r="TDO8"/>
      <c r="TDP8"/>
      <c r="TDQ8"/>
      <c r="TDR8"/>
      <c r="TDS8"/>
      <c r="TDT8"/>
      <c r="TDU8"/>
      <c r="TDV8"/>
      <c r="TDW8"/>
      <c r="TDX8"/>
      <c r="TDY8"/>
      <c r="TDZ8"/>
      <c r="TEA8"/>
      <c r="TEB8"/>
      <c r="TEC8"/>
      <c r="TED8"/>
      <c r="TEE8"/>
      <c r="TEF8"/>
      <c r="TEG8"/>
      <c r="TEH8"/>
      <c r="TEI8"/>
      <c r="TEJ8"/>
      <c r="TEK8"/>
      <c r="TEL8"/>
      <c r="TEM8"/>
      <c r="TEN8"/>
      <c r="TEO8"/>
      <c r="TEP8"/>
      <c r="TEQ8"/>
      <c r="TER8"/>
      <c r="TES8"/>
      <c r="TET8"/>
      <c r="TEU8"/>
      <c r="TEV8"/>
      <c r="TEW8"/>
      <c r="TEX8"/>
      <c r="TEY8"/>
      <c r="TEZ8"/>
      <c r="TFA8"/>
      <c r="TFB8"/>
      <c r="TFC8"/>
      <c r="TFD8"/>
      <c r="TFE8"/>
      <c r="TFF8"/>
      <c r="TFG8"/>
      <c r="TFH8"/>
      <c r="TFI8"/>
      <c r="TFJ8"/>
      <c r="TFK8"/>
      <c r="TFL8"/>
      <c r="TFM8"/>
      <c r="TFN8"/>
      <c r="TFO8"/>
      <c r="TFP8"/>
      <c r="TFQ8"/>
      <c r="TFR8"/>
      <c r="TFS8"/>
      <c r="TFT8"/>
      <c r="TFU8"/>
      <c r="TFV8"/>
      <c r="TFW8"/>
      <c r="TFX8"/>
      <c r="TFY8"/>
      <c r="TFZ8"/>
      <c r="TGA8"/>
      <c r="TGB8"/>
      <c r="TGC8"/>
      <c r="TGD8"/>
      <c r="TGE8"/>
      <c r="TGF8"/>
      <c r="TGG8"/>
      <c r="TGH8"/>
      <c r="TGI8"/>
      <c r="TGJ8"/>
      <c r="TGK8"/>
      <c r="TGL8"/>
      <c r="TGM8"/>
      <c r="TGN8"/>
      <c r="TGO8"/>
      <c r="TGP8"/>
      <c r="TGQ8"/>
      <c r="TGR8"/>
      <c r="TGS8"/>
      <c r="TGT8"/>
      <c r="TGU8"/>
      <c r="TGV8"/>
      <c r="TGW8"/>
      <c r="TGX8"/>
      <c r="TGY8"/>
      <c r="TGZ8"/>
      <c r="THA8"/>
      <c r="THB8"/>
      <c r="THC8"/>
      <c r="THD8"/>
      <c r="THE8"/>
      <c r="THF8"/>
      <c r="THG8"/>
      <c r="THH8"/>
      <c r="THI8"/>
      <c r="THJ8"/>
      <c r="THK8"/>
      <c r="THL8"/>
      <c r="THM8"/>
      <c r="THN8"/>
      <c r="THO8"/>
      <c r="THP8"/>
      <c r="THQ8"/>
      <c r="THR8"/>
      <c r="THS8"/>
      <c r="THT8"/>
      <c r="THU8"/>
      <c r="THV8"/>
      <c r="THW8"/>
      <c r="THX8"/>
      <c r="THY8"/>
      <c r="THZ8"/>
      <c r="TIA8"/>
      <c r="TIB8"/>
      <c r="TIC8"/>
      <c r="TID8"/>
      <c r="TIE8"/>
      <c r="TIF8"/>
      <c r="TIG8"/>
      <c r="TIH8"/>
      <c r="TII8"/>
      <c r="TIJ8"/>
      <c r="TIK8"/>
      <c r="TIL8"/>
      <c r="TIM8"/>
      <c r="TIN8"/>
      <c r="TIO8"/>
      <c r="TIP8"/>
      <c r="TIQ8"/>
      <c r="TIR8"/>
      <c r="TIS8"/>
      <c r="TIT8"/>
      <c r="TIU8"/>
      <c r="TIV8"/>
      <c r="TIW8"/>
      <c r="TIX8"/>
      <c r="TIY8"/>
      <c r="TIZ8"/>
      <c r="TJA8"/>
      <c r="TJB8"/>
      <c r="TJC8"/>
      <c r="TJD8"/>
      <c r="TJE8"/>
      <c r="TJF8"/>
      <c r="TJG8"/>
      <c r="TJH8"/>
      <c r="TJI8"/>
      <c r="TJJ8"/>
      <c r="TJK8"/>
      <c r="TJL8"/>
      <c r="TJM8"/>
      <c r="TJN8"/>
      <c r="TJO8"/>
      <c r="TJP8"/>
      <c r="TJQ8"/>
      <c r="TJR8"/>
      <c r="TJS8"/>
      <c r="TJT8"/>
      <c r="TJU8"/>
      <c r="TJV8"/>
      <c r="TJW8"/>
      <c r="TJX8"/>
      <c r="TJY8"/>
      <c r="TJZ8"/>
      <c r="TKA8"/>
      <c r="TKB8"/>
      <c r="TKC8"/>
      <c r="TKD8"/>
      <c r="TKE8"/>
      <c r="TKF8"/>
      <c r="TKG8"/>
      <c r="TKH8"/>
      <c r="TKI8"/>
      <c r="TKJ8"/>
      <c r="TKK8"/>
      <c r="TKL8"/>
      <c r="TKM8"/>
      <c r="TKN8"/>
      <c r="TKO8"/>
      <c r="TKP8"/>
      <c r="TKQ8"/>
      <c r="TKR8"/>
      <c r="TKS8"/>
      <c r="TKT8"/>
      <c r="TKU8"/>
      <c r="TKV8"/>
      <c r="TKW8"/>
      <c r="TKX8"/>
      <c r="TKY8"/>
      <c r="TKZ8"/>
      <c r="TLA8"/>
      <c r="TLB8"/>
      <c r="TLC8"/>
      <c r="TLD8"/>
      <c r="TLE8"/>
      <c r="TLF8"/>
      <c r="TLG8"/>
      <c r="TLH8"/>
      <c r="TLI8"/>
      <c r="TLJ8"/>
      <c r="TLK8"/>
      <c r="TLL8"/>
      <c r="TLM8"/>
      <c r="TLN8"/>
      <c r="TLO8"/>
      <c r="TLP8"/>
      <c r="TLQ8"/>
      <c r="TLR8"/>
      <c r="TLS8"/>
      <c r="TLT8"/>
      <c r="TLU8"/>
      <c r="TLV8"/>
      <c r="TLW8"/>
      <c r="TLX8"/>
      <c r="TLY8"/>
      <c r="TLZ8"/>
      <c r="TMA8"/>
      <c r="TMB8"/>
      <c r="TMC8"/>
      <c r="TMD8"/>
      <c r="TME8"/>
      <c r="TMF8"/>
      <c r="TMG8"/>
      <c r="TMH8"/>
      <c r="TMI8"/>
      <c r="TMJ8"/>
      <c r="TMK8"/>
      <c r="TML8"/>
      <c r="TMM8"/>
      <c r="TMN8"/>
      <c r="TMO8"/>
      <c r="TMP8"/>
      <c r="TMQ8"/>
      <c r="TMR8"/>
      <c r="TMS8"/>
      <c r="TMT8"/>
      <c r="TMU8"/>
      <c r="TMV8"/>
      <c r="TMW8"/>
      <c r="TMX8"/>
      <c r="TMY8"/>
      <c r="TMZ8"/>
      <c r="TNA8"/>
      <c r="TNB8"/>
      <c r="TNC8"/>
      <c r="TND8"/>
      <c r="TNE8"/>
      <c r="TNF8"/>
      <c r="TNG8"/>
      <c r="TNH8"/>
      <c r="TNI8"/>
      <c r="TNJ8"/>
      <c r="TNK8"/>
      <c r="TNL8"/>
      <c r="TNM8"/>
      <c r="TNN8"/>
      <c r="TNO8"/>
      <c r="TNP8"/>
      <c r="TNQ8"/>
      <c r="TNR8"/>
      <c r="TNS8"/>
      <c r="TNT8"/>
      <c r="TNU8"/>
      <c r="TNV8"/>
      <c r="TNW8"/>
      <c r="TNX8"/>
      <c r="TNY8"/>
      <c r="TNZ8"/>
      <c r="TOA8"/>
      <c r="TOB8"/>
      <c r="TOC8"/>
      <c r="TOD8"/>
      <c r="TOE8"/>
      <c r="TOF8"/>
      <c r="TOG8"/>
      <c r="TOH8"/>
      <c r="TOI8"/>
      <c r="TOJ8"/>
      <c r="TOK8"/>
      <c r="TOL8"/>
      <c r="TOM8"/>
      <c r="TON8"/>
      <c r="TOO8"/>
      <c r="TOP8"/>
      <c r="TOQ8"/>
      <c r="TOR8"/>
      <c r="TOS8"/>
      <c r="TOT8"/>
      <c r="TOU8"/>
      <c r="TOV8"/>
      <c r="TOW8"/>
      <c r="TOX8"/>
      <c r="TOY8"/>
      <c r="TOZ8"/>
      <c r="TPA8"/>
      <c r="TPB8"/>
      <c r="TPC8"/>
      <c r="TPD8"/>
      <c r="TPE8"/>
      <c r="TPF8"/>
      <c r="TPG8"/>
      <c r="TPH8"/>
      <c r="TPI8"/>
      <c r="TPJ8"/>
      <c r="TPK8"/>
      <c r="TPL8"/>
      <c r="TPM8"/>
      <c r="TPN8"/>
      <c r="TPO8"/>
      <c r="TPP8"/>
      <c r="TPQ8"/>
      <c r="TPR8"/>
      <c r="TPS8"/>
      <c r="TPT8"/>
      <c r="TPU8"/>
      <c r="TPV8"/>
      <c r="TPW8"/>
      <c r="TPX8"/>
      <c r="TPY8"/>
      <c r="TPZ8"/>
      <c r="TQA8"/>
      <c r="TQB8"/>
      <c r="TQC8"/>
      <c r="TQD8"/>
      <c r="TQE8"/>
      <c r="TQF8"/>
      <c r="TQG8"/>
      <c r="TQH8"/>
      <c r="TQI8"/>
      <c r="TQJ8"/>
      <c r="TQK8"/>
      <c r="TQL8"/>
      <c r="TQM8"/>
      <c r="TQN8"/>
      <c r="TQO8"/>
      <c r="TQP8"/>
      <c r="TQQ8"/>
      <c r="TQR8"/>
      <c r="TQS8"/>
      <c r="TQT8"/>
      <c r="TQU8"/>
      <c r="TQV8"/>
      <c r="TQW8"/>
      <c r="TQX8"/>
      <c r="TQY8"/>
      <c r="TQZ8"/>
      <c r="TRA8"/>
      <c r="TRB8"/>
      <c r="TRC8"/>
      <c r="TRD8"/>
      <c r="TRE8"/>
      <c r="TRF8"/>
      <c r="TRG8"/>
      <c r="TRH8"/>
      <c r="TRI8"/>
      <c r="TRJ8"/>
      <c r="TRK8"/>
      <c r="TRL8"/>
      <c r="TRM8"/>
      <c r="TRN8"/>
      <c r="TRO8"/>
      <c r="TRP8"/>
      <c r="TRQ8"/>
      <c r="TRR8"/>
      <c r="TRS8"/>
      <c r="TRT8"/>
      <c r="TRU8"/>
      <c r="TRV8"/>
      <c r="TRW8"/>
      <c r="TRX8"/>
      <c r="TRY8"/>
      <c r="TRZ8"/>
      <c r="TSA8"/>
      <c r="TSB8"/>
      <c r="TSC8"/>
      <c r="TSD8"/>
      <c r="TSE8"/>
      <c r="TSF8"/>
      <c r="TSG8"/>
      <c r="TSH8"/>
      <c r="TSI8"/>
      <c r="TSJ8"/>
      <c r="TSK8"/>
      <c r="TSL8"/>
      <c r="TSM8"/>
      <c r="TSN8"/>
      <c r="TSO8"/>
      <c r="TSP8"/>
      <c r="TSQ8"/>
      <c r="TSR8"/>
      <c r="TSS8"/>
      <c r="TST8"/>
      <c r="TSU8"/>
      <c r="TSV8"/>
      <c r="TSW8"/>
      <c r="TSX8"/>
      <c r="TSY8"/>
      <c r="TSZ8"/>
      <c r="TTA8"/>
      <c r="TTB8"/>
      <c r="TTC8"/>
      <c r="TTD8"/>
      <c r="TTE8"/>
      <c r="TTF8"/>
      <c r="TTG8"/>
      <c r="TTH8"/>
      <c r="TTI8"/>
      <c r="TTJ8"/>
      <c r="TTK8"/>
      <c r="TTL8"/>
      <c r="TTM8"/>
      <c r="TTN8"/>
      <c r="TTO8"/>
      <c r="TTP8"/>
      <c r="TTQ8"/>
      <c r="TTR8"/>
      <c r="TTS8"/>
      <c r="TTT8"/>
      <c r="TTU8"/>
      <c r="TTV8"/>
      <c r="TTW8"/>
      <c r="TTX8"/>
      <c r="TTY8"/>
      <c r="TTZ8"/>
      <c r="TUA8"/>
      <c r="TUB8"/>
      <c r="TUC8"/>
      <c r="TUD8"/>
      <c r="TUE8"/>
      <c r="TUF8"/>
      <c r="TUG8"/>
      <c r="TUH8"/>
      <c r="TUI8"/>
      <c r="TUJ8"/>
      <c r="TUK8"/>
      <c r="TUL8"/>
      <c r="TUM8"/>
      <c r="TUN8"/>
      <c r="TUO8"/>
      <c r="TUP8"/>
      <c r="TUQ8"/>
      <c r="TUR8"/>
      <c r="TUS8"/>
      <c r="TUT8"/>
      <c r="TUU8"/>
      <c r="TUV8"/>
      <c r="TUW8"/>
      <c r="TUX8"/>
      <c r="TUY8"/>
      <c r="TUZ8"/>
      <c r="TVA8"/>
      <c r="TVB8"/>
      <c r="TVC8"/>
      <c r="TVD8"/>
      <c r="TVE8"/>
      <c r="TVF8"/>
      <c r="TVG8"/>
      <c r="TVH8"/>
      <c r="TVI8"/>
      <c r="TVJ8"/>
      <c r="TVK8"/>
      <c r="TVL8"/>
      <c r="TVM8"/>
      <c r="TVN8"/>
      <c r="TVO8"/>
      <c r="TVP8"/>
      <c r="TVQ8"/>
      <c r="TVR8"/>
      <c r="TVS8"/>
      <c r="TVT8"/>
      <c r="TVU8"/>
      <c r="TVV8"/>
      <c r="TVW8"/>
      <c r="TVX8"/>
      <c r="TVY8"/>
      <c r="TVZ8"/>
      <c r="TWA8"/>
      <c r="TWB8"/>
      <c r="TWC8"/>
      <c r="TWD8"/>
      <c r="TWE8"/>
      <c r="TWF8"/>
      <c r="TWG8"/>
      <c r="TWH8"/>
      <c r="TWI8"/>
      <c r="TWJ8"/>
      <c r="TWK8"/>
      <c r="TWL8"/>
      <c r="TWM8"/>
      <c r="TWN8"/>
      <c r="TWO8"/>
      <c r="TWP8"/>
      <c r="TWQ8"/>
      <c r="TWR8"/>
      <c r="TWS8"/>
      <c r="TWT8"/>
      <c r="TWU8"/>
      <c r="TWV8"/>
      <c r="TWW8"/>
      <c r="TWX8"/>
      <c r="TWY8"/>
      <c r="TWZ8"/>
      <c r="TXA8"/>
      <c r="TXB8"/>
      <c r="TXC8"/>
      <c r="TXD8"/>
      <c r="TXE8"/>
      <c r="TXF8"/>
      <c r="TXG8"/>
      <c r="TXH8"/>
      <c r="TXI8"/>
      <c r="TXJ8"/>
      <c r="TXK8"/>
      <c r="TXL8"/>
      <c r="TXM8"/>
      <c r="TXN8"/>
      <c r="TXO8"/>
      <c r="TXP8"/>
      <c r="TXQ8"/>
      <c r="TXR8"/>
      <c r="TXS8"/>
      <c r="TXT8"/>
      <c r="TXU8"/>
      <c r="TXV8"/>
      <c r="TXW8"/>
      <c r="TXX8"/>
      <c r="TXY8"/>
      <c r="TXZ8"/>
      <c r="TYA8"/>
      <c r="TYB8"/>
      <c r="TYC8"/>
      <c r="TYD8"/>
      <c r="TYE8"/>
      <c r="TYF8"/>
      <c r="TYG8"/>
      <c r="TYH8"/>
      <c r="TYI8"/>
      <c r="TYJ8"/>
      <c r="TYK8"/>
      <c r="TYL8"/>
      <c r="TYM8"/>
      <c r="TYN8"/>
      <c r="TYO8"/>
      <c r="TYP8"/>
      <c r="TYQ8"/>
      <c r="TYR8"/>
      <c r="TYS8"/>
      <c r="TYT8"/>
      <c r="TYU8"/>
      <c r="TYV8"/>
      <c r="TYW8"/>
      <c r="TYX8"/>
      <c r="TYY8"/>
      <c r="TYZ8"/>
      <c r="TZA8"/>
      <c r="TZB8"/>
      <c r="TZC8"/>
      <c r="TZD8"/>
      <c r="TZE8"/>
      <c r="TZF8"/>
      <c r="TZG8"/>
      <c r="TZH8"/>
      <c r="TZI8"/>
      <c r="TZJ8"/>
      <c r="TZK8"/>
      <c r="TZL8"/>
      <c r="TZM8"/>
      <c r="TZN8"/>
      <c r="TZO8"/>
      <c r="TZP8"/>
      <c r="TZQ8"/>
      <c r="TZR8"/>
      <c r="TZS8"/>
      <c r="TZT8"/>
      <c r="TZU8"/>
      <c r="TZV8"/>
      <c r="TZW8"/>
      <c r="TZX8"/>
      <c r="TZY8"/>
      <c r="TZZ8"/>
      <c r="UAA8"/>
      <c r="UAB8"/>
      <c r="UAC8"/>
      <c r="UAD8"/>
      <c r="UAE8"/>
      <c r="UAF8"/>
      <c r="UAG8"/>
      <c r="UAH8"/>
      <c r="UAI8"/>
      <c r="UAJ8"/>
      <c r="UAK8"/>
      <c r="UAL8"/>
      <c r="UAM8"/>
      <c r="UAN8"/>
      <c r="UAO8"/>
      <c r="UAP8"/>
      <c r="UAQ8"/>
      <c r="UAR8"/>
      <c r="UAS8"/>
      <c r="UAT8"/>
      <c r="UAU8"/>
      <c r="UAV8"/>
      <c r="UAW8"/>
      <c r="UAX8"/>
      <c r="UAY8"/>
      <c r="UAZ8"/>
      <c r="UBA8"/>
      <c r="UBB8"/>
      <c r="UBC8"/>
      <c r="UBD8"/>
      <c r="UBE8"/>
      <c r="UBF8"/>
      <c r="UBG8"/>
      <c r="UBH8"/>
      <c r="UBI8"/>
      <c r="UBJ8"/>
      <c r="UBK8"/>
      <c r="UBL8"/>
      <c r="UBM8"/>
      <c r="UBN8"/>
      <c r="UBO8"/>
      <c r="UBP8"/>
      <c r="UBQ8"/>
      <c r="UBR8"/>
      <c r="UBS8"/>
      <c r="UBT8"/>
      <c r="UBU8"/>
      <c r="UBV8"/>
      <c r="UBW8"/>
      <c r="UBX8"/>
      <c r="UBY8"/>
      <c r="UBZ8"/>
      <c r="UCA8"/>
      <c r="UCB8"/>
      <c r="UCC8"/>
      <c r="UCD8"/>
      <c r="UCE8"/>
      <c r="UCF8"/>
      <c r="UCG8"/>
      <c r="UCH8"/>
      <c r="UCI8"/>
      <c r="UCJ8"/>
      <c r="UCK8"/>
      <c r="UCL8"/>
      <c r="UCM8"/>
      <c r="UCN8"/>
      <c r="UCO8"/>
      <c r="UCP8"/>
      <c r="UCQ8"/>
      <c r="UCR8"/>
      <c r="UCS8"/>
      <c r="UCT8"/>
      <c r="UCU8"/>
      <c r="UCV8"/>
      <c r="UCW8"/>
      <c r="UCX8"/>
      <c r="UCY8"/>
      <c r="UCZ8"/>
      <c r="UDA8"/>
      <c r="UDB8"/>
      <c r="UDC8"/>
      <c r="UDD8"/>
      <c r="UDE8"/>
      <c r="UDF8"/>
      <c r="UDG8"/>
      <c r="UDH8"/>
      <c r="UDI8"/>
      <c r="UDJ8"/>
      <c r="UDK8"/>
      <c r="UDL8"/>
      <c r="UDM8"/>
      <c r="UDN8"/>
      <c r="UDO8"/>
      <c r="UDP8"/>
      <c r="UDQ8"/>
      <c r="UDR8"/>
      <c r="UDS8"/>
      <c r="UDT8"/>
      <c r="UDU8"/>
      <c r="UDV8"/>
      <c r="UDW8"/>
      <c r="UDX8"/>
      <c r="UDY8"/>
      <c r="UDZ8"/>
      <c r="UEA8"/>
      <c r="UEB8"/>
      <c r="UEC8"/>
      <c r="UED8"/>
      <c r="UEE8"/>
      <c r="UEF8"/>
      <c r="UEG8"/>
      <c r="UEH8"/>
      <c r="UEI8"/>
      <c r="UEJ8"/>
      <c r="UEK8"/>
      <c r="UEL8"/>
      <c r="UEM8"/>
      <c r="UEN8"/>
      <c r="UEO8"/>
      <c r="UEP8"/>
      <c r="UEQ8"/>
      <c r="UER8"/>
      <c r="UES8"/>
      <c r="UET8"/>
      <c r="UEU8"/>
      <c r="UEV8"/>
      <c r="UEW8"/>
      <c r="UEX8"/>
      <c r="UEY8"/>
      <c r="UEZ8"/>
      <c r="UFA8"/>
      <c r="UFB8"/>
      <c r="UFC8"/>
      <c r="UFD8"/>
      <c r="UFE8"/>
      <c r="UFF8"/>
      <c r="UFG8"/>
      <c r="UFH8"/>
      <c r="UFI8"/>
      <c r="UFJ8"/>
      <c r="UFK8"/>
      <c r="UFL8"/>
      <c r="UFM8"/>
      <c r="UFN8"/>
      <c r="UFO8"/>
      <c r="UFP8"/>
      <c r="UFQ8"/>
      <c r="UFR8"/>
      <c r="UFS8"/>
      <c r="UFT8"/>
      <c r="UFU8"/>
      <c r="UFV8"/>
      <c r="UFW8"/>
      <c r="UFX8"/>
      <c r="UFY8"/>
      <c r="UFZ8"/>
      <c r="UGA8"/>
      <c r="UGB8"/>
      <c r="UGC8"/>
      <c r="UGD8"/>
      <c r="UGE8"/>
      <c r="UGF8"/>
      <c r="UGG8"/>
      <c r="UGH8"/>
      <c r="UGI8"/>
      <c r="UGJ8"/>
      <c r="UGK8"/>
      <c r="UGL8"/>
      <c r="UGM8"/>
      <c r="UGN8"/>
      <c r="UGO8"/>
      <c r="UGP8"/>
      <c r="UGQ8"/>
      <c r="UGR8"/>
      <c r="UGS8"/>
      <c r="UGT8"/>
      <c r="UGU8"/>
      <c r="UGV8"/>
      <c r="UGW8"/>
      <c r="UGX8"/>
      <c r="UGY8"/>
      <c r="UGZ8"/>
      <c r="UHA8"/>
      <c r="UHB8"/>
      <c r="UHC8"/>
      <c r="UHD8"/>
      <c r="UHE8"/>
      <c r="UHF8"/>
      <c r="UHG8"/>
      <c r="UHH8"/>
      <c r="UHI8"/>
      <c r="UHJ8"/>
      <c r="UHK8"/>
      <c r="UHL8"/>
      <c r="UHM8"/>
      <c r="UHN8"/>
      <c r="UHO8"/>
      <c r="UHP8"/>
      <c r="UHQ8"/>
      <c r="UHR8"/>
      <c r="UHS8"/>
      <c r="UHT8"/>
      <c r="UHU8"/>
      <c r="UHV8"/>
      <c r="UHW8"/>
      <c r="UHX8"/>
      <c r="UHY8"/>
      <c r="UHZ8"/>
      <c r="UIA8"/>
      <c r="UIB8"/>
      <c r="UIC8"/>
      <c r="UID8"/>
      <c r="UIE8"/>
      <c r="UIF8"/>
      <c r="UIG8"/>
      <c r="UIH8"/>
      <c r="UII8"/>
      <c r="UIJ8"/>
      <c r="UIK8"/>
      <c r="UIL8"/>
      <c r="UIM8"/>
      <c r="UIN8"/>
      <c r="UIO8"/>
      <c r="UIP8"/>
      <c r="UIQ8"/>
      <c r="UIR8"/>
      <c r="UIS8"/>
      <c r="UIT8"/>
      <c r="UIU8"/>
      <c r="UIV8"/>
      <c r="UIW8"/>
      <c r="UIX8"/>
      <c r="UIY8"/>
      <c r="UIZ8"/>
      <c r="UJA8"/>
      <c r="UJB8"/>
      <c r="UJC8"/>
      <c r="UJD8"/>
      <c r="UJE8"/>
      <c r="UJF8"/>
      <c r="UJG8"/>
      <c r="UJH8"/>
      <c r="UJI8"/>
      <c r="UJJ8"/>
      <c r="UJK8"/>
      <c r="UJL8"/>
      <c r="UJM8"/>
      <c r="UJN8"/>
      <c r="UJO8"/>
      <c r="UJP8"/>
      <c r="UJQ8"/>
      <c r="UJR8"/>
      <c r="UJS8"/>
      <c r="UJT8"/>
      <c r="UJU8"/>
      <c r="UJV8"/>
      <c r="UJW8"/>
      <c r="UJX8"/>
      <c r="UJY8"/>
      <c r="UJZ8"/>
      <c r="UKA8"/>
      <c r="UKB8"/>
      <c r="UKC8"/>
      <c r="UKD8"/>
      <c r="UKE8"/>
      <c r="UKF8"/>
      <c r="UKG8"/>
      <c r="UKH8"/>
      <c r="UKI8"/>
      <c r="UKJ8"/>
      <c r="UKK8"/>
      <c r="UKL8"/>
      <c r="UKM8"/>
      <c r="UKN8"/>
      <c r="UKO8"/>
      <c r="UKP8"/>
      <c r="UKQ8"/>
      <c r="UKR8"/>
      <c r="UKS8"/>
      <c r="UKT8"/>
      <c r="UKU8"/>
      <c r="UKV8"/>
      <c r="UKW8"/>
      <c r="UKX8"/>
      <c r="UKY8"/>
      <c r="UKZ8"/>
      <c r="ULA8"/>
      <c r="ULB8"/>
      <c r="ULC8"/>
      <c r="ULD8"/>
      <c r="ULE8"/>
      <c r="ULF8"/>
      <c r="ULG8"/>
      <c r="ULH8"/>
      <c r="ULI8"/>
      <c r="ULJ8"/>
      <c r="ULK8"/>
      <c r="ULL8"/>
      <c r="ULM8"/>
      <c r="ULN8"/>
      <c r="ULO8"/>
      <c r="ULP8"/>
      <c r="ULQ8"/>
      <c r="ULR8"/>
      <c r="ULS8"/>
      <c r="ULT8"/>
      <c r="ULU8"/>
      <c r="ULV8"/>
      <c r="ULW8"/>
      <c r="ULX8"/>
      <c r="ULY8"/>
      <c r="ULZ8"/>
      <c r="UMA8"/>
      <c r="UMB8"/>
      <c r="UMC8"/>
      <c r="UMD8"/>
      <c r="UME8"/>
      <c r="UMF8"/>
      <c r="UMG8"/>
      <c r="UMH8"/>
      <c r="UMI8"/>
      <c r="UMJ8"/>
      <c r="UMK8"/>
      <c r="UML8"/>
      <c r="UMM8"/>
      <c r="UMN8"/>
      <c r="UMO8"/>
      <c r="UMP8"/>
      <c r="UMQ8"/>
      <c r="UMR8"/>
      <c r="UMS8"/>
      <c r="UMT8"/>
      <c r="UMU8"/>
      <c r="UMV8"/>
      <c r="UMW8"/>
      <c r="UMX8"/>
      <c r="UMY8"/>
      <c r="UMZ8"/>
      <c r="UNA8"/>
      <c r="UNB8"/>
      <c r="UNC8"/>
      <c r="UND8"/>
      <c r="UNE8"/>
      <c r="UNF8"/>
      <c r="UNG8"/>
      <c r="UNH8"/>
      <c r="UNI8"/>
      <c r="UNJ8"/>
      <c r="UNK8"/>
      <c r="UNL8"/>
      <c r="UNM8"/>
      <c r="UNN8"/>
      <c r="UNO8"/>
      <c r="UNP8"/>
      <c r="UNQ8"/>
      <c r="UNR8"/>
      <c r="UNS8"/>
      <c r="UNT8"/>
      <c r="UNU8"/>
      <c r="UNV8"/>
      <c r="UNW8"/>
      <c r="UNX8"/>
      <c r="UNY8"/>
      <c r="UNZ8"/>
      <c r="UOA8"/>
      <c r="UOB8"/>
      <c r="UOC8"/>
      <c r="UOD8"/>
      <c r="UOE8"/>
      <c r="UOF8"/>
      <c r="UOG8"/>
      <c r="UOH8"/>
      <c r="UOI8"/>
      <c r="UOJ8"/>
      <c r="UOK8"/>
      <c r="UOL8"/>
      <c r="UOM8"/>
      <c r="UON8"/>
      <c r="UOO8"/>
      <c r="UOP8"/>
      <c r="UOQ8"/>
      <c r="UOR8"/>
      <c r="UOS8"/>
      <c r="UOT8"/>
      <c r="UOU8"/>
      <c r="UOV8"/>
      <c r="UOW8"/>
      <c r="UOX8"/>
      <c r="UOY8"/>
      <c r="UOZ8"/>
      <c r="UPA8"/>
      <c r="UPB8"/>
      <c r="UPC8"/>
      <c r="UPD8"/>
      <c r="UPE8"/>
      <c r="UPF8"/>
      <c r="UPG8"/>
      <c r="UPH8"/>
      <c r="UPI8"/>
      <c r="UPJ8"/>
      <c r="UPK8"/>
      <c r="UPL8"/>
      <c r="UPM8"/>
      <c r="UPN8"/>
      <c r="UPO8"/>
      <c r="UPP8"/>
      <c r="UPQ8"/>
      <c r="UPR8"/>
      <c r="UPS8"/>
      <c r="UPT8"/>
      <c r="UPU8"/>
      <c r="UPV8"/>
      <c r="UPW8"/>
      <c r="UPX8"/>
      <c r="UPY8"/>
      <c r="UPZ8"/>
      <c r="UQA8"/>
      <c r="UQB8"/>
      <c r="UQC8"/>
      <c r="UQD8"/>
      <c r="UQE8"/>
      <c r="UQF8"/>
      <c r="UQG8"/>
      <c r="UQH8"/>
      <c r="UQI8"/>
      <c r="UQJ8"/>
      <c r="UQK8"/>
      <c r="UQL8"/>
      <c r="UQM8"/>
      <c r="UQN8"/>
      <c r="UQO8"/>
      <c r="UQP8"/>
      <c r="UQQ8"/>
      <c r="UQR8"/>
      <c r="UQS8"/>
      <c r="UQT8"/>
      <c r="UQU8"/>
      <c r="UQV8"/>
      <c r="UQW8"/>
      <c r="UQX8"/>
      <c r="UQY8"/>
      <c r="UQZ8"/>
      <c r="URA8"/>
      <c r="URB8"/>
      <c r="URC8"/>
      <c r="URD8"/>
      <c r="URE8"/>
      <c r="URF8"/>
      <c r="URG8"/>
      <c r="URH8"/>
      <c r="URI8"/>
      <c r="URJ8"/>
      <c r="URK8"/>
      <c r="URL8"/>
      <c r="URM8"/>
      <c r="URN8"/>
      <c r="URO8"/>
      <c r="URP8"/>
      <c r="URQ8"/>
      <c r="URR8"/>
      <c r="URS8"/>
      <c r="URT8"/>
      <c r="URU8"/>
      <c r="URV8"/>
      <c r="URW8"/>
      <c r="URX8"/>
      <c r="URY8"/>
      <c r="URZ8"/>
      <c r="USA8"/>
      <c r="USB8"/>
      <c r="USC8"/>
      <c r="USD8"/>
      <c r="USE8"/>
      <c r="USF8"/>
      <c r="USG8"/>
      <c r="USH8"/>
      <c r="USI8"/>
      <c r="USJ8"/>
      <c r="USK8"/>
      <c r="USL8"/>
      <c r="USM8"/>
      <c r="USN8"/>
      <c r="USO8"/>
      <c r="USP8"/>
      <c r="USQ8"/>
      <c r="USR8"/>
      <c r="USS8"/>
      <c r="UST8"/>
      <c r="USU8"/>
      <c r="USV8"/>
      <c r="USW8"/>
      <c r="USX8"/>
      <c r="USY8"/>
      <c r="USZ8"/>
      <c r="UTA8"/>
      <c r="UTB8"/>
      <c r="UTC8"/>
      <c r="UTD8"/>
      <c r="UTE8"/>
      <c r="UTF8"/>
      <c r="UTG8"/>
      <c r="UTH8"/>
      <c r="UTI8"/>
      <c r="UTJ8"/>
      <c r="UTK8"/>
      <c r="UTL8"/>
      <c r="UTM8"/>
      <c r="UTN8"/>
      <c r="UTO8"/>
      <c r="UTP8"/>
      <c r="UTQ8"/>
      <c r="UTR8"/>
      <c r="UTS8"/>
      <c r="UTT8"/>
      <c r="UTU8"/>
      <c r="UTV8"/>
      <c r="UTW8"/>
      <c r="UTX8"/>
      <c r="UTY8"/>
      <c r="UTZ8"/>
      <c r="UUA8"/>
      <c r="UUB8"/>
      <c r="UUC8"/>
      <c r="UUD8"/>
      <c r="UUE8"/>
      <c r="UUF8"/>
      <c r="UUG8"/>
      <c r="UUH8"/>
      <c r="UUI8"/>
      <c r="UUJ8"/>
      <c r="UUK8"/>
      <c r="UUL8"/>
      <c r="UUM8"/>
      <c r="UUN8"/>
      <c r="UUO8"/>
      <c r="UUP8"/>
      <c r="UUQ8"/>
      <c r="UUR8"/>
      <c r="UUS8"/>
      <c r="UUT8"/>
      <c r="UUU8"/>
      <c r="UUV8"/>
      <c r="UUW8"/>
      <c r="UUX8"/>
      <c r="UUY8"/>
      <c r="UUZ8"/>
      <c r="UVA8"/>
      <c r="UVB8"/>
      <c r="UVC8"/>
      <c r="UVD8"/>
      <c r="UVE8"/>
      <c r="UVF8"/>
      <c r="UVG8"/>
      <c r="UVH8"/>
      <c r="UVI8"/>
      <c r="UVJ8"/>
      <c r="UVK8"/>
      <c r="UVL8"/>
      <c r="UVM8"/>
      <c r="UVN8"/>
      <c r="UVO8"/>
      <c r="UVP8"/>
      <c r="UVQ8"/>
      <c r="UVR8"/>
      <c r="UVS8"/>
      <c r="UVT8"/>
      <c r="UVU8"/>
      <c r="UVV8"/>
      <c r="UVW8"/>
      <c r="UVX8"/>
      <c r="UVY8"/>
      <c r="UVZ8"/>
      <c r="UWA8"/>
      <c r="UWB8"/>
      <c r="UWC8"/>
      <c r="UWD8"/>
      <c r="UWE8"/>
      <c r="UWF8"/>
      <c r="UWG8"/>
      <c r="UWH8"/>
      <c r="UWI8"/>
      <c r="UWJ8"/>
      <c r="UWK8"/>
      <c r="UWL8"/>
      <c r="UWM8"/>
      <c r="UWN8"/>
      <c r="UWO8"/>
      <c r="UWP8"/>
      <c r="UWQ8"/>
      <c r="UWR8"/>
      <c r="UWS8"/>
      <c r="UWT8"/>
      <c r="UWU8"/>
      <c r="UWV8"/>
      <c r="UWW8"/>
      <c r="UWX8"/>
      <c r="UWY8"/>
      <c r="UWZ8"/>
      <c r="UXA8"/>
      <c r="UXB8"/>
      <c r="UXC8"/>
      <c r="UXD8"/>
      <c r="UXE8"/>
      <c r="UXF8"/>
      <c r="UXG8"/>
      <c r="UXH8"/>
      <c r="UXI8"/>
      <c r="UXJ8"/>
      <c r="UXK8"/>
      <c r="UXL8"/>
      <c r="UXM8"/>
      <c r="UXN8"/>
      <c r="UXO8"/>
      <c r="UXP8"/>
      <c r="UXQ8"/>
      <c r="UXR8"/>
      <c r="UXS8"/>
      <c r="UXT8"/>
      <c r="UXU8"/>
      <c r="UXV8"/>
      <c r="UXW8"/>
      <c r="UXX8"/>
      <c r="UXY8"/>
      <c r="UXZ8"/>
      <c r="UYA8"/>
      <c r="UYB8"/>
      <c r="UYC8"/>
      <c r="UYD8"/>
      <c r="UYE8"/>
      <c r="UYF8"/>
      <c r="UYG8"/>
      <c r="UYH8"/>
      <c r="UYI8"/>
      <c r="UYJ8"/>
      <c r="UYK8"/>
      <c r="UYL8"/>
      <c r="UYM8"/>
      <c r="UYN8"/>
      <c r="UYO8"/>
      <c r="UYP8"/>
      <c r="UYQ8"/>
      <c r="UYR8"/>
      <c r="UYS8"/>
      <c r="UYT8"/>
      <c r="UYU8"/>
      <c r="UYV8"/>
      <c r="UYW8"/>
      <c r="UYX8"/>
      <c r="UYY8"/>
      <c r="UYZ8"/>
      <c r="UZA8"/>
      <c r="UZB8"/>
      <c r="UZC8"/>
      <c r="UZD8"/>
      <c r="UZE8"/>
      <c r="UZF8"/>
      <c r="UZG8"/>
      <c r="UZH8"/>
      <c r="UZI8"/>
      <c r="UZJ8"/>
      <c r="UZK8"/>
      <c r="UZL8"/>
      <c r="UZM8"/>
      <c r="UZN8"/>
      <c r="UZO8"/>
      <c r="UZP8"/>
      <c r="UZQ8"/>
      <c r="UZR8"/>
      <c r="UZS8"/>
      <c r="UZT8"/>
      <c r="UZU8"/>
      <c r="UZV8"/>
      <c r="UZW8"/>
      <c r="UZX8"/>
      <c r="UZY8"/>
      <c r="UZZ8"/>
      <c r="VAA8"/>
      <c r="VAB8"/>
      <c r="VAC8"/>
      <c r="VAD8"/>
      <c r="VAE8"/>
      <c r="VAF8"/>
      <c r="VAG8"/>
      <c r="VAH8"/>
      <c r="VAI8"/>
      <c r="VAJ8"/>
      <c r="VAK8"/>
      <c r="VAL8"/>
      <c r="VAM8"/>
      <c r="VAN8"/>
      <c r="VAO8"/>
      <c r="VAP8"/>
      <c r="VAQ8"/>
      <c r="VAR8"/>
      <c r="VAS8"/>
      <c r="VAT8"/>
      <c r="VAU8"/>
      <c r="VAV8"/>
      <c r="VAW8"/>
      <c r="VAX8"/>
      <c r="VAY8"/>
      <c r="VAZ8"/>
      <c r="VBA8"/>
      <c r="VBB8"/>
      <c r="VBC8"/>
      <c r="VBD8"/>
      <c r="VBE8"/>
      <c r="VBF8"/>
      <c r="VBG8"/>
      <c r="VBH8"/>
      <c r="VBI8"/>
      <c r="VBJ8"/>
      <c r="VBK8"/>
      <c r="VBL8"/>
      <c r="VBM8"/>
      <c r="VBN8"/>
      <c r="VBO8"/>
      <c r="VBP8"/>
      <c r="VBQ8"/>
      <c r="VBR8"/>
      <c r="VBS8"/>
      <c r="VBT8"/>
      <c r="VBU8"/>
      <c r="VBV8"/>
      <c r="VBW8"/>
      <c r="VBX8"/>
      <c r="VBY8"/>
      <c r="VBZ8"/>
      <c r="VCA8"/>
      <c r="VCB8"/>
      <c r="VCC8"/>
      <c r="VCD8"/>
      <c r="VCE8"/>
      <c r="VCF8"/>
      <c r="VCG8"/>
      <c r="VCH8"/>
      <c r="VCI8"/>
      <c r="VCJ8"/>
      <c r="VCK8"/>
      <c r="VCL8"/>
      <c r="VCM8"/>
      <c r="VCN8"/>
      <c r="VCO8"/>
      <c r="VCP8"/>
      <c r="VCQ8"/>
      <c r="VCR8"/>
      <c r="VCS8"/>
      <c r="VCT8"/>
      <c r="VCU8"/>
      <c r="VCV8"/>
      <c r="VCW8"/>
      <c r="VCX8"/>
      <c r="VCY8"/>
      <c r="VCZ8"/>
      <c r="VDA8"/>
      <c r="VDB8"/>
      <c r="VDC8"/>
      <c r="VDD8"/>
      <c r="VDE8"/>
      <c r="VDF8"/>
      <c r="VDG8"/>
      <c r="VDH8"/>
      <c r="VDI8"/>
      <c r="VDJ8"/>
      <c r="VDK8"/>
      <c r="VDL8"/>
      <c r="VDM8"/>
      <c r="VDN8"/>
      <c r="VDO8"/>
      <c r="VDP8"/>
      <c r="VDQ8"/>
      <c r="VDR8"/>
      <c r="VDS8"/>
      <c r="VDT8"/>
      <c r="VDU8"/>
      <c r="VDV8"/>
      <c r="VDW8"/>
      <c r="VDX8"/>
      <c r="VDY8"/>
      <c r="VDZ8"/>
      <c r="VEA8"/>
      <c r="VEB8"/>
      <c r="VEC8"/>
      <c r="VED8"/>
      <c r="VEE8"/>
      <c r="VEF8"/>
      <c r="VEG8"/>
      <c r="VEH8"/>
      <c r="VEI8"/>
      <c r="VEJ8"/>
      <c r="VEK8"/>
      <c r="VEL8"/>
      <c r="VEM8"/>
      <c r="VEN8"/>
      <c r="VEO8"/>
      <c r="VEP8"/>
      <c r="VEQ8"/>
      <c r="VER8"/>
      <c r="VES8"/>
      <c r="VET8"/>
      <c r="VEU8"/>
      <c r="VEV8"/>
      <c r="VEW8"/>
      <c r="VEX8"/>
      <c r="VEY8"/>
      <c r="VEZ8"/>
      <c r="VFA8"/>
      <c r="VFB8"/>
      <c r="VFC8"/>
      <c r="VFD8"/>
      <c r="VFE8"/>
      <c r="VFF8"/>
      <c r="VFG8"/>
      <c r="VFH8"/>
      <c r="VFI8"/>
      <c r="VFJ8"/>
      <c r="VFK8"/>
      <c r="VFL8"/>
      <c r="VFM8"/>
      <c r="VFN8"/>
      <c r="VFO8"/>
      <c r="VFP8"/>
      <c r="VFQ8"/>
      <c r="VFR8"/>
      <c r="VFS8"/>
      <c r="VFT8"/>
      <c r="VFU8"/>
      <c r="VFV8"/>
      <c r="VFW8"/>
      <c r="VFX8"/>
      <c r="VFY8"/>
      <c r="VFZ8"/>
      <c r="VGA8"/>
      <c r="VGB8"/>
      <c r="VGC8"/>
      <c r="VGD8"/>
      <c r="VGE8"/>
      <c r="VGF8"/>
      <c r="VGG8"/>
      <c r="VGH8"/>
      <c r="VGI8"/>
      <c r="VGJ8"/>
      <c r="VGK8"/>
      <c r="VGL8"/>
      <c r="VGM8"/>
      <c r="VGN8"/>
      <c r="VGO8"/>
      <c r="VGP8"/>
      <c r="VGQ8"/>
      <c r="VGR8"/>
      <c r="VGS8"/>
      <c r="VGT8"/>
      <c r="VGU8"/>
      <c r="VGV8"/>
      <c r="VGW8"/>
      <c r="VGX8"/>
      <c r="VGY8"/>
      <c r="VGZ8"/>
      <c r="VHA8"/>
      <c r="VHB8"/>
      <c r="VHC8"/>
      <c r="VHD8"/>
      <c r="VHE8"/>
      <c r="VHF8"/>
      <c r="VHG8"/>
      <c r="VHH8"/>
      <c r="VHI8"/>
      <c r="VHJ8"/>
      <c r="VHK8"/>
      <c r="VHL8"/>
      <c r="VHM8"/>
      <c r="VHN8"/>
      <c r="VHO8"/>
      <c r="VHP8"/>
      <c r="VHQ8"/>
      <c r="VHR8"/>
      <c r="VHS8"/>
      <c r="VHT8"/>
      <c r="VHU8"/>
      <c r="VHV8"/>
      <c r="VHW8"/>
      <c r="VHX8"/>
      <c r="VHY8"/>
      <c r="VHZ8"/>
      <c r="VIA8"/>
      <c r="VIB8"/>
      <c r="VIC8"/>
      <c r="VID8"/>
      <c r="VIE8"/>
      <c r="VIF8"/>
      <c r="VIG8"/>
      <c r="VIH8"/>
      <c r="VII8"/>
      <c r="VIJ8"/>
      <c r="VIK8"/>
      <c r="VIL8"/>
      <c r="VIM8"/>
      <c r="VIN8"/>
      <c r="VIO8"/>
      <c r="VIP8"/>
      <c r="VIQ8"/>
      <c r="VIR8"/>
      <c r="VIS8"/>
      <c r="VIT8"/>
      <c r="VIU8"/>
      <c r="VIV8"/>
      <c r="VIW8"/>
      <c r="VIX8"/>
      <c r="VIY8"/>
      <c r="VIZ8"/>
      <c r="VJA8"/>
      <c r="VJB8"/>
      <c r="VJC8"/>
      <c r="VJD8"/>
      <c r="VJE8"/>
      <c r="VJF8"/>
      <c r="VJG8"/>
      <c r="VJH8"/>
      <c r="VJI8"/>
      <c r="VJJ8"/>
      <c r="VJK8"/>
      <c r="VJL8"/>
      <c r="VJM8"/>
      <c r="VJN8"/>
      <c r="VJO8"/>
      <c r="VJP8"/>
      <c r="VJQ8"/>
      <c r="VJR8"/>
      <c r="VJS8"/>
      <c r="VJT8"/>
      <c r="VJU8"/>
      <c r="VJV8"/>
      <c r="VJW8"/>
      <c r="VJX8"/>
      <c r="VJY8"/>
      <c r="VJZ8"/>
      <c r="VKA8"/>
      <c r="VKB8"/>
      <c r="VKC8"/>
      <c r="VKD8"/>
      <c r="VKE8"/>
      <c r="VKF8"/>
      <c r="VKG8"/>
      <c r="VKH8"/>
      <c r="VKI8"/>
      <c r="VKJ8"/>
      <c r="VKK8"/>
      <c r="VKL8"/>
      <c r="VKM8"/>
      <c r="VKN8"/>
      <c r="VKO8"/>
      <c r="VKP8"/>
      <c r="VKQ8"/>
      <c r="VKR8"/>
      <c r="VKS8"/>
      <c r="VKT8"/>
      <c r="VKU8"/>
      <c r="VKV8"/>
      <c r="VKW8"/>
      <c r="VKX8"/>
      <c r="VKY8"/>
      <c r="VKZ8"/>
      <c r="VLA8"/>
      <c r="VLB8"/>
      <c r="VLC8"/>
      <c r="VLD8"/>
      <c r="VLE8"/>
      <c r="VLF8"/>
      <c r="VLG8"/>
      <c r="VLH8"/>
      <c r="VLI8"/>
      <c r="VLJ8"/>
      <c r="VLK8"/>
      <c r="VLL8"/>
      <c r="VLM8"/>
      <c r="VLN8"/>
      <c r="VLO8"/>
      <c r="VLP8"/>
      <c r="VLQ8"/>
      <c r="VLR8"/>
      <c r="VLS8"/>
      <c r="VLT8"/>
      <c r="VLU8"/>
      <c r="VLV8"/>
      <c r="VLW8"/>
      <c r="VLX8"/>
      <c r="VLY8"/>
      <c r="VLZ8"/>
      <c r="VMA8"/>
      <c r="VMB8"/>
      <c r="VMC8"/>
      <c r="VMD8"/>
      <c r="VME8"/>
      <c r="VMF8"/>
      <c r="VMG8"/>
      <c r="VMH8"/>
      <c r="VMI8"/>
      <c r="VMJ8"/>
      <c r="VMK8"/>
      <c r="VML8"/>
      <c r="VMM8"/>
      <c r="VMN8"/>
      <c r="VMO8"/>
      <c r="VMP8"/>
      <c r="VMQ8"/>
      <c r="VMR8"/>
      <c r="VMS8"/>
      <c r="VMT8"/>
      <c r="VMU8"/>
      <c r="VMV8"/>
      <c r="VMW8"/>
      <c r="VMX8"/>
      <c r="VMY8"/>
      <c r="VMZ8"/>
      <c r="VNA8"/>
      <c r="VNB8"/>
      <c r="VNC8"/>
      <c r="VND8"/>
      <c r="VNE8"/>
      <c r="VNF8"/>
      <c r="VNG8"/>
      <c r="VNH8"/>
      <c r="VNI8"/>
      <c r="VNJ8"/>
      <c r="VNK8"/>
      <c r="VNL8"/>
      <c r="VNM8"/>
      <c r="VNN8"/>
      <c r="VNO8"/>
      <c r="VNP8"/>
      <c r="VNQ8"/>
      <c r="VNR8"/>
      <c r="VNS8"/>
      <c r="VNT8"/>
      <c r="VNU8"/>
      <c r="VNV8"/>
      <c r="VNW8"/>
      <c r="VNX8"/>
      <c r="VNY8"/>
      <c r="VNZ8"/>
      <c r="VOA8"/>
      <c r="VOB8"/>
      <c r="VOC8"/>
      <c r="VOD8"/>
      <c r="VOE8"/>
      <c r="VOF8"/>
      <c r="VOG8"/>
      <c r="VOH8"/>
      <c r="VOI8"/>
      <c r="VOJ8"/>
      <c r="VOK8"/>
      <c r="VOL8"/>
      <c r="VOM8"/>
      <c r="VON8"/>
      <c r="VOO8"/>
      <c r="VOP8"/>
      <c r="VOQ8"/>
      <c r="VOR8"/>
      <c r="VOS8"/>
      <c r="VOT8"/>
      <c r="VOU8"/>
      <c r="VOV8"/>
      <c r="VOW8"/>
      <c r="VOX8"/>
      <c r="VOY8"/>
      <c r="VOZ8"/>
      <c r="VPA8"/>
      <c r="VPB8"/>
      <c r="VPC8"/>
      <c r="VPD8"/>
      <c r="VPE8"/>
      <c r="VPF8"/>
      <c r="VPG8"/>
      <c r="VPH8"/>
      <c r="VPI8"/>
      <c r="VPJ8"/>
      <c r="VPK8"/>
      <c r="VPL8"/>
      <c r="VPM8"/>
      <c r="VPN8"/>
      <c r="VPO8"/>
      <c r="VPP8"/>
      <c r="VPQ8"/>
      <c r="VPR8"/>
      <c r="VPS8"/>
      <c r="VPT8"/>
      <c r="VPU8"/>
      <c r="VPV8"/>
      <c r="VPW8"/>
      <c r="VPX8"/>
      <c r="VPY8"/>
      <c r="VPZ8"/>
      <c r="VQA8"/>
      <c r="VQB8"/>
      <c r="VQC8"/>
      <c r="VQD8"/>
      <c r="VQE8"/>
      <c r="VQF8"/>
      <c r="VQG8"/>
      <c r="VQH8"/>
      <c r="VQI8"/>
      <c r="VQJ8"/>
      <c r="VQK8"/>
      <c r="VQL8"/>
      <c r="VQM8"/>
      <c r="VQN8"/>
      <c r="VQO8"/>
      <c r="VQP8"/>
      <c r="VQQ8"/>
      <c r="VQR8"/>
      <c r="VQS8"/>
      <c r="VQT8"/>
      <c r="VQU8"/>
      <c r="VQV8"/>
      <c r="VQW8"/>
      <c r="VQX8"/>
      <c r="VQY8"/>
      <c r="VQZ8"/>
      <c r="VRA8"/>
      <c r="VRB8"/>
      <c r="VRC8"/>
      <c r="VRD8"/>
      <c r="VRE8"/>
      <c r="VRF8"/>
      <c r="VRG8"/>
      <c r="VRH8"/>
      <c r="VRI8"/>
      <c r="VRJ8"/>
      <c r="VRK8"/>
      <c r="VRL8"/>
      <c r="VRM8"/>
      <c r="VRN8"/>
      <c r="VRO8"/>
      <c r="VRP8"/>
      <c r="VRQ8"/>
      <c r="VRR8"/>
      <c r="VRS8"/>
      <c r="VRT8"/>
      <c r="VRU8"/>
      <c r="VRV8"/>
      <c r="VRW8"/>
      <c r="VRX8"/>
      <c r="VRY8"/>
      <c r="VRZ8"/>
      <c r="VSA8"/>
      <c r="VSB8"/>
      <c r="VSC8"/>
      <c r="VSD8"/>
      <c r="VSE8"/>
      <c r="VSF8"/>
      <c r="VSG8"/>
      <c r="VSH8"/>
      <c r="VSI8"/>
      <c r="VSJ8"/>
      <c r="VSK8"/>
      <c r="VSL8"/>
      <c r="VSM8"/>
      <c r="VSN8"/>
      <c r="VSO8"/>
      <c r="VSP8"/>
      <c r="VSQ8"/>
      <c r="VSR8"/>
      <c r="VSS8"/>
      <c r="VST8"/>
      <c r="VSU8"/>
      <c r="VSV8"/>
      <c r="VSW8"/>
      <c r="VSX8"/>
      <c r="VSY8"/>
      <c r="VSZ8"/>
      <c r="VTA8"/>
      <c r="VTB8"/>
      <c r="VTC8"/>
      <c r="VTD8"/>
      <c r="VTE8"/>
      <c r="VTF8"/>
      <c r="VTG8"/>
      <c r="VTH8"/>
      <c r="VTI8"/>
      <c r="VTJ8"/>
      <c r="VTK8"/>
      <c r="VTL8"/>
      <c r="VTM8"/>
      <c r="VTN8"/>
      <c r="VTO8"/>
      <c r="VTP8"/>
      <c r="VTQ8"/>
      <c r="VTR8"/>
      <c r="VTS8"/>
      <c r="VTT8"/>
      <c r="VTU8"/>
      <c r="VTV8"/>
      <c r="VTW8"/>
      <c r="VTX8"/>
      <c r="VTY8"/>
      <c r="VTZ8"/>
      <c r="VUA8"/>
      <c r="VUB8"/>
      <c r="VUC8"/>
      <c r="VUD8"/>
      <c r="VUE8"/>
      <c r="VUF8"/>
      <c r="VUG8"/>
      <c r="VUH8"/>
      <c r="VUI8"/>
      <c r="VUJ8"/>
      <c r="VUK8"/>
      <c r="VUL8"/>
      <c r="VUM8"/>
      <c r="VUN8"/>
      <c r="VUO8"/>
      <c r="VUP8"/>
      <c r="VUQ8"/>
      <c r="VUR8"/>
      <c r="VUS8"/>
      <c r="VUT8"/>
      <c r="VUU8"/>
      <c r="VUV8"/>
      <c r="VUW8"/>
      <c r="VUX8"/>
      <c r="VUY8"/>
      <c r="VUZ8"/>
      <c r="VVA8"/>
      <c r="VVB8"/>
      <c r="VVC8"/>
      <c r="VVD8"/>
      <c r="VVE8"/>
      <c r="VVF8"/>
      <c r="VVG8"/>
      <c r="VVH8"/>
      <c r="VVI8"/>
      <c r="VVJ8"/>
      <c r="VVK8"/>
      <c r="VVL8"/>
      <c r="VVM8"/>
      <c r="VVN8"/>
      <c r="VVO8"/>
      <c r="VVP8"/>
      <c r="VVQ8"/>
      <c r="VVR8"/>
      <c r="VVS8"/>
      <c r="VVT8"/>
      <c r="VVU8"/>
      <c r="VVV8"/>
      <c r="VVW8"/>
      <c r="VVX8"/>
      <c r="VVY8"/>
      <c r="VVZ8"/>
      <c r="VWA8"/>
      <c r="VWB8"/>
      <c r="VWC8"/>
      <c r="VWD8"/>
      <c r="VWE8"/>
      <c r="VWF8"/>
      <c r="VWG8"/>
      <c r="VWH8"/>
      <c r="VWI8"/>
      <c r="VWJ8"/>
      <c r="VWK8"/>
      <c r="VWL8"/>
      <c r="VWM8"/>
      <c r="VWN8"/>
      <c r="VWO8"/>
      <c r="VWP8"/>
      <c r="VWQ8"/>
      <c r="VWR8"/>
      <c r="VWS8"/>
      <c r="VWT8"/>
      <c r="VWU8"/>
      <c r="VWV8"/>
      <c r="VWW8"/>
      <c r="VWX8"/>
      <c r="VWY8"/>
      <c r="VWZ8"/>
      <c r="VXA8"/>
      <c r="VXB8"/>
      <c r="VXC8"/>
      <c r="VXD8"/>
      <c r="VXE8"/>
      <c r="VXF8"/>
      <c r="VXG8"/>
      <c r="VXH8"/>
      <c r="VXI8"/>
      <c r="VXJ8"/>
      <c r="VXK8"/>
      <c r="VXL8"/>
      <c r="VXM8"/>
      <c r="VXN8"/>
      <c r="VXO8"/>
      <c r="VXP8"/>
      <c r="VXQ8"/>
      <c r="VXR8"/>
      <c r="VXS8"/>
      <c r="VXT8"/>
      <c r="VXU8"/>
      <c r="VXV8"/>
      <c r="VXW8"/>
      <c r="VXX8"/>
      <c r="VXY8"/>
      <c r="VXZ8"/>
      <c r="VYA8"/>
      <c r="VYB8"/>
      <c r="VYC8"/>
      <c r="VYD8"/>
      <c r="VYE8"/>
      <c r="VYF8"/>
      <c r="VYG8"/>
      <c r="VYH8"/>
      <c r="VYI8"/>
      <c r="VYJ8"/>
      <c r="VYK8"/>
      <c r="VYL8"/>
      <c r="VYM8"/>
      <c r="VYN8"/>
      <c r="VYO8"/>
      <c r="VYP8"/>
      <c r="VYQ8"/>
      <c r="VYR8"/>
      <c r="VYS8"/>
      <c r="VYT8"/>
      <c r="VYU8"/>
      <c r="VYV8"/>
      <c r="VYW8"/>
      <c r="VYX8"/>
      <c r="VYY8"/>
      <c r="VYZ8"/>
      <c r="VZA8"/>
      <c r="VZB8"/>
      <c r="VZC8"/>
      <c r="VZD8"/>
      <c r="VZE8"/>
      <c r="VZF8"/>
      <c r="VZG8"/>
      <c r="VZH8"/>
      <c r="VZI8"/>
      <c r="VZJ8"/>
      <c r="VZK8"/>
      <c r="VZL8"/>
      <c r="VZM8"/>
      <c r="VZN8"/>
      <c r="VZO8"/>
      <c r="VZP8"/>
      <c r="VZQ8"/>
      <c r="VZR8"/>
      <c r="VZS8"/>
      <c r="VZT8"/>
      <c r="VZU8"/>
      <c r="VZV8"/>
      <c r="VZW8"/>
      <c r="VZX8"/>
      <c r="VZY8"/>
      <c r="VZZ8"/>
      <c r="WAA8"/>
      <c r="WAB8"/>
      <c r="WAC8"/>
      <c r="WAD8"/>
      <c r="WAE8"/>
      <c r="WAF8"/>
      <c r="WAG8"/>
      <c r="WAH8"/>
      <c r="WAI8"/>
      <c r="WAJ8"/>
      <c r="WAK8"/>
      <c r="WAL8"/>
      <c r="WAM8"/>
      <c r="WAN8"/>
      <c r="WAO8"/>
      <c r="WAP8"/>
      <c r="WAQ8"/>
      <c r="WAR8"/>
      <c r="WAS8"/>
      <c r="WAT8"/>
      <c r="WAU8"/>
      <c r="WAV8"/>
      <c r="WAW8"/>
      <c r="WAX8"/>
      <c r="WAY8"/>
      <c r="WAZ8"/>
      <c r="WBA8"/>
      <c r="WBB8"/>
      <c r="WBC8"/>
      <c r="WBD8"/>
      <c r="WBE8"/>
      <c r="WBF8"/>
      <c r="WBG8"/>
      <c r="WBH8"/>
      <c r="WBI8"/>
      <c r="WBJ8"/>
      <c r="WBK8"/>
      <c r="WBL8"/>
      <c r="WBM8"/>
      <c r="WBN8"/>
      <c r="WBO8"/>
      <c r="WBP8"/>
      <c r="WBQ8"/>
      <c r="WBR8"/>
      <c r="WBS8"/>
      <c r="WBT8"/>
      <c r="WBU8"/>
      <c r="WBV8"/>
      <c r="WBW8"/>
      <c r="WBX8"/>
      <c r="WBY8"/>
      <c r="WBZ8"/>
      <c r="WCA8"/>
      <c r="WCB8"/>
      <c r="WCC8"/>
      <c r="WCD8"/>
      <c r="WCE8"/>
      <c r="WCF8"/>
      <c r="WCG8"/>
      <c r="WCH8"/>
      <c r="WCI8"/>
      <c r="WCJ8"/>
      <c r="WCK8"/>
      <c r="WCL8"/>
      <c r="WCM8"/>
      <c r="WCN8"/>
      <c r="WCO8"/>
      <c r="WCP8"/>
      <c r="WCQ8"/>
      <c r="WCR8"/>
      <c r="WCS8"/>
      <c r="WCT8"/>
      <c r="WCU8"/>
      <c r="WCV8"/>
      <c r="WCW8"/>
      <c r="WCX8"/>
      <c r="WCY8"/>
      <c r="WCZ8"/>
      <c r="WDA8"/>
      <c r="WDB8"/>
      <c r="WDC8"/>
      <c r="WDD8"/>
      <c r="WDE8"/>
      <c r="WDF8"/>
      <c r="WDG8"/>
      <c r="WDH8"/>
      <c r="WDI8"/>
      <c r="WDJ8"/>
      <c r="WDK8"/>
      <c r="WDL8"/>
      <c r="WDM8"/>
      <c r="WDN8"/>
      <c r="WDO8"/>
      <c r="WDP8"/>
      <c r="WDQ8"/>
      <c r="WDR8"/>
      <c r="WDS8"/>
      <c r="WDT8"/>
      <c r="WDU8"/>
      <c r="WDV8"/>
      <c r="WDW8"/>
      <c r="WDX8"/>
      <c r="WDY8"/>
      <c r="WDZ8"/>
      <c r="WEA8"/>
      <c r="WEB8"/>
      <c r="WEC8"/>
      <c r="WED8"/>
      <c r="WEE8"/>
      <c r="WEF8"/>
      <c r="WEG8"/>
      <c r="WEH8"/>
      <c r="WEI8"/>
      <c r="WEJ8"/>
      <c r="WEK8"/>
      <c r="WEL8"/>
      <c r="WEM8"/>
      <c r="WEN8"/>
      <c r="WEO8"/>
      <c r="WEP8"/>
      <c r="WEQ8"/>
      <c r="WER8"/>
      <c r="WES8"/>
      <c r="WET8"/>
      <c r="WEU8"/>
      <c r="WEV8"/>
      <c r="WEW8"/>
      <c r="WEX8"/>
      <c r="WEY8"/>
      <c r="WEZ8"/>
      <c r="WFA8"/>
      <c r="WFB8"/>
      <c r="WFC8"/>
      <c r="WFD8"/>
      <c r="WFE8"/>
      <c r="WFF8"/>
      <c r="WFG8"/>
      <c r="WFH8"/>
      <c r="WFI8"/>
      <c r="WFJ8"/>
      <c r="WFK8"/>
      <c r="WFL8"/>
      <c r="WFM8"/>
      <c r="WFN8"/>
      <c r="WFO8"/>
      <c r="WFP8"/>
      <c r="WFQ8"/>
      <c r="WFR8"/>
      <c r="WFS8"/>
      <c r="WFT8"/>
      <c r="WFU8"/>
      <c r="WFV8"/>
      <c r="WFW8"/>
      <c r="WFX8"/>
      <c r="WFY8"/>
      <c r="WFZ8"/>
      <c r="WGA8"/>
      <c r="WGB8"/>
      <c r="WGC8"/>
      <c r="WGD8"/>
      <c r="WGE8"/>
      <c r="WGF8"/>
      <c r="WGG8"/>
      <c r="WGH8"/>
      <c r="WGI8"/>
      <c r="WGJ8"/>
      <c r="WGK8"/>
      <c r="WGL8"/>
      <c r="WGM8"/>
      <c r="WGN8"/>
      <c r="WGO8"/>
      <c r="WGP8"/>
      <c r="WGQ8"/>
      <c r="WGR8"/>
      <c r="WGS8"/>
      <c r="WGT8"/>
      <c r="WGU8"/>
      <c r="WGV8"/>
      <c r="WGW8"/>
      <c r="WGX8"/>
      <c r="WGY8"/>
      <c r="WGZ8"/>
      <c r="WHA8"/>
      <c r="WHB8"/>
      <c r="WHC8"/>
      <c r="WHD8"/>
      <c r="WHE8"/>
      <c r="WHF8"/>
      <c r="WHG8"/>
      <c r="WHH8"/>
      <c r="WHI8"/>
      <c r="WHJ8"/>
      <c r="WHK8"/>
      <c r="WHL8"/>
      <c r="WHM8"/>
      <c r="WHN8"/>
      <c r="WHO8"/>
      <c r="WHP8"/>
      <c r="WHQ8"/>
      <c r="WHR8"/>
      <c r="WHS8"/>
      <c r="WHT8"/>
      <c r="WHU8"/>
      <c r="WHV8"/>
      <c r="WHW8"/>
      <c r="WHX8"/>
      <c r="WHY8"/>
      <c r="WHZ8"/>
      <c r="WIA8"/>
      <c r="WIB8"/>
      <c r="WIC8"/>
      <c r="WID8"/>
      <c r="WIE8"/>
      <c r="WIF8"/>
      <c r="WIG8"/>
      <c r="WIH8"/>
      <c r="WII8"/>
      <c r="WIJ8"/>
      <c r="WIK8"/>
      <c r="WIL8"/>
      <c r="WIM8"/>
      <c r="WIN8"/>
      <c r="WIO8"/>
      <c r="WIP8"/>
      <c r="WIQ8"/>
      <c r="WIR8"/>
      <c r="WIS8"/>
      <c r="WIT8"/>
      <c r="WIU8"/>
      <c r="WIV8"/>
      <c r="WIW8"/>
      <c r="WIX8"/>
      <c r="WIY8"/>
      <c r="WIZ8"/>
      <c r="WJA8"/>
      <c r="WJB8"/>
      <c r="WJC8"/>
      <c r="WJD8"/>
      <c r="WJE8"/>
      <c r="WJF8"/>
      <c r="WJG8"/>
      <c r="WJH8"/>
      <c r="WJI8"/>
      <c r="WJJ8"/>
      <c r="WJK8"/>
      <c r="WJL8"/>
      <c r="WJM8"/>
      <c r="WJN8"/>
      <c r="WJO8"/>
      <c r="WJP8"/>
      <c r="WJQ8"/>
      <c r="WJR8"/>
      <c r="WJS8"/>
      <c r="WJT8"/>
      <c r="WJU8"/>
      <c r="WJV8"/>
      <c r="WJW8"/>
      <c r="WJX8"/>
      <c r="WJY8"/>
      <c r="WJZ8"/>
      <c r="WKA8"/>
      <c r="WKB8"/>
      <c r="WKC8"/>
      <c r="WKD8"/>
      <c r="WKE8"/>
      <c r="WKF8"/>
      <c r="WKG8"/>
      <c r="WKH8"/>
      <c r="WKI8"/>
      <c r="WKJ8"/>
      <c r="WKK8"/>
      <c r="WKL8"/>
      <c r="WKM8"/>
      <c r="WKN8"/>
      <c r="WKO8"/>
      <c r="WKP8"/>
      <c r="WKQ8"/>
      <c r="WKR8"/>
      <c r="WKS8"/>
      <c r="WKT8"/>
      <c r="WKU8"/>
      <c r="WKV8"/>
      <c r="WKW8"/>
      <c r="WKX8"/>
      <c r="WKY8"/>
      <c r="WKZ8"/>
      <c r="WLA8"/>
      <c r="WLB8"/>
      <c r="WLC8"/>
      <c r="WLD8"/>
      <c r="WLE8"/>
      <c r="WLF8"/>
      <c r="WLG8"/>
      <c r="WLH8"/>
      <c r="WLI8"/>
      <c r="WLJ8"/>
      <c r="WLK8"/>
      <c r="WLL8"/>
      <c r="WLM8"/>
      <c r="WLN8"/>
      <c r="WLO8"/>
      <c r="WLP8"/>
      <c r="WLQ8"/>
      <c r="WLR8"/>
      <c r="WLS8"/>
      <c r="WLT8"/>
      <c r="WLU8"/>
      <c r="WLV8"/>
      <c r="WLW8"/>
      <c r="WLX8"/>
      <c r="WLY8"/>
      <c r="WLZ8"/>
      <c r="WMA8"/>
      <c r="WMB8"/>
      <c r="WMC8"/>
      <c r="WMD8"/>
      <c r="WME8"/>
      <c r="WMF8"/>
      <c r="WMG8"/>
      <c r="WMH8"/>
      <c r="WMI8"/>
      <c r="WMJ8"/>
      <c r="WMK8"/>
      <c r="WML8"/>
      <c r="WMM8"/>
      <c r="WMN8"/>
      <c r="WMO8"/>
      <c r="WMP8"/>
      <c r="WMQ8"/>
      <c r="WMR8"/>
      <c r="WMS8"/>
      <c r="WMT8"/>
      <c r="WMU8"/>
      <c r="WMV8"/>
      <c r="WMW8"/>
      <c r="WMX8"/>
      <c r="WMY8"/>
      <c r="WMZ8"/>
      <c r="WNA8"/>
      <c r="WNB8"/>
      <c r="WNC8"/>
      <c r="WND8"/>
      <c r="WNE8"/>
      <c r="WNF8"/>
      <c r="WNG8"/>
      <c r="WNH8"/>
      <c r="WNI8"/>
      <c r="WNJ8"/>
      <c r="WNK8"/>
      <c r="WNL8"/>
      <c r="WNM8"/>
      <c r="WNN8"/>
      <c r="WNO8"/>
      <c r="WNP8"/>
      <c r="WNQ8"/>
      <c r="WNR8"/>
      <c r="WNS8"/>
      <c r="WNT8"/>
      <c r="WNU8"/>
      <c r="WNV8"/>
      <c r="WNW8"/>
      <c r="WNX8"/>
      <c r="WNY8"/>
      <c r="WNZ8"/>
      <c r="WOA8"/>
      <c r="WOB8"/>
      <c r="WOC8"/>
      <c r="WOD8"/>
      <c r="WOE8"/>
      <c r="WOF8"/>
      <c r="WOG8"/>
      <c r="WOH8"/>
      <c r="WOI8"/>
      <c r="WOJ8"/>
      <c r="WOK8"/>
      <c r="WOL8"/>
      <c r="WOM8"/>
      <c r="WON8"/>
      <c r="WOO8"/>
      <c r="WOP8"/>
      <c r="WOQ8"/>
      <c r="WOR8"/>
      <c r="WOS8"/>
      <c r="WOT8"/>
      <c r="WOU8"/>
      <c r="WOV8"/>
      <c r="WOW8"/>
      <c r="WOX8"/>
      <c r="WOY8"/>
      <c r="WOZ8"/>
      <c r="WPA8"/>
      <c r="WPB8"/>
      <c r="WPC8"/>
      <c r="WPD8"/>
      <c r="WPE8"/>
      <c r="WPF8"/>
      <c r="WPG8"/>
      <c r="WPH8"/>
      <c r="WPI8"/>
      <c r="WPJ8"/>
      <c r="WPK8"/>
      <c r="WPL8"/>
      <c r="WPM8"/>
      <c r="WPN8"/>
      <c r="WPO8"/>
      <c r="WPP8"/>
      <c r="WPQ8"/>
      <c r="WPR8"/>
      <c r="WPS8"/>
      <c r="WPT8"/>
      <c r="WPU8"/>
      <c r="WPV8"/>
      <c r="WPW8"/>
      <c r="WPX8"/>
      <c r="WPY8"/>
      <c r="WPZ8"/>
      <c r="WQA8"/>
      <c r="WQB8"/>
      <c r="WQC8"/>
      <c r="WQD8"/>
      <c r="WQE8"/>
      <c r="WQF8"/>
      <c r="WQG8"/>
      <c r="WQH8"/>
      <c r="WQI8"/>
      <c r="WQJ8"/>
      <c r="WQK8"/>
      <c r="WQL8"/>
      <c r="WQM8"/>
      <c r="WQN8"/>
      <c r="WQO8"/>
      <c r="WQP8"/>
      <c r="WQQ8"/>
      <c r="WQR8"/>
      <c r="WQS8"/>
      <c r="WQT8"/>
      <c r="WQU8"/>
      <c r="WQV8"/>
      <c r="WQW8"/>
      <c r="WQX8"/>
      <c r="WQY8"/>
      <c r="WQZ8"/>
      <c r="WRA8"/>
      <c r="WRB8"/>
      <c r="WRC8"/>
      <c r="WRD8"/>
      <c r="WRE8"/>
      <c r="WRF8"/>
      <c r="WRG8"/>
      <c r="WRH8"/>
      <c r="WRI8"/>
      <c r="WRJ8"/>
      <c r="WRK8"/>
      <c r="WRL8"/>
      <c r="WRM8"/>
      <c r="WRN8"/>
      <c r="WRO8"/>
      <c r="WRP8"/>
      <c r="WRQ8"/>
      <c r="WRR8"/>
      <c r="WRS8"/>
      <c r="WRT8"/>
      <c r="WRU8"/>
      <c r="WRV8"/>
      <c r="WRW8"/>
      <c r="WRX8"/>
      <c r="WRY8"/>
      <c r="WRZ8"/>
      <c r="WSA8"/>
      <c r="WSB8"/>
      <c r="WSC8"/>
      <c r="WSD8"/>
      <c r="WSE8"/>
      <c r="WSF8"/>
      <c r="WSG8"/>
      <c r="WSH8"/>
      <c r="WSI8"/>
      <c r="WSJ8"/>
      <c r="WSK8"/>
      <c r="WSL8"/>
      <c r="WSM8"/>
      <c r="WSN8"/>
      <c r="WSO8"/>
      <c r="WSP8"/>
      <c r="WSQ8"/>
      <c r="WSR8"/>
      <c r="WSS8"/>
      <c r="WST8"/>
      <c r="WSU8"/>
      <c r="WSV8"/>
      <c r="WSW8"/>
      <c r="WSX8"/>
      <c r="WSY8"/>
      <c r="WSZ8"/>
      <c r="WTA8"/>
      <c r="WTB8"/>
      <c r="WTC8"/>
      <c r="WTD8"/>
      <c r="WTE8"/>
      <c r="WTF8"/>
      <c r="WTG8"/>
      <c r="WTH8"/>
      <c r="WTI8"/>
      <c r="WTJ8"/>
      <c r="WTK8"/>
      <c r="WTL8"/>
      <c r="WTM8"/>
      <c r="WTN8"/>
      <c r="WTO8"/>
      <c r="WTP8"/>
      <c r="WTQ8"/>
      <c r="WTR8"/>
      <c r="WTS8"/>
      <c r="WTT8"/>
      <c r="WTU8"/>
      <c r="WTV8"/>
      <c r="WTW8"/>
      <c r="WTX8"/>
      <c r="WTY8"/>
      <c r="WTZ8"/>
      <c r="WUA8"/>
      <c r="WUB8"/>
      <c r="WUC8"/>
      <c r="WUD8"/>
      <c r="WUE8"/>
      <c r="WUF8"/>
      <c r="WUG8"/>
      <c r="WUH8"/>
      <c r="WUI8"/>
      <c r="WUJ8"/>
      <c r="WUK8"/>
      <c r="WUL8"/>
      <c r="WUM8"/>
      <c r="WUN8"/>
      <c r="WUO8"/>
      <c r="WUP8"/>
      <c r="WUQ8"/>
      <c r="WUR8"/>
      <c r="WUS8"/>
      <c r="WUT8"/>
      <c r="WUU8"/>
      <c r="WUV8"/>
      <c r="WUW8"/>
      <c r="WUX8"/>
      <c r="WUY8"/>
      <c r="WUZ8"/>
      <c r="WVA8"/>
      <c r="WVB8"/>
      <c r="WVC8"/>
      <c r="WVD8"/>
      <c r="WVE8"/>
      <c r="WVF8"/>
      <c r="WVG8"/>
      <c r="WVH8"/>
      <c r="WVI8"/>
      <c r="WVJ8"/>
      <c r="WVK8"/>
      <c r="WVL8"/>
      <c r="WVM8"/>
      <c r="WVN8"/>
      <c r="WVO8"/>
      <c r="WVP8"/>
      <c r="WVQ8"/>
      <c r="WVR8"/>
      <c r="WVS8"/>
      <c r="WVT8"/>
      <c r="WVU8"/>
      <c r="WVV8"/>
      <c r="WVW8"/>
      <c r="WVX8"/>
      <c r="WVY8"/>
      <c r="WVZ8"/>
      <c r="WWA8"/>
      <c r="WWB8"/>
      <c r="WWC8"/>
      <c r="WWD8"/>
      <c r="WWE8"/>
      <c r="WWF8"/>
      <c r="WWG8"/>
      <c r="WWH8"/>
      <c r="WWI8"/>
      <c r="WWJ8"/>
      <c r="WWK8"/>
      <c r="WWL8"/>
      <c r="WWM8"/>
      <c r="WWN8"/>
      <c r="WWO8"/>
      <c r="WWP8"/>
      <c r="WWQ8"/>
      <c r="WWR8"/>
      <c r="WWS8"/>
      <c r="WWT8"/>
      <c r="WWU8"/>
      <c r="WWV8"/>
      <c r="WWW8"/>
      <c r="WWX8"/>
      <c r="WWY8"/>
      <c r="WWZ8"/>
      <c r="WXA8"/>
      <c r="WXB8"/>
      <c r="WXC8"/>
      <c r="WXD8"/>
      <c r="WXE8"/>
      <c r="WXF8"/>
      <c r="WXG8"/>
      <c r="WXH8"/>
      <c r="WXI8"/>
      <c r="WXJ8"/>
      <c r="WXK8"/>
      <c r="WXL8"/>
      <c r="WXM8"/>
      <c r="WXN8"/>
      <c r="WXO8"/>
      <c r="WXP8"/>
      <c r="WXQ8"/>
      <c r="WXR8"/>
      <c r="WXS8"/>
      <c r="WXT8"/>
      <c r="WXU8"/>
      <c r="WXV8"/>
      <c r="WXW8"/>
      <c r="WXX8"/>
      <c r="WXY8"/>
      <c r="WXZ8"/>
      <c r="WYA8"/>
      <c r="WYB8"/>
      <c r="WYC8"/>
      <c r="WYD8"/>
      <c r="WYE8"/>
      <c r="WYF8"/>
      <c r="WYG8"/>
      <c r="WYH8"/>
      <c r="WYI8"/>
      <c r="WYJ8"/>
      <c r="WYK8"/>
      <c r="WYL8"/>
      <c r="WYM8"/>
      <c r="WYN8"/>
      <c r="WYO8"/>
      <c r="WYP8"/>
      <c r="WYQ8"/>
      <c r="WYR8"/>
      <c r="WYS8"/>
      <c r="WYT8"/>
      <c r="WYU8"/>
      <c r="WYV8"/>
      <c r="WYW8"/>
      <c r="WYX8"/>
      <c r="WYY8"/>
      <c r="WYZ8"/>
      <c r="WZA8"/>
      <c r="WZB8"/>
      <c r="WZC8"/>
      <c r="WZD8"/>
      <c r="WZE8"/>
      <c r="WZF8"/>
      <c r="WZG8"/>
      <c r="WZH8"/>
      <c r="WZI8"/>
      <c r="WZJ8"/>
      <c r="WZK8"/>
      <c r="WZL8"/>
      <c r="WZM8"/>
      <c r="WZN8"/>
      <c r="WZO8"/>
      <c r="WZP8"/>
      <c r="WZQ8"/>
      <c r="WZR8"/>
      <c r="WZS8"/>
      <c r="WZT8"/>
      <c r="WZU8"/>
      <c r="WZV8"/>
      <c r="WZW8"/>
      <c r="WZX8"/>
      <c r="WZY8"/>
      <c r="WZZ8"/>
      <c r="XAA8"/>
      <c r="XAB8"/>
      <c r="XAC8"/>
      <c r="XAD8"/>
      <c r="XAE8"/>
      <c r="XAF8"/>
      <c r="XAG8"/>
      <c r="XAH8"/>
      <c r="XAI8"/>
      <c r="XAJ8"/>
      <c r="XAK8"/>
      <c r="XAL8"/>
      <c r="XAM8"/>
      <c r="XAN8"/>
      <c r="XAO8"/>
      <c r="XAP8"/>
      <c r="XAQ8"/>
      <c r="XAR8"/>
      <c r="XAS8"/>
      <c r="XAT8"/>
      <c r="XAU8"/>
      <c r="XAV8"/>
      <c r="XAW8"/>
      <c r="XAX8"/>
      <c r="XAY8"/>
      <c r="XAZ8"/>
      <c r="XBA8"/>
      <c r="XBB8"/>
      <c r="XBC8"/>
      <c r="XBD8"/>
      <c r="XBE8"/>
      <c r="XBF8"/>
      <c r="XBG8"/>
      <c r="XBH8"/>
      <c r="XBI8"/>
      <c r="XBJ8"/>
      <c r="XBK8"/>
      <c r="XBL8"/>
      <c r="XBM8"/>
      <c r="XBN8"/>
      <c r="XBO8"/>
      <c r="XBP8"/>
      <c r="XBQ8"/>
      <c r="XBR8"/>
      <c r="XBS8"/>
      <c r="XBT8"/>
      <c r="XBU8"/>
      <c r="XBV8"/>
      <c r="XBW8"/>
      <c r="XBX8"/>
      <c r="XBY8"/>
      <c r="XBZ8"/>
      <c r="XCA8"/>
      <c r="XCB8"/>
      <c r="XCC8"/>
      <c r="XCD8"/>
      <c r="XCE8"/>
      <c r="XCF8"/>
      <c r="XCG8"/>
      <c r="XCH8"/>
      <c r="XCI8"/>
      <c r="XCJ8"/>
      <c r="XCK8"/>
      <c r="XCL8"/>
      <c r="XCM8"/>
      <c r="XCN8"/>
      <c r="XCO8"/>
      <c r="XCP8"/>
      <c r="XCQ8"/>
      <c r="XCR8"/>
      <c r="XCS8"/>
      <c r="XCT8"/>
      <c r="XCU8"/>
      <c r="XCV8"/>
      <c r="XCW8"/>
      <c r="XCX8"/>
      <c r="XCY8"/>
      <c r="XCZ8"/>
      <c r="XDA8"/>
      <c r="XDB8"/>
      <c r="XDC8"/>
      <c r="XDD8"/>
      <c r="XDE8"/>
      <c r="XDF8"/>
      <c r="XDG8"/>
      <c r="XDH8"/>
      <c r="XDI8"/>
      <c r="XDJ8"/>
      <c r="XDK8"/>
      <c r="XDL8"/>
      <c r="XDM8"/>
      <c r="XDN8"/>
      <c r="XDO8"/>
      <c r="XDP8"/>
      <c r="XDQ8"/>
      <c r="XDR8"/>
      <c r="XDS8"/>
      <c r="XDT8"/>
      <c r="XDU8"/>
      <c r="XDV8"/>
      <c r="XDW8"/>
      <c r="XDX8"/>
      <c r="XDY8"/>
      <c r="XDZ8"/>
      <c r="XEA8"/>
      <c r="XEB8"/>
      <c r="XEC8"/>
      <c r="XED8"/>
      <c r="XEE8"/>
      <c r="XEF8"/>
      <c r="XEG8"/>
      <c r="XEH8"/>
      <c r="XEI8"/>
      <c r="XEJ8"/>
      <c r="XEK8"/>
      <c r="XEL8"/>
      <c r="XEM8"/>
      <c r="XEN8"/>
      <c r="XEO8"/>
      <c r="XEP8"/>
      <c r="XEQ8"/>
      <c r="XER8"/>
      <c r="XES8"/>
      <c r="XET8"/>
      <c r="XEU8"/>
      <c r="XEV8"/>
      <c r="XEW8"/>
      <c r="XEX8"/>
      <c r="XEY8"/>
      <c r="XEZ8"/>
      <c r="XFA8"/>
      <c r="XFB8"/>
      <c r="XFC8"/>
      <c r="XFD8"/>
    </row>
    <row r="9" spans="1:16384">
      <c r="A9" s="61" t="s">
        <v>525</v>
      </c>
      <c r="B9" s="61">
        <v>4</v>
      </c>
      <c r="I9" s="35"/>
      <c r="J9" s="134"/>
      <c r="L9" s="35"/>
      <c r="M9" s="35"/>
      <c r="N9" s="67"/>
      <c r="S9" s="72"/>
      <c r="T9" s="72"/>
      <c r="U9" s="72"/>
      <c r="V9" s="72"/>
      <c r="W9" s="72"/>
      <c r="X9" s="72"/>
      <c r="Y9" s="72"/>
      <c r="Z9" s="72"/>
      <c r="AA9" s="72"/>
      <c r="AB9" s="72"/>
      <c r="AC9" s="72"/>
      <c r="AD9" s="72"/>
      <c r="AE9" s="72"/>
      <c r="AF9" s="72"/>
      <c r="AG9" s="72"/>
      <c r="AI9" s="35">
        <f t="shared" si="10"/>
        <v>1.0475280237481881</v>
      </c>
      <c r="AJ9" t="b">
        <f t="shared" si="9"/>
        <v>0</v>
      </c>
      <c r="AK9" s="158">
        <v>44616</v>
      </c>
      <c r="AL9" s="139">
        <f t="shared" si="11"/>
        <v>16550</v>
      </c>
      <c r="AM9" s="34">
        <v>0</v>
      </c>
      <c r="AN9" s="137">
        <v>0</v>
      </c>
      <c r="AO9" s="34">
        <v>0.87</v>
      </c>
      <c r="AP9" s="139">
        <v>16550</v>
      </c>
      <c r="AQ9" s="34">
        <v>20.13</v>
      </c>
      <c r="AR9" t="s">
        <v>502</v>
      </c>
      <c r="AS9" s="138">
        <v>74</v>
      </c>
      <c r="AT9" s="34">
        <v>-0.13</v>
      </c>
      <c r="AU9" s="34">
        <v>4400</v>
      </c>
      <c r="AV9" s="34">
        <v>-3.41</v>
      </c>
      <c r="AW9" s="34">
        <v>11.54</v>
      </c>
      <c r="AX9" s="34">
        <v>2.0000000000000001E-4</v>
      </c>
      <c r="AZ9" s="148">
        <f>$BB$1-200</f>
        <v>15685.714285714286</v>
      </c>
      <c r="BA9" s="34">
        <f>SUMIF(BC9:BU9,"&lt;&gt;#N/A")</f>
        <v>-172114.28571428498</v>
      </c>
      <c r="BB9" s="34"/>
      <c r="BC9" s="34">
        <f>IF(ISBLANK(BC$2),0,(MAX(BC$2-$AZ9,0)-IF(ISNUMBER(BC$4),BC$4,BC$3))*BC$5)</f>
        <v>0</v>
      </c>
      <c r="BD9" s="34">
        <f t="shared" ref="BD9:BN24" si="41">IF(ISBLANK(BD$2),0,(MAX(BD$2-$AZ9,0)-IF(ISNUMBER(BD$4),BD$4,BD$3))*BD$5)</f>
        <v>0</v>
      </c>
      <c r="BE9" s="34">
        <f t="shared" si="41"/>
        <v>0</v>
      </c>
      <c r="BF9" s="34">
        <f t="shared" si="41"/>
        <v>0</v>
      </c>
      <c r="BG9" s="34">
        <f t="shared" si="41"/>
        <v>-67714.285714285332</v>
      </c>
      <c r="BH9" s="34">
        <f t="shared" si="41"/>
        <v>-210214.28571428533</v>
      </c>
      <c r="BI9" s="34">
        <f>IF(ISBLANK(BI$2),0,(MAX(BI$2-$AZ9,0)-IF(ISNUMBER(BI$4),BI$4,BI$3))*BI$5)</f>
        <v>77014.285714285681</v>
      </c>
      <c r="BJ9" s="34">
        <f t="shared" si="41"/>
        <v>0</v>
      </c>
      <c r="BK9" s="34">
        <f t="shared" si="41"/>
        <v>0</v>
      </c>
      <c r="BL9" s="34">
        <f t="shared" si="41"/>
        <v>0</v>
      </c>
      <c r="BM9" s="34">
        <f t="shared" si="41"/>
        <v>0</v>
      </c>
      <c r="BN9" s="34">
        <f>IF(ISBLANK(BN$2),0,(MAX(BN$2-$AZ9,0)-IF(ISNUMBER(BN$4),BN$4,BN$3))*BN$5)</f>
        <v>0</v>
      </c>
      <c r="BO9" s="34">
        <f>IF(ISBLANK(BO$2),0,(MAX($AZ9-BO$2,0)-IF(ISNUMBER(BO$4),BO$4,BO$3))*BO$5)</f>
        <v>0</v>
      </c>
      <c r="BP9" s="34">
        <f t="shared" ref="BP9:BU24" si="42">IF(ISBLANK(BP$2),0,(MAX($AZ9-BP$2,0)-IF(ISNUMBER(BP$4),BP$4,BP$3))*BP$5)</f>
        <v>-13200</v>
      </c>
      <c r="BQ9" s="34">
        <f t="shared" si="42"/>
        <v>42000</v>
      </c>
      <c r="BR9" s="34">
        <f t="shared" si="42"/>
        <v>0</v>
      </c>
      <c r="BS9" s="34">
        <f t="shared" si="42"/>
        <v>0</v>
      </c>
      <c r="BT9" s="34">
        <f t="shared" si="42"/>
        <v>0</v>
      </c>
      <c r="BU9" s="34" t="e">
        <f t="shared" si="42"/>
        <v>#N/A</v>
      </c>
      <c r="BW9" s="148">
        <f>$BY$1-1800</f>
        <v>39171.428571428572</v>
      </c>
      <c r="BX9" s="34">
        <f>SUMIF(BZ9:CR9,"&lt;&gt;#N/A")</f>
        <v>0</v>
      </c>
      <c r="BY9" s="34"/>
      <c r="BZ9" s="34" t="e">
        <f>IF(ISBLANK(BZ$2),0,(MAX(BZ$2-$BW9,0)-IF(ISNUMBER(BZ$4),BZ$4,BZ$3))*BZ$5)</f>
        <v>#N/A</v>
      </c>
      <c r="CA9" s="34" t="e">
        <f t="shared" ref="CA9:CK24" si="43">IF(ISBLANK(CA$2),0,(MAX(CA$2-$BW9,0)-IF(ISNUMBER(CA$4),CA$4,CA$3))*CA$5)</f>
        <v>#N/A</v>
      </c>
      <c r="CB9" s="34" t="e">
        <f t="shared" si="43"/>
        <v>#N/A</v>
      </c>
      <c r="CC9" s="34" t="e">
        <f t="shared" si="43"/>
        <v>#N/A</v>
      </c>
      <c r="CD9" s="34">
        <f t="shared" si="43"/>
        <v>0</v>
      </c>
      <c r="CE9" s="34">
        <f t="shared" si="43"/>
        <v>0</v>
      </c>
      <c r="CF9" s="34">
        <f t="shared" si="43"/>
        <v>0</v>
      </c>
      <c r="CG9" s="34">
        <f t="shared" si="43"/>
        <v>0</v>
      </c>
      <c r="CH9" s="34">
        <f t="shared" si="43"/>
        <v>0</v>
      </c>
      <c r="CI9" s="34">
        <f t="shared" si="43"/>
        <v>0</v>
      </c>
      <c r="CJ9" s="34">
        <f t="shared" si="43"/>
        <v>0</v>
      </c>
      <c r="CK9" s="34">
        <f t="shared" si="43"/>
        <v>0</v>
      </c>
      <c r="CL9" s="34" t="e">
        <f>IF(ISBLANK(CL$2),0,(MAX($BW9-CL$2,0)-IF(ISNUMBER(CL$4),CL$4,CL$3))*CL$5)</f>
        <v>#N/A</v>
      </c>
      <c r="CM9" s="34" t="e">
        <f t="shared" ref="CM9:CR24" si="44">IF(ISBLANK(CM$2),0,(MAX($BW9-CM$2,0)-IF(ISNUMBER(CM$4),CM$4,CM$3))*CM$5)</f>
        <v>#N/A</v>
      </c>
      <c r="CN9" s="34">
        <f t="shared" si="44"/>
        <v>0</v>
      </c>
      <c r="CO9" s="34">
        <f t="shared" si="44"/>
        <v>0</v>
      </c>
      <c r="CP9" s="34">
        <f t="shared" si="44"/>
        <v>0</v>
      </c>
      <c r="CQ9" s="34">
        <f t="shared" si="44"/>
        <v>0</v>
      </c>
      <c r="CR9" s="34" t="e">
        <f t="shared" si="44"/>
        <v>#N/A</v>
      </c>
      <c r="CS9" s="34"/>
      <c r="CT9" s="34"/>
      <c r="CU9" s="34"/>
      <c r="CV9">
        <f t="shared" ref="CV9:CV24" si="45">CV8+50</f>
        <v>17150</v>
      </c>
      <c r="CW9">
        <f t="shared" si="34"/>
        <v>79</v>
      </c>
      <c r="CX9">
        <f t="shared" si="35"/>
        <v>-326</v>
      </c>
      <c r="CY9">
        <f t="shared" si="36"/>
        <v>-247</v>
      </c>
      <c r="CZ9">
        <f t="shared" si="37"/>
        <v>-12350</v>
      </c>
      <c r="DA9" s="34"/>
      <c r="DB9" s="34">
        <f t="shared" si="38"/>
        <v>77.32804778652536</v>
      </c>
      <c r="DC9" s="34">
        <f t="shared" si="39"/>
        <v>-322.86439163540854</v>
      </c>
      <c r="DD9" s="134">
        <f t="shared" si="40"/>
        <v>-245.53634384888318</v>
      </c>
      <c r="DE9" s="34"/>
      <c r="DF9" s="34"/>
      <c r="DG9" s="34"/>
      <c r="DH9" s="34"/>
      <c r="DI9" s="34"/>
      <c r="DJ9" s="34"/>
      <c r="DK9" s="34"/>
      <c r="DL9" s="34"/>
      <c r="DM9" s="34"/>
      <c r="DN9" s="34"/>
      <c r="DO9" s="34"/>
      <c r="DP9" s="34"/>
      <c r="DQ9" s="34"/>
      <c r="DR9" s="34"/>
      <c r="DS9" s="34"/>
      <c r="DT9" s="34"/>
      <c r="DU9" s="34"/>
      <c r="DV9" s="34"/>
    </row>
    <row r="10" spans="1:16384" s="33" customFormat="1">
      <c r="A10" s="61" t="s">
        <v>514</v>
      </c>
      <c r="B10" s="70" t="e">
        <f>VLOOKUP($B$9,$D:$N,11,0)*VLOOKUP($B$9,$D:$N,8,0)</f>
        <v>#N/A</v>
      </c>
      <c r="C10" s="65"/>
      <c r="D10"/>
      <c r="E10"/>
      <c r="F10"/>
      <c r="G10" s="34"/>
      <c r="H10" s="34"/>
      <c r="I10" s="35"/>
      <c r="J10" s="134"/>
      <c r="K10" s="34"/>
      <c r="L10" s="35"/>
      <c r="M10" s="35"/>
      <c r="N10" s="67"/>
      <c r="O10" s="34"/>
      <c r="P10" s="34"/>
      <c r="Q10" s="34"/>
      <c r="R10" s="34"/>
      <c r="S10" s="72"/>
      <c r="T10" s="72"/>
      <c r="U10" s="72"/>
      <c r="V10" s="72"/>
      <c r="W10" s="72"/>
      <c r="X10" s="72"/>
      <c r="Y10" s="72"/>
      <c r="Z10" s="72"/>
      <c r="AA10" s="72"/>
      <c r="AB10" s="72"/>
      <c r="AC10" s="72"/>
      <c r="AD10" s="72"/>
      <c r="AE10" s="72"/>
      <c r="AF10" s="72"/>
      <c r="AG10" s="72"/>
      <c r="AH10"/>
      <c r="AI10" s="35">
        <f t="shared" si="10"/>
        <v>1.0506927609800558</v>
      </c>
      <c r="AJ10" t="b">
        <f t="shared" si="9"/>
        <v>0</v>
      </c>
      <c r="AK10" s="158">
        <v>44616</v>
      </c>
      <c r="AL10" s="139">
        <f t="shared" si="11"/>
        <v>16600</v>
      </c>
      <c r="AM10" s="34">
        <v>3700</v>
      </c>
      <c r="AN10" s="137">
        <v>1165.3</v>
      </c>
      <c r="AO10" s="34">
        <v>0.86</v>
      </c>
      <c r="AP10" s="139">
        <v>16600</v>
      </c>
      <c r="AQ10" s="34">
        <v>19.920000000000002</v>
      </c>
      <c r="AR10" t="s">
        <v>502</v>
      </c>
      <c r="AS10" s="138">
        <v>79.05</v>
      </c>
      <c r="AT10" s="34">
        <v>-0.14000000000000001</v>
      </c>
      <c r="AU10" s="34">
        <v>332650</v>
      </c>
      <c r="AV10" s="34">
        <v>-3.53</v>
      </c>
      <c r="AW10" s="34">
        <v>12.04</v>
      </c>
      <c r="AX10" s="34">
        <v>2.1000000000000001E-4</v>
      </c>
      <c r="AY10"/>
      <c r="AZ10" s="148">
        <f>AZ9+$AZ$2</f>
        <v>15785.714285714286</v>
      </c>
      <c r="BA10" s="34">
        <f t="shared" ref="BA10:BA54" si="46">SUMIF(BC10:BU10,"&lt;&gt;#N/A")</f>
        <v>-27114.285714284983</v>
      </c>
      <c r="BB10" s="34"/>
      <c r="BC10" s="34">
        <f t="shared" ref="BC10:BN54" si="47">IF(ISBLANK(BC$2),0,(MAX(BC$2-$AZ10,0)-IF(ISNUMBER(BC$4),BC$4,BC$3))*BC$5)</f>
        <v>0</v>
      </c>
      <c r="BD10" s="34">
        <f t="shared" si="41"/>
        <v>0</v>
      </c>
      <c r="BE10" s="34">
        <f t="shared" si="41"/>
        <v>0</v>
      </c>
      <c r="BF10" s="34">
        <f t="shared" si="41"/>
        <v>0</v>
      </c>
      <c r="BG10" s="34">
        <f t="shared" si="41"/>
        <v>7285.7142857146755</v>
      </c>
      <c r="BH10" s="34">
        <f t="shared" si="41"/>
        <v>-135214.28571428533</v>
      </c>
      <c r="BI10" s="34">
        <f t="shared" si="41"/>
        <v>72014.285714285681</v>
      </c>
      <c r="BJ10" s="34">
        <f t="shared" si="41"/>
        <v>0</v>
      </c>
      <c r="BK10" s="34">
        <f t="shared" si="41"/>
        <v>0</v>
      </c>
      <c r="BL10" s="34">
        <f t="shared" si="41"/>
        <v>0</v>
      </c>
      <c r="BM10" s="34">
        <f t="shared" si="41"/>
        <v>0</v>
      </c>
      <c r="BN10" s="34">
        <f t="shared" si="41"/>
        <v>0</v>
      </c>
      <c r="BO10" s="34">
        <f t="shared" ref="BO10:BU54" si="48">IF(ISBLANK(BO$2),0,(MAX($AZ10-BO$2,0)-IF(ISNUMBER(BO$4),BO$4,BO$3))*BO$5)</f>
        <v>0</v>
      </c>
      <c r="BP10" s="34">
        <f t="shared" si="42"/>
        <v>-13200</v>
      </c>
      <c r="BQ10" s="34">
        <f t="shared" si="42"/>
        <v>42000</v>
      </c>
      <c r="BR10" s="34">
        <f t="shared" si="42"/>
        <v>0</v>
      </c>
      <c r="BS10" s="34">
        <f t="shared" si="42"/>
        <v>0</v>
      </c>
      <c r="BT10" s="34">
        <f t="shared" si="42"/>
        <v>0</v>
      </c>
      <c r="BU10" s="34" t="e">
        <f t="shared" si="42"/>
        <v>#N/A</v>
      </c>
      <c r="BV10"/>
      <c r="BW10" s="148">
        <f>BW9+$BW$2</f>
        <v>39221.428571428572</v>
      </c>
      <c r="BX10" s="34">
        <f t="shared" ref="BX10:BX54" si="49">SUMIF(BZ10:CR10,"&lt;&gt;#N/A")</f>
        <v>0</v>
      </c>
      <c r="BY10" s="34"/>
      <c r="BZ10" s="34" t="e">
        <f t="shared" ref="BZ10:CK25" si="50">IF(ISBLANK(BZ$2),0,(MAX(BZ$2-$BW10,0)-IF(ISNUMBER(BZ$4),BZ$4,BZ$3))*BZ$5)</f>
        <v>#N/A</v>
      </c>
      <c r="CA10" s="34" t="e">
        <f t="shared" si="43"/>
        <v>#N/A</v>
      </c>
      <c r="CB10" s="34" t="e">
        <f t="shared" si="43"/>
        <v>#N/A</v>
      </c>
      <c r="CC10" s="34" t="e">
        <f t="shared" si="43"/>
        <v>#N/A</v>
      </c>
      <c r="CD10" s="34">
        <f t="shared" si="43"/>
        <v>0</v>
      </c>
      <c r="CE10" s="34">
        <f t="shared" si="43"/>
        <v>0</v>
      </c>
      <c r="CF10" s="34">
        <f t="shared" si="43"/>
        <v>0</v>
      </c>
      <c r="CG10" s="34">
        <f t="shared" si="43"/>
        <v>0</v>
      </c>
      <c r="CH10" s="34">
        <f t="shared" si="43"/>
        <v>0</v>
      </c>
      <c r="CI10" s="34">
        <f t="shared" si="43"/>
        <v>0</v>
      </c>
      <c r="CJ10" s="34">
        <f t="shared" si="43"/>
        <v>0</v>
      </c>
      <c r="CK10" s="34">
        <f t="shared" si="43"/>
        <v>0</v>
      </c>
      <c r="CL10" s="34" t="e">
        <f t="shared" ref="CL10:CR25" si="51">IF(ISBLANK(CL$2),0,(MAX($BW10-CL$2,0)-IF(ISNUMBER(CL$4),CL$4,CL$3))*CL$5)</f>
        <v>#N/A</v>
      </c>
      <c r="CM10" s="34" t="e">
        <f t="shared" si="44"/>
        <v>#N/A</v>
      </c>
      <c r="CN10" s="34">
        <f t="shared" si="44"/>
        <v>0</v>
      </c>
      <c r="CO10" s="34">
        <f t="shared" si="44"/>
        <v>0</v>
      </c>
      <c r="CP10" s="34">
        <f t="shared" si="44"/>
        <v>0</v>
      </c>
      <c r="CQ10" s="34">
        <f t="shared" si="44"/>
        <v>0</v>
      </c>
      <c r="CR10" s="34" t="e">
        <f t="shared" si="44"/>
        <v>#N/A</v>
      </c>
      <c r="CS10" s="34"/>
      <c r="CT10" s="34"/>
      <c r="CU10" s="34"/>
      <c r="CV10">
        <f t="shared" si="45"/>
        <v>17200</v>
      </c>
      <c r="CW10">
        <f t="shared" si="34"/>
        <v>79</v>
      </c>
      <c r="CX10">
        <f t="shared" si="35"/>
        <v>-276</v>
      </c>
      <c r="CY10">
        <f t="shared" si="36"/>
        <v>-197</v>
      </c>
      <c r="CZ10">
        <f t="shared" si="37"/>
        <v>-9850</v>
      </c>
      <c r="DA10" s="34"/>
      <c r="DB10" s="34">
        <f t="shared" si="38"/>
        <v>75.764375389546217</v>
      </c>
      <c r="DC10" s="34">
        <f t="shared" si="39"/>
        <v>-274.42806403238865</v>
      </c>
      <c r="DD10" s="134">
        <f t="shared" si="40"/>
        <v>-198.66368864284243</v>
      </c>
      <c r="DE10" s="34"/>
      <c r="DF10" s="34"/>
      <c r="DG10" s="34"/>
      <c r="DH10" s="34"/>
      <c r="DI10" s="34"/>
      <c r="DJ10" s="34"/>
      <c r="DK10" s="34"/>
      <c r="DL10" s="34"/>
      <c r="DM10" s="34"/>
      <c r="DN10" s="34"/>
      <c r="DO10" s="34"/>
      <c r="DP10" s="34"/>
      <c r="DQ10" s="34"/>
      <c r="DR10" s="34"/>
      <c r="DS10" s="34"/>
      <c r="DT10" s="34"/>
      <c r="DU10" s="34"/>
      <c r="DV10" s="34"/>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c r="NTM10"/>
      <c r="NTN10"/>
      <c r="NTO10"/>
      <c r="NTP10"/>
      <c r="NTQ10"/>
      <c r="NTR10"/>
      <c r="NTS10"/>
      <c r="NTT10"/>
      <c r="NTU10"/>
      <c r="NTV10"/>
      <c r="NTW10"/>
      <c r="NTX10"/>
      <c r="NTY10"/>
      <c r="NTZ10"/>
      <c r="NUA10"/>
      <c r="NUB10"/>
      <c r="NUC10"/>
      <c r="NUD10"/>
      <c r="NUE10"/>
      <c r="NUF10"/>
      <c r="NUG10"/>
      <c r="NUH10"/>
      <c r="NUI10"/>
      <c r="NUJ10"/>
      <c r="NUK10"/>
      <c r="NUL10"/>
      <c r="NUM10"/>
      <c r="NUN10"/>
      <c r="NUO10"/>
      <c r="NUP10"/>
      <c r="NUQ10"/>
      <c r="NUR10"/>
      <c r="NUS10"/>
      <c r="NUT10"/>
      <c r="NUU10"/>
      <c r="NUV10"/>
      <c r="NUW10"/>
      <c r="NUX10"/>
      <c r="NUY10"/>
      <c r="NUZ10"/>
      <c r="NVA10"/>
      <c r="NVB10"/>
      <c r="NVC10"/>
      <c r="NVD10"/>
      <c r="NVE10"/>
      <c r="NVF10"/>
      <c r="NVG10"/>
      <c r="NVH10"/>
      <c r="NVI10"/>
      <c r="NVJ10"/>
      <c r="NVK10"/>
      <c r="NVL10"/>
      <c r="NVM10"/>
      <c r="NVN10"/>
      <c r="NVO10"/>
      <c r="NVP10"/>
      <c r="NVQ10"/>
      <c r="NVR10"/>
      <c r="NVS10"/>
      <c r="NVT10"/>
      <c r="NVU10"/>
      <c r="NVV10"/>
      <c r="NVW10"/>
      <c r="NVX10"/>
      <c r="NVY10"/>
      <c r="NVZ10"/>
      <c r="NWA10"/>
      <c r="NWB10"/>
      <c r="NWC10"/>
      <c r="NWD10"/>
      <c r="NWE10"/>
      <c r="NWF10"/>
      <c r="NWG10"/>
      <c r="NWH10"/>
      <c r="NWI10"/>
      <c r="NWJ10"/>
      <c r="NWK10"/>
      <c r="NWL10"/>
      <c r="NWM10"/>
      <c r="NWN10"/>
      <c r="NWO10"/>
      <c r="NWP10"/>
      <c r="NWQ10"/>
      <c r="NWR10"/>
      <c r="NWS10"/>
      <c r="NWT10"/>
      <c r="NWU10"/>
      <c r="NWV10"/>
      <c r="NWW10"/>
      <c r="NWX10"/>
      <c r="NWY10"/>
      <c r="NWZ10"/>
      <c r="NXA10"/>
      <c r="NXB10"/>
      <c r="NXC10"/>
      <c r="NXD10"/>
      <c r="NXE10"/>
      <c r="NXF10"/>
      <c r="NXG10"/>
      <c r="NXH10"/>
      <c r="NXI10"/>
      <c r="NXJ10"/>
      <c r="NXK10"/>
      <c r="NXL10"/>
      <c r="NXM10"/>
      <c r="NXN10"/>
      <c r="NXO10"/>
      <c r="NXP10"/>
      <c r="NXQ10"/>
      <c r="NXR10"/>
      <c r="NXS10"/>
      <c r="NXT10"/>
      <c r="NXU10"/>
      <c r="NXV10"/>
      <c r="NXW10"/>
      <c r="NXX10"/>
      <c r="NXY10"/>
      <c r="NXZ10"/>
      <c r="NYA10"/>
      <c r="NYB10"/>
      <c r="NYC10"/>
      <c r="NYD10"/>
      <c r="NYE10"/>
      <c r="NYF10"/>
      <c r="NYG10"/>
      <c r="NYH10"/>
      <c r="NYI10"/>
      <c r="NYJ10"/>
      <c r="NYK10"/>
      <c r="NYL10"/>
      <c r="NYM10"/>
      <c r="NYN10"/>
      <c r="NYO10"/>
      <c r="NYP10"/>
      <c r="NYQ10"/>
      <c r="NYR10"/>
      <c r="NYS10"/>
      <c r="NYT10"/>
      <c r="NYU10"/>
      <c r="NYV10"/>
      <c r="NYW10"/>
      <c r="NYX10"/>
      <c r="NYY10"/>
      <c r="NYZ10"/>
      <c r="NZA10"/>
      <c r="NZB10"/>
      <c r="NZC10"/>
      <c r="NZD10"/>
      <c r="NZE10"/>
      <c r="NZF10"/>
      <c r="NZG10"/>
      <c r="NZH10"/>
      <c r="NZI10"/>
      <c r="NZJ10"/>
      <c r="NZK10"/>
      <c r="NZL10"/>
      <c r="NZM10"/>
      <c r="NZN10"/>
      <c r="NZO10"/>
      <c r="NZP10"/>
      <c r="NZQ10"/>
      <c r="NZR10"/>
      <c r="NZS10"/>
      <c r="NZT10"/>
      <c r="NZU10"/>
      <c r="NZV10"/>
      <c r="NZW10"/>
      <c r="NZX10"/>
      <c r="NZY10"/>
      <c r="NZZ10"/>
      <c r="OAA10"/>
      <c r="OAB10"/>
      <c r="OAC10"/>
      <c r="OAD10"/>
      <c r="OAE10"/>
      <c r="OAF10"/>
      <c r="OAG10"/>
      <c r="OAH10"/>
      <c r="OAI10"/>
      <c r="OAJ10"/>
      <c r="OAK10"/>
      <c r="OAL10"/>
      <c r="OAM10"/>
      <c r="OAN10"/>
      <c r="OAO10"/>
      <c r="OAP10"/>
      <c r="OAQ10"/>
      <c r="OAR10"/>
      <c r="OAS10"/>
      <c r="OAT10"/>
      <c r="OAU10"/>
      <c r="OAV10"/>
      <c r="OAW10"/>
      <c r="OAX10"/>
      <c r="OAY10"/>
      <c r="OAZ10"/>
      <c r="OBA10"/>
      <c r="OBB10"/>
      <c r="OBC10"/>
      <c r="OBD10"/>
      <c r="OBE10"/>
      <c r="OBF10"/>
      <c r="OBG10"/>
      <c r="OBH10"/>
      <c r="OBI10"/>
      <c r="OBJ10"/>
      <c r="OBK10"/>
      <c r="OBL10"/>
      <c r="OBM10"/>
      <c r="OBN10"/>
      <c r="OBO10"/>
      <c r="OBP10"/>
      <c r="OBQ10"/>
      <c r="OBR10"/>
      <c r="OBS10"/>
      <c r="OBT10"/>
      <c r="OBU10"/>
      <c r="OBV10"/>
      <c r="OBW10"/>
      <c r="OBX10"/>
      <c r="OBY10"/>
      <c r="OBZ10"/>
      <c r="OCA10"/>
      <c r="OCB10"/>
      <c r="OCC10"/>
      <c r="OCD10"/>
      <c r="OCE10"/>
      <c r="OCF10"/>
      <c r="OCG10"/>
      <c r="OCH10"/>
      <c r="OCI10"/>
      <c r="OCJ10"/>
      <c r="OCK10"/>
      <c r="OCL10"/>
      <c r="OCM10"/>
      <c r="OCN10"/>
      <c r="OCO10"/>
      <c r="OCP10"/>
      <c r="OCQ10"/>
      <c r="OCR10"/>
      <c r="OCS10"/>
      <c r="OCT10"/>
      <c r="OCU10"/>
      <c r="OCV10"/>
      <c r="OCW10"/>
      <c r="OCX10"/>
      <c r="OCY10"/>
      <c r="OCZ10"/>
      <c r="ODA10"/>
      <c r="ODB10"/>
      <c r="ODC10"/>
      <c r="ODD10"/>
      <c r="ODE10"/>
      <c r="ODF10"/>
      <c r="ODG10"/>
      <c r="ODH10"/>
      <c r="ODI10"/>
      <c r="ODJ10"/>
      <c r="ODK10"/>
      <c r="ODL10"/>
      <c r="ODM10"/>
      <c r="ODN10"/>
      <c r="ODO10"/>
      <c r="ODP10"/>
      <c r="ODQ10"/>
      <c r="ODR10"/>
      <c r="ODS10"/>
      <c r="ODT10"/>
      <c r="ODU10"/>
      <c r="ODV10"/>
      <c r="ODW10"/>
      <c r="ODX10"/>
      <c r="ODY10"/>
      <c r="ODZ10"/>
      <c r="OEA10"/>
      <c r="OEB10"/>
      <c r="OEC10"/>
      <c r="OED10"/>
      <c r="OEE10"/>
      <c r="OEF10"/>
      <c r="OEG10"/>
      <c r="OEH10"/>
      <c r="OEI10"/>
      <c r="OEJ10"/>
      <c r="OEK10"/>
      <c r="OEL10"/>
      <c r="OEM10"/>
      <c r="OEN10"/>
      <c r="OEO10"/>
      <c r="OEP10"/>
      <c r="OEQ10"/>
      <c r="OER10"/>
      <c r="OES10"/>
      <c r="OET10"/>
      <c r="OEU10"/>
      <c r="OEV10"/>
      <c r="OEW10"/>
      <c r="OEX10"/>
      <c r="OEY10"/>
      <c r="OEZ10"/>
      <c r="OFA10"/>
      <c r="OFB10"/>
      <c r="OFC10"/>
      <c r="OFD10"/>
      <c r="OFE10"/>
      <c r="OFF10"/>
      <c r="OFG10"/>
      <c r="OFH10"/>
      <c r="OFI10"/>
      <c r="OFJ10"/>
      <c r="OFK10"/>
      <c r="OFL10"/>
      <c r="OFM10"/>
      <c r="OFN10"/>
      <c r="OFO10"/>
      <c r="OFP10"/>
      <c r="OFQ10"/>
      <c r="OFR10"/>
      <c r="OFS10"/>
      <c r="OFT10"/>
      <c r="OFU10"/>
      <c r="OFV10"/>
      <c r="OFW10"/>
      <c r="OFX10"/>
      <c r="OFY10"/>
      <c r="OFZ10"/>
      <c r="OGA10"/>
      <c r="OGB10"/>
      <c r="OGC10"/>
      <c r="OGD10"/>
      <c r="OGE10"/>
      <c r="OGF10"/>
      <c r="OGG10"/>
      <c r="OGH10"/>
      <c r="OGI10"/>
      <c r="OGJ10"/>
      <c r="OGK10"/>
      <c r="OGL10"/>
      <c r="OGM10"/>
      <c r="OGN10"/>
      <c r="OGO10"/>
      <c r="OGP10"/>
      <c r="OGQ10"/>
      <c r="OGR10"/>
      <c r="OGS10"/>
      <c r="OGT10"/>
      <c r="OGU10"/>
      <c r="OGV10"/>
      <c r="OGW10"/>
      <c r="OGX10"/>
      <c r="OGY10"/>
      <c r="OGZ10"/>
      <c r="OHA10"/>
      <c r="OHB10"/>
      <c r="OHC10"/>
      <c r="OHD10"/>
      <c r="OHE10"/>
      <c r="OHF10"/>
      <c r="OHG10"/>
      <c r="OHH10"/>
      <c r="OHI10"/>
      <c r="OHJ10"/>
      <c r="OHK10"/>
      <c r="OHL10"/>
      <c r="OHM10"/>
      <c r="OHN10"/>
      <c r="OHO10"/>
      <c r="OHP10"/>
      <c r="OHQ10"/>
      <c r="OHR10"/>
      <c r="OHS10"/>
      <c r="OHT10"/>
      <c r="OHU10"/>
      <c r="OHV10"/>
      <c r="OHW10"/>
      <c r="OHX10"/>
      <c r="OHY10"/>
      <c r="OHZ10"/>
      <c r="OIA10"/>
      <c r="OIB10"/>
      <c r="OIC10"/>
      <c r="OID10"/>
      <c r="OIE10"/>
      <c r="OIF10"/>
      <c r="OIG10"/>
      <c r="OIH10"/>
      <c r="OII10"/>
      <c r="OIJ10"/>
      <c r="OIK10"/>
      <c r="OIL10"/>
      <c r="OIM10"/>
      <c r="OIN10"/>
      <c r="OIO10"/>
      <c r="OIP10"/>
      <c r="OIQ10"/>
      <c r="OIR10"/>
      <c r="OIS10"/>
      <c r="OIT10"/>
      <c r="OIU10"/>
      <c r="OIV10"/>
      <c r="OIW10"/>
      <c r="OIX10"/>
      <c r="OIY10"/>
      <c r="OIZ10"/>
      <c r="OJA10"/>
      <c r="OJB10"/>
      <c r="OJC10"/>
      <c r="OJD10"/>
      <c r="OJE10"/>
      <c r="OJF10"/>
      <c r="OJG10"/>
      <c r="OJH10"/>
      <c r="OJI10"/>
      <c r="OJJ10"/>
      <c r="OJK10"/>
      <c r="OJL10"/>
      <c r="OJM10"/>
      <c r="OJN10"/>
      <c r="OJO10"/>
      <c r="OJP10"/>
      <c r="OJQ10"/>
      <c r="OJR10"/>
      <c r="OJS10"/>
      <c r="OJT10"/>
      <c r="OJU10"/>
      <c r="OJV10"/>
      <c r="OJW10"/>
      <c r="OJX10"/>
      <c r="OJY10"/>
      <c r="OJZ10"/>
      <c r="OKA10"/>
      <c r="OKB10"/>
      <c r="OKC10"/>
      <c r="OKD10"/>
      <c r="OKE10"/>
      <c r="OKF10"/>
      <c r="OKG10"/>
      <c r="OKH10"/>
      <c r="OKI10"/>
      <c r="OKJ10"/>
      <c r="OKK10"/>
      <c r="OKL10"/>
      <c r="OKM10"/>
      <c r="OKN10"/>
      <c r="OKO10"/>
      <c r="OKP10"/>
      <c r="OKQ10"/>
      <c r="OKR10"/>
      <c r="OKS10"/>
      <c r="OKT10"/>
      <c r="OKU10"/>
      <c r="OKV10"/>
      <c r="OKW10"/>
      <c r="OKX10"/>
      <c r="OKY10"/>
      <c r="OKZ10"/>
      <c r="OLA10"/>
      <c r="OLB10"/>
      <c r="OLC10"/>
      <c r="OLD10"/>
      <c r="OLE10"/>
      <c r="OLF10"/>
      <c r="OLG10"/>
      <c r="OLH10"/>
      <c r="OLI10"/>
      <c r="OLJ10"/>
      <c r="OLK10"/>
      <c r="OLL10"/>
      <c r="OLM10"/>
      <c r="OLN10"/>
      <c r="OLO10"/>
      <c r="OLP10"/>
      <c r="OLQ10"/>
      <c r="OLR10"/>
      <c r="OLS10"/>
      <c r="OLT10"/>
      <c r="OLU10"/>
      <c r="OLV10"/>
      <c r="OLW10"/>
      <c r="OLX10"/>
      <c r="OLY10"/>
      <c r="OLZ10"/>
      <c r="OMA10"/>
      <c r="OMB10"/>
      <c r="OMC10"/>
      <c r="OMD10"/>
      <c r="OME10"/>
      <c r="OMF10"/>
      <c r="OMG10"/>
      <c r="OMH10"/>
      <c r="OMI10"/>
      <c r="OMJ10"/>
      <c r="OMK10"/>
      <c r="OML10"/>
      <c r="OMM10"/>
      <c r="OMN10"/>
      <c r="OMO10"/>
      <c r="OMP10"/>
      <c r="OMQ10"/>
      <c r="OMR10"/>
      <c r="OMS10"/>
      <c r="OMT10"/>
      <c r="OMU10"/>
      <c r="OMV10"/>
      <c r="OMW10"/>
      <c r="OMX10"/>
      <c r="OMY10"/>
      <c r="OMZ10"/>
      <c r="ONA10"/>
      <c r="ONB10"/>
      <c r="ONC10"/>
      <c r="OND10"/>
      <c r="ONE10"/>
      <c r="ONF10"/>
      <c r="ONG10"/>
      <c r="ONH10"/>
      <c r="ONI10"/>
      <c r="ONJ10"/>
      <c r="ONK10"/>
      <c r="ONL10"/>
      <c r="ONM10"/>
      <c r="ONN10"/>
      <c r="ONO10"/>
      <c r="ONP10"/>
      <c r="ONQ10"/>
      <c r="ONR10"/>
      <c r="ONS10"/>
      <c r="ONT10"/>
      <c r="ONU10"/>
      <c r="ONV10"/>
      <c r="ONW10"/>
      <c r="ONX10"/>
      <c r="ONY10"/>
      <c r="ONZ10"/>
      <c r="OOA10"/>
      <c r="OOB10"/>
      <c r="OOC10"/>
      <c r="OOD10"/>
      <c r="OOE10"/>
      <c r="OOF10"/>
      <c r="OOG10"/>
      <c r="OOH10"/>
      <c r="OOI10"/>
      <c r="OOJ10"/>
      <c r="OOK10"/>
      <c r="OOL10"/>
      <c r="OOM10"/>
      <c r="OON10"/>
      <c r="OOO10"/>
      <c r="OOP10"/>
      <c r="OOQ10"/>
      <c r="OOR10"/>
      <c r="OOS10"/>
      <c r="OOT10"/>
      <c r="OOU10"/>
      <c r="OOV10"/>
      <c r="OOW10"/>
      <c r="OOX10"/>
      <c r="OOY10"/>
      <c r="OOZ10"/>
      <c r="OPA10"/>
      <c r="OPB10"/>
      <c r="OPC10"/>
      <c r="OPD10"/>
      <c r="OPE10"/>
      <c r="OPF10"/>
      <c r="OPG10"/>
      <c r="OPH10"/>
      <c r="OPI10"/>
      <c r="OPJ10"/>
      <c r="OPK10"/>
      <c r="OPL10"/>
      <c r="OPM10"/>
      <c r="OPN10"/>
      <c r="OPO10"/>
      <c r="OPP10"/>
      <c r="OPQ10"/>
      <c r="OPR10"/>
      <c r="OPS10"/>
      <c r="OPT10"/>
      <c r="OPU10"/>
      <c r="OPV10"/>
      <c r="OPW10"/>
      <c r="OPX10"/>
      <c r="OPY10"/>
      <c r="OPZ10"/>
      <c r="OQA10"/>
      <c r="OQB10"/>
      <c r="OQC10"/>
      <c r="OQD10"/>
      <c r="OQE10"/>
      <c r="OQF10"/>
      <c r="OQG10"/>
      <c r="OQH10"/>
      <c r="OQI10"/>
      <c r="OQJ10"/>
      <c r="OQK10"/>
      <c r="OQL10"/>
      <c r="OQM10"/>
      <c r="OQN10"/>
      <c r="OQO10"/>
      <c r="OQP10"/>
      <c r="OQQ10"/>
      <c r="OQR10"/>
      <c r="OQS10"/>
      <c r="OQT10"/>
      <c r="OQU10"/>
      <c r="OQV10"/>
      <c r="OQW10"/>
      <c r="OQX10"/>
      <c r="OQY10"/>
      <c r="OQZ10"/>
      <c r="ORA10"/>
      <c r="ORB10"/>
      <c r="ORC10"/>
      <c r="ORD10"/>
      <c r="ORE10"/>
      <c r="ORF10"/>
      <c r="ORG10"/>
      <c r="ORH10"/>
      <c r="ORI10"/>
      <c r="ORJ10"/>
      <c r="ORK10"/>
      <c r="ORL10"/>
      <c r="ORM10"/>
      <c r="ORN10"/>
      <c r="ORO10"/>
      <c r="ORP10"/>
      <c r="ORQ10"/>
      <c r="ORR10"/>
      <c r="ORS10"/>
      <c r="ORT10"/>
      <c r="ORU10"/>
      <c r="ORV10"/>
      <c r="ORW10"/>
      <c r="ORX10"/>
      <c r="ORY10"/>
      <c r="ORZ10"/>
      <c r="OSA10"/>
      <c r="OSB10"/>
      <c r="OSC10"/>
      <c r="OSD10"/>
      <c r="OSE10"/>
      <c r="OSF10"/>
      <c r="OSG10"/>
      <c r="OSH10"/>
      <c r="OSI10"/>
      <c r="OSJ10"/>
      <c r="OSK10"/>
      <c r="OSL10"/>
      <c r="OSM10"/>
      <c r="OSN10"/>
      <c r="OSO10"/>
      <c r="OSP10"/>
      <c r="OSQ10"/>
      <c r="OSR10"/>
      <c r="OSS10"/>
      <c r="OST10"/>
      <c r="OSU10"/>
      <c r="OSV10"/>
      <c r="OSW10"/>
      <c r="OSX10"/>
      <c r="OSY10"/>
      <c r="OSZ10"/>
      <c r="OTA10"/>
      <c r="OTB10"/>
      <c r="OTC10"/>
      <c r="OTD10"/>
      <c r="OTE10"/>
      <c r="OTF10"/>
      <c r="OTG10"/>
      <c r="OTH10"/>
      <c r="OTI10"/>
      <c r="OTJ10"/>
      <c r="OTK10"/>
      <c r="OTL10"/>
      <c r="OTM10"/>
      <c r="OTN10"/>
      <c r="OTO10"/>
      <c r="OTP10"/>
      <c r="OTQ10"/>
      <c r="OTR10"/>
      <c r="OTS10"/>
      <c r="OTT10"/>
      <c r="OTU10"/>
      <c r="OTV10"/>
      <c r="OTW10"/>
      <c r="OTX10"/>
      <c r="OTY10"/>
      <c r="OTZ10"/>
      <c r="OUA10"/>
      <c r="OUB10"/>
      <c r="OUC10"/>
      <c r="OUD10"/>
      <c r="OUE10"/>
      <c r="OUF10"/>
      <c r="OUG10"/>
      <c r="OUH10"/>
      <c r="OUI10"/>
      <c r="OUJ10"/>
      <c r="OUK10"/>
      <c r="OUL10"/>
      <c r="OUM10"/>
      <c r="OUN10"/>
      <c r="OUO10"/>
      <c r="OUP10"/>
      <c r="OUQ10"/>
      <c r="OUR10"/>
      <c r="OUS10"/>
      <c r="OUT10"/>
      <c r="OUU10"/>
      <c r="OUV10"/>
      <c r="OUW10"/>
      <c r="OUX10"/>
      <c r="OUY10"/>
      <c r="OUZ10"/>
      <c r="OVA10"/>
      <c r="OVB10"/>
      <c r="OVC10"/>
      <c r="OVD10"/>
      <c r="OVE10"/>
      <c r="OVF10"/>
      <c r="OVG10"/>
      <c r="OVH10"/>
      <c r="OVI10"/>
      <c r="OVJ10"/>
      <c r="OVK10"/>
      <c r="OVL10"/>
      <c r="OVM10"/>
      <c r="OVN10"/>
      <c r="OVO10"/>
      <c r="OVP10"/>
      <c r="OVQ10"/>
      <c r="OVR10"/>
      <c r="OVS10"/>
      <c r="OVT10"/>
      <c r="OVU10"/>
      <c r="OVV10"/>
      <c r="OVW10"/>
      <c r="OVX10"/>
      <c r="OVY10"/>
      <c r="OVZ10"/>
      <c r="OWA10"/>
      <c r="OWB10"/>
      <c r="OWC10"/>
      <c r="OWD10"/>
      <c r="OWE10"/>
      <c r="OWF10"/>
      <c r="OWG10"/>
      <c r="OWH10"/>
      <c r="OWI10"/>
      <c r="OWJ10"/>
      <c r="OWK10"/>
      <c r="OWL10"/>
      <c r="OWM10"/>
      <c r="OWN10"/>
      <c r="OWO10"/>
      <c r="OWP10"/>
      <c r="OWQ10"/>
      <c r="OWR10"/>
      <c r="OWS10"/>
      <c r="OWT10"/>
      <c r="OWU10"/>
      <c r="OWV10"/>
      <c r="OWW10"/>
      <c r="OWX10"/>
      <c r="OWY10"/>
      <c r="OWZ10"/>
      <c r="OXA10"/>
      <c r="OXB10"/>
      <c r="OXC10"/>
      <c r="OXD10"/>
      <c r="OXE10"/>
      <c r="OXF10"/>
      <c r="OXG10"/>
      <c r="OXH10"/>
      <c r="OXI10"/>
      <c r="OXJ10"/>
      <c r="OXK10"/>
      <c r="OXL10"/>
      <c r="OXM10"/>
      <c r="OXN10"/>
      <c r="OXO10"/>
      <c r="OXP10"/>
      <c r="OXQ10"/>
      <c r="OXR10"/>
      <c r="OXS10"/>
      <c r="OXT10"/>
      <c r="OXU10"/>
      <c r="OXV10"/>
      <c r="OXW10"/>
      <c r="OXX10"/>
      <c r="OXY10"/>
      <c r="OXZ10"/>
      <c r="OYA10"/>
      <c r="OYB10"/>
      <c r="OYC10"/>
      <c r="OYD10"/>
      <c r="OYE10"/>
      <c r="OYF10"/>
      <c r="OYG10"/>
      <c r="OYH10"/>
      <c r="OYI10"/>
      <c r="OYJ10"/>
      <c r="OYK10"/>
      <c r="OYL10"/>
      <c r="OYM10"/>
      <c r="OYN10"/>
      <c r="OYO10"/>
      <c r="OYP10"/>
      <c r="OYQ10"/>
      <c r="OYR10"/>
      <c r="OYS10"/>
      <c r="OYT10"/>
      <c r="OYU10"/>
      <c r="OYV10"/>
      <c r="OYW10"/>
      <c r="OYX10"/>
      <c r="OYY10"/>
      <c r="OYZ10"/>
      <c r="OZA10"/>
      <c r="OZB10"/>
      <c r="OZC10"/>
      <c r="OZD10"/>
      <c r="OZE10"/>
      <c r="OZF10"/>
      <c r="OZG10"/>
      <c r="OZH10"/>
      <c r="OZI10"/>
      <c r="OZJ10"/>
      <c r="OZK10"/>
      <c r="OZL10"/>
      <c r="OZM10"/>
      <c r="OZN10"/>
      <c r="OZO10"/>
      <c r="OZP10"/>
      <c r="OZQ10"/>
      <c r="OZR10"/>
      <c r="OZS10"/>
      <c r="OZT10"/>
      <c r="OZU10"/>
      <c r="OZV10"/>
      <c r="OZW10"/>
      <c r="OZX10"/>
      <c r="OZY10"/>
      <c r="OZZ10"/>
      <c r="PAA10"/>
      <c r="PAB10"/>
      <c r="PAC10"/>
      <c r="PAD10"/>
      <c r="PAE10"/>
      <c r="PAF10"/>
      <c r="PAG10"/>
      <c r="PAH10"/>
      <c r="PAI10"/>
      <c r="PAJ10"/>
      <c r="PAK10"/>
      <c r="PAL10"/>
      <c r="PAM10"/>
      <c r="PAN10"/>
      <c r="PAO10"/>
      <c r="PAP10"/>
      <c r="PAQ10"/>
      <c r="PAR10"/>
      <c r="PAS10"/>
      <c r="PAT10"/>
      <c r="PAU10"/>
      <c r="PAV10"/>
      <c r="PAW10"/>
      <c r="PAX10"/>
      <c r="PAY10"/>
      <c r="PAZ10"/>
      <c r="PBA10"/>
      <c r="PBB10"/>
      <c r="PBC10"/>
      <c r="PBD10"/>
      <c r="PBE10"/>
      <c r="PBF10"/>
      <c r="PBG10"/>
      <c r="PBH10"/>
      <c r="PBI10"/>
      <c r="PBJ10"/>
      <c r="PBK10"/>
      <c r="PBL10"/>
      <c r="PBM10"/>
      <c r="PBN10"/>
      <c r="PBO10"/>
      <c r="PBP10"/>
      <c r="PBQ10"/>
      <c r="PBR10"/>
      <c r="PBS10"/>
      <c r="PBT10"/>
      <c r="PBU10"/>
      <c r="PBV10"/>
      <c r="PBW10"/>
      <c r="PBX10"/>
      <c r="PBY10"/>
      <c r="PBZ10"/>
      <c r="PCA10"/>
      <c r="PCB10"/>
      <c r="PCC10"/>
      <c r="PCD10"/>
      <c r="PCE10"/>
      <c r="PCF10"/>
      <c r="PCG10"/>
      <c r="PCH10"/>
      <c r="PCI10"/>
      <c r="PCJ10"/>
      <c r="PCK10"/>
      <c r="PCL10"/>
      <c r="PCM10"/>
      <c r="PCN10"/>
      <c r="PCO10"/>
      <c r="PCP10"/>
      <c r="PCQ10"/>
      <c r="PCR10"/>
      <c r="PCS10"/>
      <c r="PCT10"/>
      <c r="PCU10"/>
      <c r="PCV10"/>
      <c r="PCW10"/>
      <c r="PCX10"/>
      <c r="PCY10"/>
      <c r="PCZ10"/>
      <c r="PDA10"/>
      <c r="PDB10"/>
      <c r="PDC10"/>
      <c r="PDD10"/>
      <c r="PDE10"/>
      <c r="PDF10"/>
      <c r="PDG10"/>
      <c r="PDH10"/>
      <c r="PDI10"/>
      <c r="PDJ10"/>
      <c r="PDK10"/>
      <c r="PDL10"/>
      <c r="PDM10"/>
      <c r="PDN10"/>
      <c r="PDO10"/>
      <c r="PDP10"/>
      <c r="PDQ10"/>
      <c r="PDR10"/>
      <c r="PDS10"/>
      <c r="PDT10"/>
      <c r="PDU10"/>
      <c r="PDV10"/>
      <c r="PDW10"/>
      <c r="PDX10"/>
      <c r="PDY10"/>
      <c r="PDZ10"/>
      <c r="PEA10"/>
      <c r="PEB10"/>
      <c r="PEC10"/>
      <c r="PED10"/>
      <c r="PEE10"/>
      <c r="PEF10"/>
      <c r="PEG10"/>
      <c r="PEH10"/>
      <c r="PEI10"/>
      <c r="PEJ10"/>
      <c r="PEK10"/>
      <c r="PEL10"/>
      <c r="PEM10"/>
      <c r="PEN10"/>
      <c r="PEO10"/>
      <c r="PEP10"/>
      <c r="PEQ10"/>
      <c r="PER10"/>
      <c r="PES10"/>
      <c r="PET10"/>
      <c r="PEU10"/>
      <c r="PEV10"/>
      <c r="PEW10"/>
      <c r="PEX10"/>
      <c r="PEY10"/>
      <c r="PEZ10"/>
      <c r="PFA10"/>
      <c r="PFB10"/>
      <c r="PFC10"/>
      <c r="PFD10"/>
      <c r="PFE10"/>
      <c r="PFF10"/>
      <c r="PFG10"/>
      <c r="PFH10"/>
      <c r="PFI10"/>
      <c r="PFJ10"/>
      <c r="PFK10"/>
      <c r="PFL10"/>
      <c r="PFM10"/>
      <c r="PFN10"/>
      <c r="PFO10"/>
      <c r="PFP10"/>
      <c r="PFQ10"/>
      <c r="PFR10"/>
      <c r="PFS10"/>
      <c r="PFT10"/>
      <c r="PFU10"/>
      <c r="PFV10"/>
      <c r="PFW10"/>
      <c r="PFX10"/>
      <c r="PFY10"/>
      <c r="PFZ10"/>
      <c r="PGA10"/>
      <c r="PGB10"/>
      <c r="PGC10"/>
      <c r="PGD10"/>
      <c r="PGE10"/>
      <c r="PGF10"/>
      <c r="PGG10"/>
      <c r="PGH10"/>
      <c r="PGI10"/>
      <c r="PGJ10"/>
      <c r="PGK10"/>
      <c r="PGL10"/>
      <c r="PGM10"/>
      <c r="PGN10"/>
      <c r="PGO10"/>
      <c r="PGP10"/>
      <c r="PGQ10"/>
      <c r="PGR10"/>
      <c r="PGS10"/>
      <c r="PGT10"/>
      <c r="PGU10"/>
      <c r="PGV10"/>
      <c r="PGW10"/>
      <c r="PGX10"/>
      <c r="PGY10"/>
      <c r="PGZ10"/>
      <c r="PHA10"/>
      <c r="PHB10"/>
      <c r="PHC10"/>
      <c r="PHD10"/>
      <c r="PHE10"/>
      <c r="PHF10"/>
      <c r="PHG10"/>
      <c r="PHH10"/>
      <c r="PHI10"/>
      <c r="PHJ10"/>
      <c r="PHK10"/>
      <c r="PHL10"/>
      <c r="PHM10"/>
      <c r="PHN10"/>
      <c r="PHO10"/>
      <c r="PHP10"/>
      <c r="PHQ10"/>
      <c r="PHR10"/>
      <c r="PHS10"/>
      <c r="PHT10"/>
      <c r="PHU10"/>
      <c r="PHV10"/>
      <c r="PHW10"/>
      <c r="PHX10"/>
      <c r="PHY10"/>
      <c r="PHZ10"/>
      <c r="PIA10"/>
      <c r="PIB10"/>
      <c r="PIC10"/>
      <c r="PID10"/>
      <c r="PIE10"/>
      <c r="PIF10"/>
      <c r="PIG10"/>
      <c r="PIH10"/>
      <c r="PII10"/>
      <c r="PIJ10"/>
      <c r="PIK10"/>
      <c r="PIL10"/>
      <c r="PIM10"/>
      <c r="PIN10"/>
      <c r="PIO10"/>
      <c r="PIP10"/>
      <c r="PIQ10"/>
      <c r="PIR10"/>
      <c r="PIS10"/>
      <c r="PIT10"/>
      <c r="PIU10"/>
      <c r="PIV10"/>
      <c r="PIW10"/>
      <c r="PIX10"/>
      <c r="PIY10"/>
      <c r="PIZ10"/>
      <c r="PJA10"/>
      <c r="PJB10"/>
      <c r="PJC10"/>
      <c r="PJD10"/>
      <c r="PJE10"/>
      <c r="PJF10"/>
      <c r="PJG10"/>
      <c r="PJH10"/>
      <c r="PJI10"/>
      <c r="PJJ10"/>
      <c r="PJK10"/>
      <c r="PJL10"/>
      <c r="PJM10"/>
      <c r="PJN10"/>
      <c r="PJO10"/>
      <c r="PJP10"/>
      <c r="PJQ10"/>
      <c r="PJR10"/>
      <c r="PJS10"/>
      <c r="PJT10"/>
      <c r="PJU10"/>
      <c r="PJV10"/>
      <c r="PJW10"/>
      <c r="PJX10"/>
      <c r="PJY10"/>
      <c r="PJZ10"/>
      <c r="PKA10"/>
      <c r="PKB10"/>
      <c r="PKC10"/>
      <c r="PKD10"/>
      <c r="PKE10"/>
      <c r="PKF10"/>
      <c r="PKG10"/>
      <c r="PKH10"/>
      <c r="PKI10"/>
      <c r="PKJ10"/>
      <c r="PKK10"/>
      <c r="PKL10"/>
      <c r="PKM10"/>
      <c r="PKN10"/>
      <c r="PKO10"/>
      <c r="PKP10"/>
      <c r="PKQ10"/>
      <c r="PKR10"/>
      <c r="PKS10"/>
      <c r="PKT10"/>
      <c r="PKU10"/>
      <c r="PKV10"/>
      <c r="PKW10"/>
      <c r="PKX10"/>
      <c r="PKY10"/>
      <c r="PKZ10"/>
      <c r="PLA10"/>
      <c r="PLB10"/>
      <c r="PLC10"/>
      <c r="PLD10"/>
      <c r="PLE10"/>
      <c r="PLF10"/>
      <c r="PLG10"/>
      <c r="PLH10"/>
      <c r="PLI10"/>
      <c r="PLJ10"/>
      <c r="PLK10"/>
      <c r="PLL10"/>
      <c r="PLM10"/>
      <c r="PLN10"/>
      <c r="PLO10"/>
      <c r="PLP10"/>
      <c r="PLQ10"/>
      <c r="PLR10"/>
      <c r="PLS10"/>
      <c r="PLT10"/>
      <c r="PLU10"/>
      <c r="PLV10"/>
      <c r="PLW10"/>
      <c r="PLX10"/>
      <c r="PLY10"/>
      <c r="PLZ10"/>
      <c r="PMA10"/>
      <c r="PMB10"/>
      <c r="PMC10"/>
      <c r="PMD10"/>
      <c r="PME10"/>
      <c r="PMF10"/>
      <c r="PMG10"/>
      <c r="PMH10"/>
      <c r="PMI10"/>
      <c r="PMJ10"/>
      <c r="PMK10"/>
      <c r="PML10"/>
      <c r="PMM10"/>
      <c r="PMN10"/>
      <c r="PMO10"/>
      <c r="PMP10"/>
      <c r="PMQ10"/>
      <c r="PMR10"/>
      <c r="PMS10"/>
      <c r="PMT10"/>
      <c r="PMU10"/>
      <c r="PMV10"/>
      <c r="PMW10"/>
      <c r="PMX10"/>
      <c r="PMY10"/>
      <c r="PMZ10"/>
      <c r="PNA10"/>
      <c r="PNB10"/>
      <c r="PNC10"/>
      <c r="PND10"/>
      <c r="PNE10"/>
      <c r="PNF10"/>
      <c r="PNG10"/>
      <c r="PNH10"/>
      <c r="PNI10"/>
      <c r="PNJ10"/>
      <c r="PNK10"/>
      <c r="PNL10"/>
      <c r="PNM10"/>
      <c r="PNN10"/>
      <c r="PNO10"/>
      <c r="PNP10"/>
      <c r="PNQ10"/>
      <c r="PNR10"/>
      <c r="PNS10"/>
      <c r="PNT10"/>
      <c r="PNU10"/>
      <c r="PNV10"/>
      <c r="PNW10"/>
      <c r="PNX10"/>
      <c r="PNY10"/>
      <c r="PNZ10"/>
      <c r="POA10"/>
      <c r="POB10"/>
      <c r="POC10"/>
      <c r="POD10"/>
      <c r="POE10"/>
      <c r="POF10"/>
      <c r="POG10"/>
      <c r="POH10"/>
      <c r="POI10"/>
      <c r="POJ10"/>
      <c r="POK10"/>
      <c r="POL10"/>
      <c r="POM10"/>
      <c r="PON10"/>
      <c r="POO10"/>
      <c r="POP10"/>
      <c r="POQ10"/>
      <c r="POR10"/>
      <c r="POS10"/>
      <c r="POT10"/>
      <c r="POU10"/>
      <c r="POV10"/>
      <c r="POW10"/>
      <c r="POX10"/>
      <c r="POY10"/>
      <c r="POZ10"/>
      <c r="PPA10"/>
      <c r="PPB10"/>
      <c r="PPC10"/>
      <c r="PPD10"/>
      <c r="PPE10"/>
      <c r="PPF10"/>
      <c r="PPG10"/>
      <c r="PPH10"/>
      <c r="PPI10"/>
      <c r="PPJ10"/>
      <c r="PPK10"/>
      <c r="PPL10"/>
      <c r="PPM10"/>
      <c r="PPN10"/>
      <c r="PPO10"/>
      <c r="PPP10"/>
      <c r="PPQ10"/>
      <c r="PPR10"/>
      <c r="PPS10"/>
      <c r="PPT10"/>
      <c r="PPU10"/>
      <c r="PPV10"/>
      <c r="PPW10"/>
      <c r="PPX10"/>
      <c r="PPY10"/>
      <c r="PPZ10"/>
      <c r="PQA10"/>
      <c r="PQB10"/>
      <c r="PQC10"/>
      <c r="PQD10"/>
      <c r="PQE10"/>
      <c r="PQF10"/>
      <c r="PQG10"/>
      <c r="PQH10"/>
      <c r="PQI10"/>
      <c r="PQJ10"/>
      <c r="PQK10"/>
      <c r="PQL10"/>
      <c r="PQM10"/>
      <c r="PQN10"/>
      <c r="PQO10"/>
      <c r="PQP10"/>
      <c r="PQQ10"/>
      <c r="PQR10"/>
      <c r="PQS10"/>
      <c r="PQT10"/>
      <c r="PQU10"/>
      <c r="PQV10"/>
      <c r="PQW10"/>
      <c r="PQX10"/>
      <c r="PQY10"/>
      <c r="PQZ10"/>
      <c r="PRA10"/>
      <c r="PRB10"/>
      <c r="PRC10"/>
      <c r="PRD10"/>
      <c r="PRE10"/>
      <c r="PRF10"/>
      <c r="PRG10"/>
      <c r="PRH10"/>
      <c r="PRI10"/>
      <c r="PRJ10"/>
      <c r="PRK10"/>
      <c r="PRL10"/>
      <c r="PRM10"/>
      <c r="PRN10"/>
      <c r="PRO10"/>
      <c r="PRP10"/>
      <c r="PRQ10"/>
      <c r="PRR10"/>
      <c r="PRS10"/>
      <c r="PRT10"/>
      <c r="PRU10"/>
      <c r="PRV10"/>
      <c r="PRW10"/>
      <c r="PRX10"/>
      <c r="PRY10"/>
      <c r="PRZ10"/>
      <c r="PSA10"/>
      <c r="PSB10"/>
      <c r="PSC10"/>
      <c r="PSD10"/>
      <c r="PSE10"/>
      <c r="PSF10"/>
      <c r="PSG10"/>
      <c r="PSH10"/>
      <c r="PSI10"/>
      <c r="PSJ10"/>
      <c r="PSK10"/>
      <c r="PSL10"/>
      <c r="PSM10"/>
      <c r="PSN10"/>
      <c r="PSO10"/>
      <c r="PSP10"/>
      <c r="PSQ10"/>
      <c r="PSR10"/>
      <c r="PSS10"/>
      <c r="PST10"/>
      <c r="PSU10"/>
      <c r="PSV10"/>
      <c r="PSW10"/>
      <c r="PSX10"/>
      <c r="PSY10"/>
      <c r="PSZ10"/>
      <c r="PTA10"/>
      <c r="PTB10"/>
      <c r="PTC10"/>
      <c r="PTD10"/>
      <c r="PTE10"/>
      <c r="PTF10"/>
      <c r="PTG10"/>
      <c r="PTH10"/>
      <c r="PTI10"/>
      <c r="PTJ10"/>
      <c r="PTK10"/>
      <c r="PTL10"/>
      <c r="PTM10"/>
      <c r="PTN10"/>
      <c r="PTO10"/>
      <c r="PTP10"/>
      <c r="PTQ10"/>
      <c r="PTR10"/>
      <c r="PTS10"/>
      <c r="PTT10"/>
      <c r="PTU10"/>
      <c r="PTV10"/>
      <c r="PTW10"/>
      <c r="PTX10"/>
      <c r="PTY10"/>
      <c r="PTZ10"/>
      <c r="PUA10"/>
      <c r="PUB10"/>
      <c r="PUC10"/>
      <c r="PUD10"/>
      <c r="PUE10"/>
      <c r="PUF10"/>
      <c r="PUG10"/>
      <c r="PUH10"/>
      <c r="PUI10"/>
      <c r="PUJ10"/>
      <c r="PUK10"/>
      <c r="PUL10"/>
      <c r="PUM10"/>
      <c r="PUN10"/>
      <c r="PUO10"/>
      <c r="PUP10"/>
      <c r="PUQ10"/>
      <c r="PUR10"/>
      <c r="PUS10"/>
      <c r="PUT10"/>
      <c r="PUU10"/>
      <c r="PUV10"/>
      <c r="PUW10"/>
      <c r="PUX10"/>
      <c r="PUY10"/>
      <c r="PUZ10"/>
      <c r="PVA10"/>
      <c r="PVB10"/>
      <c r="PVC10"/>
      <c r="PVD10"/>
      <c r="PVE10"/>
      <c r="PVF10"/>
      <c r="PVG10"/>
      <c r="PVH10"/>
      <c r="PVI10"/>
      <c r="PVJ10"/>
      <c r="PVK10"/>
      <c r="PVL10"/>
      <c r="PVM10"/>
      <c r="PVN10"/>
      <c r="PVO10"/>
      <c r="PVP10"/>
      <c r="PVQ10"/>
      <c r="PVR10"/>
      <c r="PVS10"/>
      <c r="PVT10"/>
      <c r="PVU10"/>
      <c r="PVV10"/>
      <c r="PVW10"/>
      <c r="PVX10"/>
      <c r="PVY10"/>
      <c r="PVZ10"/>
      <c r="PWA10"/>
      <c r="PWB10"/>
      <c r="PWC10"/>
      <c r="PWD10"/>
      <c r="PWE10"/>
      <c r="PWF10"/>
      <c r="PWG10"/>
      <c r="PWH10"/>
      <c r="PWI10"/>
      <c r="PWJ10"/>
      <c r="PWK10"/>
      <c r="PWL10"/>
      <c r="PWM10"/>
      <c r="PWN10"/>
      <c r="PWO10"/>
      <c r="PWP10"/>
      <c r="PWQ10"/>
      <c r="PWR10"/>
      <c r="PWS10"/>
      <c r="PWT10"/>
      <c r="PWU10"/>
      <c r="PWV10"/>
      <c r="PWW10"/>
      <c r="PWX10"/>
      <c r="PWY10"/>
      <c r="PWZ10"/>
      <c r="PXA10"/>
      <c r="PXB10"/>
      <c r="PXC10"/>
      <c r="PXD10"/>
      <c r="PXE10"/>
      <c r="PXF10"/>
      <c r="PXG10"/>
      <c r="PXH10"/>
      <c r="PXI10"/>
      <c r="PXJ10"/>
      <c r="PXK10"/>
      <c r="PXL10"/>
      <c r="PXM10"/>
      <c r="PXN10"/>
      <c r="PXO10"/>
      <c r="PXP10"/>
      <c r="PXQ10"/>
      <c r="PXR10"/>
      <c r="PXS10"/>
      <c r="PXT10"/>
      <c r="PXU10"/>
      <c r="PXV10"/>
      <c r="PXW10"/>
      <c r="PXX10"/>
      <c r="PXY10"/>
      <c r="PXZ10"/>
      <c r="PYA10"/>
      <c r="PYB10"/>
      <c r="PYC10"/>
      <c r="PYD10"/>
      <c r="PYE10"/>
      <c r="PYF10"/>
      <c r="PYG10"/>
      <c r="PYH10"/>
      <c r="PYI10"/>
      <c r="PYJ10"/>
      <c r="PYK10"/>
      <c r="PYL10"/>
      <c r="PYM10"/>
      <c r="PYN10"/>
      <c r="PYO10"/>
      <c r="PYP10"/>
      <c r="PYQ10"/>
      <c r="PYR10"/>
      <c r="PYS10"/>
      <c r="PYT10"/>
      <c r="PYU10"/>
      <c r="PYV10"/>
      <c r="PYW10"/>
      <c r="PYX10"/>
      <c r="PYY10"/>
      <c r="PYZ10"/>
      <c r="PZA10"/>
      <c r="PZB10"/>
      <c r="PZC10"/>
      <c r="PZD10"/>
      <c r="PZE10"/>
      <c r="PZF10"/>
      <c r="PZG10"/>
      <c r="PZH10"/>
      <c r="PZI10"/>
      <c r="PZJ10"/>
      <c r="PZK10"/>
      <c r="PZL10"/>
      <c r="PZM10"/>
      <c r="PZN10"/>
      <c r="PZO10"/>
      <c r="PZP10"/>
      <c r="PZQ10"/>
      <c r="PZR10"/>
      <c r="PZS10"/>
      <c r="PZT10"/>
      <c r="PZU10"/>
      <c r="PZV10"/>
      <c r="PZW10"/>
      <c r="PZX10"/>
      <c r="PZY10"/>
      <c r="PZZ10"/>
      <c r="QAA10"/>
      <c r="QAB10"/>
      <c r="QAC10"/>
      <c r="QAD10"/>
      <c r="QAE10"/>
      <c r="QAF10"/>
      <c r="QAG10"/>
      <c r="QAH10"/>
      <c r="QAI10"/>
      <c r="QAJ10"/>
      <c r="QAK10"/>
      <c r="QAL10"/>
      <c r="QAM10"/>
      <c r="QAN10"/>
      <c r="QAO10"/>
      <c r="QAP10"/>
      <c r="QAQ10"/>
      <c r="QAR10"/>
      <c r="QAS10"/>
      <c r="QAT10"/>
      <c r="QAU10"/>
      <c r="QAV10"/>
      <c r="QAW10"/>
      <c r="QAX10"/>
      <c r="QAY10"/>
      <c r="QAZ10"/>
      <c r="QBA10"/>
      <c r="QBB10"/>
      <c r="QBC10"/>
      <c r="QBD10"/>
      <c r="QBE10"/>
      <c r="QBF10"/>
      <c r="QBG10"/>
      <c r="QBH10"/>
      <c r="QBI10"/>
      <c r="QBJ10"/>
      <c r="QBK10"/>
      <c r="QBL10"/>
      <c r="QBM10"/>
      <c r="QBN10"/>
      <c r="QBO10"/>
      <c r="QBP10"/>
      <c r="QBQ10"/>
      <c r="QBR10"/>
      <c r="QBS10"/>
      <c r="QBT10"/>
      <c r="QBU10"/>
      <c r="QBV10"/>
      <c r="QBW10"/>
      <c r="QBX10"/>
      <c r="QBY10"/>
      <c r="QBZ10"/>
      <c r="QCA10"/>
      <c r="QCB10"/>
      <c r="QCC10"/>
      <c r="QCD10"/>
      <c r="QCE10"/>
      <c r="QCF10"/>
      <c r="QCG10"/>
      <c r="QCH10"/>
      <c r="QCI10"/>
      <c r="QCJ10"/>
      <c r="QCK10"/>
      <c r="QCL10"/>
      <c r="QCM10"/>
      <c r="QCN10"/>
      <c r="QCO10"/>
      <c r="QCP10"/>
      <c r="QCQ10"/>
      <c r="QCR10"/>
      <c r="QCS10"/>
      <c r="QCT10"/>
      <c r="QCU10"/>
      <c r="QCV10"/>
      <c r="QCW10"/>
      <c r="QCX10"/>
      <c r="QCY10"/>
      <c r="QCZ10"/>
      <c r="QDA10"/>
      <c r="QDB10"/>
      <c r="QDC10"/>
      <c r="QDD10"/>
      <c r="QDE10"/>
      <c r="QDF10"/>
      <c r="QDG10"/>
      <c r="QDH10"/>
      <c r="QDI10"/>
      <c r="QDJ10"/>
      <c r="QDK10"/>
      <c r="QDL10"/>
      <c r="QDM10"/>
      <c r="QDN10"/>
      <c r="QDO10"/>
      <c r="QDP10"/>
      <c r="QDQ10"/>
      <c r="QDR10"/>
      <c r="QDS10"/>
      <c r="QDT10"/>
      <c r="QDU10"/>
      <c r="QDV10"/>
      <c r="QDW10"/>
      <c r="QDX10"/>
      <c r="QDY10"/>
      <c r="QDZ10"/>
      <c r="QEA10"/>
      <c r="QEB10"/>
      <c r="QEC10"/>
      <c r="QED10"/>
      <c r="QEE10"/>
      <c r="QEF10"/>
      <c r="QEG10"/>
      <c r="QEH10"/>
      <c r="QEI10"/>
      <c r="QEJ10"/>
      <c r="QEK10"/>
      <c r="QEL10"/>
      <c r="QEM10"/>
      <c r="QEN10"/>
      <c r="QEO10"/>
      <c r="QEP10"/>
      <c r="QEQ10"/>
      <c r="QER10"/>
      <c r="QES10"/>
      <c r="QET10"/>
      <c r="QEU10"/>
      <c r="QEV10"/>
      <c r="QEW10"/>
      <c r="QEX10"/>
      <c r="QEY10"/>
      <c r="QEZ10"/>
      <c r="QFA10"/>
      <c r="QFB10"/>
      <c r="QFC10"/>
      <c r="QFD10"/>
      <c r="QFE10"/>
      <c r="QFF10"/>
      <c r="QFG10"/>
      <c r="QFH10"/>
      <c r="QFI10"/>
      <c r="QFJ10"/>
      <c r="QFK10"/>
      <c r="QFL10"/>
      <c r="QFM10"/>
      <c r="QFN10"/>
      <c r="QFO10"/>
      <c r="QFP10"/>
      <c r="QFQ10"/>
      <c r="QFR10"/>
      <c r="QFS10"/>
      <c r="QFT10"/>
      <c r="QFU10"/>
      <c r="QFV10"/>
      <c r="QFW10"/>
      <c r="QFX10"/>
      <c r="QFY10"/>
      <c r="QFZ10"/>
      <c r="QGA10"/>
      <c r="QGB10"/>
      <c r="QGC10"/>
      <c r="QGD10"/>
      <c r="QGE10"/>
      <c r="QGF10"/>
      <c r="QGG10"/>
      <c r="QGH10"/>
      <c r="QGI10"/>
      <c r="QGJ10"/>
      <c r="QGK10"/>
      <c r="QGL10"/>
      <c r="QGM10"/>
      <c r="QGN10"/>
      <c r="QGO10"/>
      <c r="QGP10"/>
      <c r="QGQ10"/>
      <c r="QGR10"/>
      <c r="QGS10"/>
      <c r="QGT10"/>
      <c r="QGU10"/>
      <c r="QGV10"/>
      <c r="QGW10"/>
      <c r="QGX10"/>
      <c r="QGY10"/>
      <c r="QGZ10"/>
      <c r="QHA10"/>
      <c r="QHB10"/>
      <c r="QHC10"/>
      <c r="QHD10"/>
      <c r="QHE10"/>
      <c r="QHF10"/>
      <c r="QHG10"/>
      <c r="QHH10"/>
      <c r="QHI10"/>
      <c r="QHJ10"/>
      <c r="QHK10"/>
      <c r="QHL10"/>
      <c r="QHM10"/>
      <c r="QHN10"/>
      <c r="QHO10"/>
      <c r="QHP10"/>
      <c r="QHQ10"/>
      <c r="QHR10"/>
      <c r="QHS10"/>
      <c r="QHT10"/>
      <c r="QHU10"/>
      <c r="QHV10"/>
      <c r="QHW10"/>
      <c r="QHX10"/>
      <c r="QHY10"/>
      <c r="QHZ10"/>
      <c r="QIA10"/>
      <c r="QIB10"/>
      <c r="QIC10"/>
      <c r="QID10"/>
      <c r="QIE10"/>
      <c r="QIF10"/>
      <c r="QIG10"/>
      <c r="QIH10"/>
      <c r="QII10"/>
      <c r="QIJ10"/>
      <c r="QIK10"/>
      <c r="QIL10"/>
      <c r="QIM10"/>
      <c r="QIN10"/>
      <c r="QIO10"/>
      <c r="QIP10"/>
      <c r="QIQ10"/>
      <c r="QIR10"/>
      <c r="QIS10"/>
      <c r="QIT10"/>
      <c r="QIU10"/>
      <c r="QIV10"/>
      <c r="QIW10"/>
      <c r="QIX10"/>
      <c r="QIY10"/>
      <c r="QIZ10"/>
      <c r="QJA10"/>
      <c r="QJB10"/>
      <c r="QJC10"/>
      <c r="QJD10"/>
      <c r="QJE10"/>
      <c r="QJF10"/>
      <c r="QJG10"/>
      <c r="QJH10"/>
      <c r="QJI10"/>
      <c r="QJJ10"/>
      <c r="QJK10"/>
      <c r="QJL10"/>
      <c r="QJM10"/>
      <c r="QJN10"/>
      <c r="QJO10"/>
      <c r="QJP10"/>
      <c r="QJQ10"/>
      <c r="QJR10"/>
      <c r="QJS10"/>
      <c r="QJT10"/>
      <c r="QJU10"/>
      <c r="QJV10"/>
      <c r="QJW10"/>
      <c r="QJX10"/>
      <c r="QJY10"/>
      <c r="QJZ10"/>
      <c r="QKA10"/>
      <c r="QKB10"/>
      <c r="QKC10"/>
      <c r="QKD10"/>
      <c r="QKE10"/>
      <c r="QKF10"/>
      <c r="QKG10"/>
      <c r="QKH10"/>
      <c r="QKI10"/>
      <c r="QKJ10"/>
      <c r="QKK10"/>
      <c r="QKL10"/>
      <c r="QKM10"/>
      <c r="QKN10"/>
      <c r="QKO10"/>
      <c r="QKP10"/>
      <c r="QKQ10"/>
      <c r="QKR10"/>
      <c r="QKS10"/>
      <c r="QKT10"/>
      <c r="QKU10"/>
      <c r="QKV10"/>
      <c r="QKW10"/>
      <c r="QKX10"/>
      <c r="QKY10"/>
      <c r="QKZ10"/>
      <c r="QLA10"/>
      <c r="QLB10"/>
      <c r="QLC10"/>
      <c r="QLD10"/>
      <c r="QLE10"/>
      <c r="QLF10"/>
      <c r="QLG10"/>
      <c r="QLH10"/>
      <c r="QLI10"/>
      <c r="QLJ10"/>
      <c r="QLK10"/>
      <c r="QLL10"/>
      <c r="QLM10"/>
      <c r="QLN10"/>
      <c r="QLO10"/>
      <c r="QLP10"/>
      <c r="QLQ10"/>
      <c r="QLR10"/>
      <c r="QLS10"/>
      <c r="QLT10"/>
      <c r="QLU10"/>
      <c r="QLV10"/>
      <c r="QLW10"/>
      <c r="QLX10"/>
      <c r="QLY10"/>
      <c r="QLZ10"/>
      <c r="QMA10"/>
      <c r="QMB10"/>
      <c r="QMC10"/>
      <c r="QMD10"/>
      <c r="QME10"/>
      <c r="QMF10"/>
      <c r="QMG10"/>
      <c r="QMH10"/>
      <c r="QMI10"/>
      <c r="QMJ10"/>
      <c r="QMK10"/>
      <c r="QML10"/>
      <c r="QMM10"/>
      <c r="QMN10"/>
      <c r="QMO10"/>
      <c r="QMP10"/>
      <c r="QMQ10"/>
      <c r="QMR10"/>
      <c r="QMS10"/>
      <c r="QMT10"/>
      <c r="QMU10"/>
      <c r="QMV10"/>
      <c r="QMW10"/>
      <c r="QMX10"/>
      <c r="QMY10"/>
      <c r="QMZ10"/>
      <c r="QNA10"/>
      <c r="QNB10"/>
      <c r="QNC10"/>
      <c r="QND10"/>
      <c r="QNE10"/>
      <c r="QNF10"/>
      <c r="QNG10"/>
      <c r="QNH10"/>
      <c r="QNI10"/>
      <c r="QNJ10"/>
      <c r="QNK10"/>
      <c r="QNL10"/>
      <c r="QNM10"/>
      <c r="QNN10"/>
      <c r="QNO10"/>
      <c r="QNP10"/>
      <c r="QNQ10"/>
      <c r="QNR10"/>
      <c r="QNS10"/>
      <c r="QNT10"/>
      <c r="QNU10"/>
      <c r="QNV10"/>
      <c r="QNW10"/>
      <c r="QNX10"/>
      <c r="QNY10"/>
      <c r="QNZ10"/>
      <c r="QOA10"/>
      <c r="QOB10"/>
      <c r="QOC10"/>
      <c r="QOD10"/>
      <c r="QOE10"/>
      <c r="QOF10"/>
      <c r="QOG10"/>
      <c r="QOH10"/>
      <c r="QOI10"/>
      <c r="QOJ10"/>
      <c r="QOK10"/>
      <c r="QOL10"/>
      <c r="QOM10"/>
      <c r="QON10"/>
      <c r="QOO10"/>
      <c r="QOP10"/>
      <c r="QOQ10"/>
      <c r="QOR10"/>
      <c r="QOS10"/>
      <c r="QOT10"/>
      <c r="QOU10"/>
      <c r="QOV10"/>
      <c r="QOW10"/>
      <c r="QOX10"/>
      <c r="QOY10"/>
      <c r="QOZ10"/>
      <c r="QPA10"/>
      <c r="QPB10"/>
      <c r="QPC10"/>
      <c r="QPD10"/>
      <c r="QPE10"/>
      <c r="QPF10"/>
      <c r="QPG10"/>
      <c r="QPH10"/>
      <c r="QPI10"/>
      <c r="QPJ10"/>
      <c r="QPK10"/>
      <c r="QPL10"/>
      <c r="QPM10"/>
      <c r="QPN10"/>
      <c r="QPO10"/>
      <c r="QPP10"/>
      <c r="QPQ10"/>
      <c r="QPR10"/>
      <c r="QPS10"/>
      <c r="QPT10"/>
      <c r="QPU10"/>
      <c r="QPV10"/>
      <c r="QPW10"/>
      <c r="QPX10"/>
      <c r="QPY10"/>
      <c r="QPZ10"/>
      <c r="QQA10"/>
      <c r="QQB10"/>
      <c r="QQC10"/>
      <c r="QQD10"/>
      <c r="QQE10"/>
      <c r="QQF10"/>
      <c r="QQG10"/>
      <c r="QQH10"/>
      <c r="QQI10"/>
      <c r="QQJ10"/>
      <c r="QQK10"/>
      <c r="QQL10"/>
      <c r="QQM10"/>
      <c r="QQN10"/>
      <c r="QQO10"/>
      <c r="QQP10"/>
      <c r="QQQ10"/>
      <c r="QQR10"/>
      <c r="QQS10"/>
      <c r="QQT10"/>
      <c r="QQU10"/>
      <c r="QQV10"/>
      <c r="QQW10"/>
      <c r="QQX10"/>
      <c r="QQY10"/>
      <c r="QQZ10"/>
      <c r="QRA10"/>
      <c r="QRB10"/>
      <c r="QRC10"/>
      <c r="QRD10"/>
      <c r="QRE10"/>
      <c r="QRF10"/>
      <c r="QRG10"/>
      <c r="QRH10"/>
      <c r="QRI10"/>
      <c r="QRJ10"/>
      <c r="QRK10"/>
      <c r="QRL10"/>
      <c r="QRM10"/>
      <c r="QRN10"/>
      <c r="QRO10"/>
      <c r="QRP10"/>
      <c r="QRQ10"/>
      <c r="QRR10"/>
      <c r="QRS10"/>
      <c r="QRT10"/>
      <c r="QRU10"/>
      <c r="QRV10"/>
      <c r="QRW10"/>
      <c r="QRX10"/>
      <c r="QRY10"/>
      <c r="QRZ10"/>
      <c r="QSA10"/>
      <c r="QSB10"/>
      <c r="QSC10"/>
      <c r="QSD10"/>
      <c r="QSE10"/>
      <c r="QSF10"/>
      <c r="QSG10"/>
      <c r="QSH10"/>
      <c r="QSI10"/>
      <c r="QSJ10"/>
      <c r="QSK10"/>
      <c r="QSL10"/>
      <c r="QSM10"/>
      <c r="QSN10"/>
      <c r="QSO10"/>
      <c r="QSP10"/>
      <c r="QSQ10"/>
      <c r="QSR10"/>
      <c r="QSS10"/>
      <c r="QST10"/>
      <c r="QSU10"/>
      <c r="QSV10"/>
      <c r="QSW10"/>
      <c r="QSX10"/>
      <c r="QSY10"/>
      <c r="QSZ10"/>
      <c r="QTA10"/>
      <c r="QTB10"/>
      <c r="QTC10"/>
      <c r="QTD10"/>
      <c r="QTE10"/>
      <c r="QTF10"/>
      <c r="QTG10"/>
      <c r="QTH10"/>
      <c r="QTI10"/>
      <c r="QTJ10"/>
      <c r="QTK10"/>
      <c r="QTL10"/>
      <c r="QTM10"/>
      <c r="QTN10"/>
      <c r="QTO10"/>
      <c r="QTP10"/>
      <c r="QTQ10"/>
      <c r="QTR10"/>
      <c r="QTS10"/>
      <c r="QTT10"/>
      <c r="QTU10"/>
      <c r="QTV10"/>
      <c r="QTW10"/>
      <c r="QTX10"/>
      <c r="QTY10"/>
      <c r="QTZ10"/>
      <c r="QUA10"/>
      <c r="QUB10"/>
      <c r="QUC10"/>
      <c r="QUD10"/>
      <c r="QUE10"/>
      <c r="QUF10"/>
      <c r="QUG10"/>
      <c r="QUH10"/>
      <c r="QUI10"/>
      <c r="QUJ10"/>
      <c r="QUK10"/>
      <c r="QUL10"/>
      <c r="QUM10"/>
      <c r="QUN10"/>
      <c r="QUO10"/>
      <c r="QUP10"/>
      <c r="QUQ10"/>
      <c r="QUR10"/>
      <c r="QUS10"/>
      <c r="QUT10"/>
      <c r="QUU10"/>
      <c r="QUV10"/>
      <c r="QUW10"/>
      <c r="QUX10"/>
      <c r="QUY10"/>
      <c r="QUZ10"/>
      <c r="QVA10"/>
      <c r="QVB10"/>
      <c r="QVC10"/>
      <c r="QVD10"/>
      <c r="QVE10"/>
      <c r="QVF10"/>
      <c r="QVG10"/>
      <c r="QVH10"/>
      <c r="QVI10"/>
      <c r="QVJ10"/>
      <c r="QVK10"/>
      <c r="QVL10"/>
      <c r="QVM10"/>
      <c r="QVN10"/>
      <c r="QVO10"/>
      <c r="QVP10"/>
      <c r="QVQ10"/>
      <c r="QVR10"/>
      <c r="QVS10"/>
      <c r="QVT10"/>
      <c r="QVU10"/>
      <c r="QVV10"/>
      <c r="QVW10"/>
      <c r="QVX10"/>
      <c r="QVY10"/>
      <c r="QVZ10"/>
      <c r="QWA10"/>
      <c r="QWB10"/>
      <c r="QWC10"/>
      <c r="QWD10"/>
      <c r="QWE10"/>
      <c r="QWF10"/>
      <c r="QWG10"/>
      <c r="QWH10"/>
      <c r="QWI10"/>
      <c r="QWJ10"/>
      <c r="QWK10"/>
      <c r="QWL10"/>
      <c r="QWM10"/>
      <c r="QWN10"/>
      <c r="QWO10"/>
      <c r="QWP10"/>
      <c r="QWQ10"/>
      <c r="QWR10"/>
      <c r="QWS10"/>
      <c r="QWT10"/>
      <c r="QWU10"/>
      <c r="QWV10"/>
      <c r="QWW10"/>
      <c r="QWX10"/>
      <c r="QWY10"/>
      <c r="QWZ10"/>
      <c r="QXA10"/>
      <c r="QXB10"/>
      <c r="QXC10"/>
      <c r="QXD10"/>
      <c r="QXE10"/>
      <c r="QXF10"/>
      <c r="QXG10"/>
      <c r="QXH10"/>
      <c r="QXI10"/>
      <c r="QXJ10"/>
      <c r="QXK10"/>
      <c r="QXL10"/>
      <c r="QXM10"/>
      <c r="QXN10"/>
      <c r="QXO10"/>
      <c r="QXP10"/>
      <c r="QXQ10"/>
      <c r="QXR10"/>
      <c r="QXS10"/>
      <c r="QXT10"/>
      <c r="QXU10"/>
      <c r="QXV10"/>
      <c r="QXW10"/>
      <c r="QXX10"/>
      <c r="QXY10"/>
      <c r="QXZ10"/>
      <c r="QYA10"/>
      <c r="QYB10"/>
      <c r="QYC10"/>
      <c r="QYD10"/>
      <c r="QYE10"/>
      <c r="QYF10"/>
      <c r="QYG10"/>
      <c r="QYH10"/>
      <c r="QYI10"/>
      <c r="QYJ10"/>
      <c r="QYK10"/>
      <c r="QYL10"/>
      <c r="QYM10"/>
      <c r="QYN10"/>
      <c r="QYO10"/>
      <c r="QYP10"/>
      <c r="QYQ10"/>
      <c r="QYR10"/>
      <c r="QYS10"/>
      <c r="QYT10"/>
      <c r="QYU10"/>
      <c r="QYV10"/>
      <c r="QYW10"/>
      <c r="QYX10"/>
      <c r="QYY10"/>
      <c r="QYZ10"/>
      <c r="QZA10"/>
      <c r="QZB10"/>
      <c r="QZC10"/>
      <c r="QZD10"/>
      <c r="QZE10"/>
      <c r="QZF10"/>
      <c r="QZG10"/>
      <c r="QZH10"/>
      <c r="QZI10"/>
      <c r="QZJ10"/>
      <c r="QZK10"/>
      <c r="QZL10"/>
      <c r="QZM10"/>
      <c r="QZN10"/>
      <c r="QZO10"/>
      <c r="QZP10"/>
      <c r="QZQ10"/>
      <c r="QZR10"/>
      <c r="QZS10"/>
      <c r="QZT10"/>
      <c r="QZU10"/>
      <c r="QZV10"/>
      <c r="QZW10"/>
      <c r="QZX10"/>
      <c r="QZY10"/>
      <c r="QZZ10"/>
      <c r="RAA10"/>
      <c r="RAB10"/>
      <c r="RAC10"/>
      <c r="RAD10"/>
      <c r="RAE10"/>
      <c r="RAF10"/>
      <c r="RAG10"/>
      <c r="RAH10"/>
      <c r="RAI10"/>
      <c r="RAJ10"/>
      <c r="RAK10"/>
      <c r="RAL10"/>
      <c r="RAM10"/>
      <c r="RAN10"/>
      <c r="RAO10"/>
      <c r="RAP10"/>
      <c r="RAQ10"/>
      <c r="RAR10"/>
      <c r="RAS10"/>
      <c r="RAT10"/>
      <c r="RAU10"/>
      <c r="RAV10"/>
      <c r="RAW10"/>
      <c r="RAX10"/>
      <c r="RAY10"/>
      <c r="RAZ10"/>
      <c r="RBA10"/>
      <c r="RBB10"/>
      <c r="RBC10"/>
      <c r="RBD10"/>
      <c r="RBE10"/>
      <c r="RBF10"/>
      <c r="RBG10"/>
      <c r="RBH10"/>
      <c r="RBI10"/>
      <c r="RBJ10"/>
      <c r="RBK10"/>
      <c r="RBL10"/>
      <c r="RBM10"/>
      <c r="RBN10"/>
      <c r="RBO10"/>
      <c r="RBP10"/>
      <c r="RBQ10"/>
      <c r="RBR10"/>
      <c r="RBS10"/>
      <c r="RBT10"/>
      <c r="RBU10"/>
      <c r="RBV10"/>
      <c r="RBW10"/>
      <c r="RBX10"/>
      <c r="RBY10"/>
      <c r="RBZ10"/>
      <c r="RCA10"/>
      <c r="RCB10"/>
      <c r="RCC10"/>
      <c r="RCD10"/>
      <c r="RCE10"/>
      <c r="RCF10"/>
      <c r="RCG10"/>
      <c r="RCH10"/>
      <c r="RCI10"/>
      <c r="RCJ10"/>
      <c r="RCK10"/>
      <c r="RCL10"/>
      <c r="RCM10"/>
      <c r="RCN10"/>
      <c r="RCO10"/>
      <c r="RCP10"/>
      <c r="RCQ10"/>
      <c r="RCR10"/>
      <c r="RCS10"/>
      <c r="RCT10"/>
      <c r="RCU10"/>
      <c r="RCV10"/>
      <c r="RCW10"/>
      <c r="RCX10"/>
      <c r="RCY10"/>
      <c r="RCZ10"/>
      <c r="RDA10"/>
      <c r="RDB10"/>
      <c r="RDC10"/>
      <c r="RDD10"/>
      <c r="RDE10"/>
      <c r="RDF10"/>
      <c r="RDG10"/>
      <c r="RDH10"/>
      <c r="RDI10"/>
      <c r="RDJ10"/>
      <c r="RDK10"/>
      <c r="RDL10"/>
      <c r="RDM10"/>
      <c r="RDN10"/>
      <c r="RDO10"/>
      <c r="RDP10"/>
      <c r="RDQ10"/>
      <c r="RDR10"/>
      <c r="RDS10"/>
      <c r="RDT10"/>
      <c r="RDU10"/>
      <c r="RDV10"/>
      <c r="RDW10"/>
      <c r="RDX10"/>
      <c r="RDY10"/>
      <c r="RDZ10"/>
      <c r="REA10"/>
      <c r="REB10"/>
      <c r="REC10"/>
      <c r="RED10"/>
      <c r="REE10"/>
      <c r="REF10"/>
      <c r="REG10"/>
      <c r="REH10"/>
      <c r="REI10"/>
      <c r="REJ10"/>
      <c r="REK10"/>
      <c r="REL10"/>
      <c r="REM10"/>
      <c r="REN10"/>
      <c r="REO10"/>
      <c r="REP10"/>
      <c r="REQ10"/>
      <c r="RER10"/>
      <c r="RES10"/>
      <c r="RET10"/>
      <c r="REU10"/>
      <c r="REV10"/>
      <c r="REW10"/>
      <c r="REX10"/>
      <c r="REY10"/>
      <c r="REZ10"/>
      <c r="RFA10"/>
      <c r="RFB10"/>
      <c r="RFC10"/>
      <c r="RFD10"/>
      <c r="RFE10"/>
      <c r="RFF10"/>
      <c r="RFG10"/>
      <c r="RFH10"/>
      <c r="RFI10"/>
      <c r="RFJ10"/>
      <c r="RFK10"/>
      <c r="RFL10"/>
      <c r="RFM10"/>
      <c r="RFN10"/>
      <c r="RFO10"/>
      <c r="RFP10"/>
      <c r="RFQ10"/>
      <c r="RFR10"/>
      <c r="RFS10"/>
      <c r="RFT10"/>
      <c r="RFU10"/>
      <c r="RFV10"/>
      <c r="RFW10"/>
      <c r="RFX10"/>
      <c r="RFY10"/>
      <c r="RFZ10"/>
      <c r="RGA10"/>
      <c r="RGB10"/>
      <c r="RGC10"/>
      <c r="RGD10"/>
      <c r="RGE10"/>
      <c r="RGF10"/>
      <c r="RGG10"/>
      <c r="RGH10"/>
      <c r="RGI10"/>
      <c r="RGJ10"/>
      <c r="RGK10"/>
      <c r="RGL10"/>
      <c r="RGM10"/>
      <c r="RGN10"/>
      <c r="RGO10"/>
      <c r="RGP10"/>
      <c r="RGQ10"/>
      <c r="RGR10"/>
      <c r="RGS10"/>
      <c r="RGT10"/>
      <c r="RGU10"/>
      <c r="RGV10"/>
      <c r="RGW10"/>
      <c r="RGX10"/>
      <c r="RGY10"/>
      <c r="RGZ10"/>
      <c r="RHA10"/>
      <c r="RHB10"/>
      <c r="RHC10"/>
      <c r="RHD10"/>
      <c r="RHE10"/>
      <c r="RHF10"/>
      <c r="RHG10"/>
      <c r="RHH10"/>
      <c r="RHI10"/>
      <c r="RHJ10"/>
      <c r="RHK10"/>
      <c r="RHL10"/>
      <c r="RHM10"/>
      <c r="RHN10"/>
      <c r="RHO10"/>
      <c r="RHP10"/>
      <c r="RHQ10"/>
      <c r="RHR10"/>
      <c r="RHS10"/>
      <c r="RHT10"/>
      <c r="RHU10"/>
      <c r="RHV10"/>
      <c r="RHW10"/>
      <c r="RHX10"/>
      <c r="RHY10"/>
      <c r="RHZ10"/>
      <c r="RIA10"/>
      <c r="RIB10"/>
      <c r="RIC10"/>
      <c r="RID10"/>
      <c r="RIE10"/>
      <c r="RIF10"/>
      <c r="RIG10"/>
      <c r="RIH10"/>
      <c r="RII10"/>
      <c r="RIJ10"/>
      <c r="RIK10"/>
      <c r="RIL10"/>
      <c r="RIM10"/>
      <c r="RIN10"/>
      <c r="RIO10"/>
      <c r="RIP10"/>
      <c r="RIQ10"/>
      <c r="RIR10"/>
      <c r="RIS10"/>
      <c r="RIT10"/>
      <c r="RIU10"/>
      <c r="RIV10"/>
      <c r="RIW10"/>
      <c r="RIX10"/>
      <c r="RIY10"/>
      <c r="RIZ10"/>
      <c r="RJA10"/>
      <c r="RJB10"/>
      <c r="RJC10"/>
      <c r="RJD10"/>
      <c r="RJE10"/>
      <c r="RJF10"/>
      <c r="RJG10"/>
      <c r="RJH10"/>
      <c r="RJI10"/>
      <c r="RJJ10"/>
      <c r="RJK10"/>
      <c r="RJL10"/>
      <c r="RJM10"/>
      <c r="RJN10"/>
      <c r="RJO10"/>
      <c r="RJP10"/>
      <c r="RJQ10"/>
      <c r="RJR10"/>
      <c r="RJS10"/>
      <c r="RJT10"/>
      <c r="RJU10"/>
      <c r="RJV10"/>
      <c r="RJW10"/>
      <c r="RJX10"/>
      <c r="RJY10"/>
      <c r="RJZ10"/>
      <c r="RKA10"/>
      <c r="RKB10"/>
      <c r="RKC10"/>
      <c r="RKD10"/>
      <c r="RKE10"/>
      <c r="RKF10"/>
      <c r="RKG10"/>
      <c r="RKH10"/>
      <c r="RKI10"/>
      <c r="RKJ10"/>
      <c r="RKK10"/>
      <c r="RKL10"/>
      <c r="RKM10"/>
      <c r="RKN10"/>
      <c r="RKO10"/>
      <c r="RKP10"/>
      <c r="RKQ10"/>
      <c r="RKR10"/>
      <c r="RKS10"/>
      <c r="RKT10"/>
      <c r="RKU10"/>
      <c r="RKV10"/>
      <c r="RKW10"/>
      <c r="RKX10"/>
      <c r="RKY10"/>
      <c r="RKZ10"/>
      <c r="RLA10"/>
      <c r="RLB10"/>
      <c r="RLC10"/>
      <c r="RLD10"/>
      <c r="RLE10"/>
      <c r="RLF10"/>
      <c r="RLG10"/>
      <c r="RLH10"/>
      <c r="RLI10"/>
      <c r="RLJ10"/>
      <c r="RLK10"/>
      <c r="RLL10"/>
      <c r="RLM10"/>
      <c r="RLN10"/>
      <c r="RLO10"/>
      <c r="RLP10"/>
      <c r="RLQ10"/>
      <c r="RLR10"/>
      <c r="RLS10"/>
      <c r="RLT10"/>
      <c r="RLU10"/>
      <c r="RLV10"/>
      <c r="RLW10"/>
      <c r="RLX10"/>
      <c r="RLY10"/>
      <c r="RLZ10"/>
      <c r="RMA10"/>
      <c r="RMB10"/>
      <c r="RMC10"/>
      <c r="RMD10"/>
      <c r="RME10"/>
      <c r="RMF10"/>
      <c r="RMG10"/>
      <c r="RMH10"/>
      <c r="RMI10"/>
      <c r="RMJ10"/>
      <c r="RMK10"/>
      <c r="RML10"/>
      <c r="RMM10"/>
      <c r="RMN10"/>
      <c r="RMO10"/>
      <c r="RMP10"/>
      <c r="RMQ10"/>
      <c r="RMR10"/>
      <c r="RMS10"/>
      <c r="RMT10"/>
      <c r="RMU10"/>
      <c r="RMV10"/>
      <c r="RMW10"/>
      <c r="RMX10"/>
      <c r="RMY10"/>
      <c r="RMZ10"/>
      <c r="RNA10"/>
      <c r="RNB10"/>
      <c r="RNC10"/>
      <c r="RND10"/>
      <c r="RNE10"/>
      <c r="RNF10"/>
      <c r="RNG10"/>
      <c r="RNH10"/>
      <c r="RNI10"/>
      <c r="RNJ10"/>
      <c r="RNK10"/>
      <c r="RNL10"/>
      <c r="RNM10"/>
      <c r="RNN10"/>
      <c r="RNO10"/>
      <c r="RNP10"/>
      <c r="RNQ10"/>
      <c r="RNR10"/>
      <c r="RNS10"/>
      <c r="RNT10"/>
      <c r="RNU10"/>
      <c r="RNV10"/>
      <c r="RNW10"/>
      <c r="RNX10"/>
      <c r="RNY10"/>
      <c r="RNZ10"/>
      <c r="ROA10"/>
      <c r="ROB10"/>
      <c r="ROC10"/>
      <c r="ROD10"/>
      <c r="ROE10"/>
      <c r="ROF10"/>
      <c r="ROG10"/>
      <c r="ROH10"/>
      <c r="ROI10"/>
      <c r="ROJ10"/>
      <c r="ROK10"/>
      <c r="ROL10"/>
      <c r="ROM10"/>
      <c r="RON10"/>
      <c r="ROO10"/>
      <c r="ROP10"/>
      <c r="ROQ10"/>
      <c r="ROR10"/>
      <c r="ROS10"/>
      <c r="ROT10"/>
      <c r="ROU10"/>
      <c r="ROV10"/>
      <c r="ROW10"/>
      <c r="ROX10"/>
      <c r="ROY10"/>
      <c r="ROZ10"/>
      <c r="RPA10"/>
      <c r="RPB10"/>
      <c r="RPC10"/>
      <c r="RPD10"/>
      <c r="RPE10"/>
      <c r="RPF10"/>
      <c r="RPG10"/>
      <c r="RPH10"/>
      <c r="RPI10"/>
      <c r="RPJ10"/>
      <c r="RPK10"/>
      <c r="RPL10"/>
      <c r="RPM10"/>
      <c r="RPN10"/>
      <c r="RPO10"/>
      <c r="RPP10"/>
      <c r="RPQ10"/>
      <c r="RPR10"/>
      <c r="RPS10"/>
      <c r="RPT10"/>
      <c r="RPU10"/>
      <c r="RPV10"/>
      <c r="RPW10"/>
      <c r="RPX10"/>
      <c r="RPY10"/>
      <c r="RPZ10"/>
      <c r="RQA10"/>
      <c r="RQB10"/>
      <c r="RQC10"/>
      <c r="RQD10"/>
      <c r="RQE10"/>
      <c r="RQF10"/>
      <c r="RQG10"/>
      <c r="RQH10"/>
      <c r="RQI10"/>
      <c r="RQJ10"/>
      <c r="RQK10"/>
      <c r="RQL10"/>
      <c r="RQM10"/>
      <c r="RQN10"/>
      <c r="RQO10"/>
      <c r="RQP10"/>
      <c r="RQQ10"/>
      <c r="RQR10"/>
      <c r="RQS10"/>
      <c r="RQT10"/>
      <c r="RQU10"/>
      <c r="RQV10"/>
      <c r="RQW10"/>
      <c r="RQX10"/>
      <c r="RQY10"/>
      <c r="RQZ10"/>
      <c r="RRA10"/>
      <c r="RRB10"/>
      <c r="RRC10"/>
      <c r="RRD10"/>
      <c r="RRE10"/>
      <c r="RRF10"/>
      <c r="RRG10"/>
      <c r="RRH10"/>
      <c r="RRI10"/>
      <c r="RRJ10"/>
      <c r="RRK10"/>
      <c r="RRL10"/>
      <c r="RRM10"/>
      <c r="RRN10"/>
      <c r="RRO10"/>
      <c r="RRP10"/>
      <c r="RRQ10"/>
      <c r="RRR10"/>
      <c r="RRS10"/>
      <c r="RRT10"/>
      <c r="RRU10"/>
      <c r="RRV10"/>
      <c r="RRW10"/>
      <c r="RRX10"/>
      <c r="RRY10"/>
      <c r="RRZ10"/>
      <c r="RSA10"/>
      <c r="RSB10"/>
      <c r="RSC10"/>
      <c r="RSD10"/>
      <c r="RSE10"/>
      <c r="RSF10"/>
      <c r="RSG10"/>
      <c r="RSH10"/>
      <c r="RSI10"/>
      <c r="RSJ10"/>
      <c r="RSK10"/>
      <c r="RSL10"/>
      <c r="RSM10"/>
      <c r="RSN10"/>
      <c r="RSO10"/>
      <c r="RSP10"/>
      <c r="RSQ10"/>
      <c r="RSR10"/>
      <c r="RSS10"/>
      <c r="RST10"/>
      <c r="RSU10"/>
      <c r="RSV10"/>
      <c r="RSW10"/>
      <c r="RSX10"/>
      <c r="RSY10"/>
      <c r="RSZ10"/>
      <c r="RTA10"/>
      <c r="RTB10"/>
      <c r="RTC10"/>
      <c r="RTD10"/>
      <c r="RTE10"/>
      <c r="RTF10"/>
      <c r="RTG10"/>
      <c r="RTH10"/>
      <c r="RTI10"/>
      <c r="RTJ10"/>
      <c r="RTK10"/>
      <c r="RTL10"/>
      <c r="RTM10"/>
      <c r="RTN10"/>
      <c r="RTO10"/>
      <c r="RTP10"/>
      <c r="RTQ10"/>
      <c r="RTR10"/>
      <c r="RTS10"/>
      <c r="RTT10"/>
      <c r="RTU10"/>
      <c r="RTV10"/>
      <c r="RTW10"/>
      <c r="RTX10"/>
      <c r="RTY10"/>
      <c r="RTZ10"/>
      <c r="RUA10"/>
      <c r="RUB10"/>
      <c r="RUC10"/>
      <c r="RUD10"/>
      <c r="RUE10"/>
      <c r="RUF10"/>
      <c r="RUG10"/>
      <c r="RUH10"/>
      <c r="RUI10"/>
      <c r="RUJ10"/>
      <c r="RUK10"/>
      <c r="RUL10"/>
      <c r="RUM10"/>
      <c r="RUN10"/>
      <c r="RUO10"/>
      <c r="RUP10"/>
      <c r="RUQ10"/>
      <c r="RUR10"/>
      <c r="RUS10"/>
      <c r="RUT10"/>
      <c r="RUU10"/>
      <c r="RUV10"/>
      <c r="RUW10"/>
      <c r="RUX10"/>
      <c r="RUY10"/>
      <c r="RUZ10"/>
      <c r="RVA10"/>
      <c r="RVB10"/>
      <c r="RVC10"/>
      <c r="RVD10"/>
      <c r="RVE10"/>
      <c r="RVF10"/>
      <c r="RVG10"/>
      <c r="RVH10"/>
      <c r="RVI10"/>
      <c r="RVJ10"/>
      <c r="RVK10"/>
      <c r="RVL10"/>
      <c r="RVM10"/>
      <c r="RVN10"/>
      <c r="RVO10"/>
      <c r="RVP10"/>
      <c r="RVQ10"/>
      <c r="RVR10"/>
      <c r="RVS10"/>
      <c r="RVT10"/>
      <c r="RVU10"/>
      <c r="RVV10"/>
      <c r="RVW10"/>
      <c r="RVX10"/>
      <c r="RVY10"/>
      <c r="RVZ10"/>
      <c r="RWA10"/>
      <c r="RWB10"/>
      <c r="RWC10"/>
      <c r="RWD10"/>
      <c r="RWE10"/>
      <c r="RWF10"/>
      <c r="RWG10"/>
      <c r="RWH10"/>
      <c r="RWI10"/>
      <c r="RWJ10"/>
      <c r="RWK10"/>
      <c r="RWL10"/>
      <c r="RWM10"/>
      <c r="RWN10"/>
      <c r="RWO10"/>
      <c r="RWP10"/>
      <c r="RWQ10"/>
      <c r="RWR10"/>
      <c r="RWS10"/>
      <c r="RWT10"/>
      <c r="RWU10"/>
      <c r="RWV10"/>
      <c r="RWW10"/>
      <c r="RWX10"/>
      <c r="RWY10"/>
      <c r="RWZ10"/>
      <c r="RXA10"/>
      <c r="RXB10"/>
      <c r="RXC10"/>
      <c r="RXD10"/>
      <c r="RXE10"/>
      <c r="RXF10"/>
      <c r="RXG10"/>
      <c r="RXH10"/>
      <c r="RXI10"/>
      <c r="RXJ10"/>
      <c r="RXK10"/>
      <c r="RXL10"/>
      <c r="RXM10"/>
      <c r="RXN10"/>
      <c r="RXO10"/>
      <c r="RXP10"/>
      <c r="RXQ10"/>
      <c r="RXR10"/>
      <c r="RXS10"/>
      <c r="RXT10"/>
      <c r="RXU10"/>
      <c r="RXV10"/>
      <c r="RXW10"/>
      <c r="RXX10"/>
      <c r="RXY10"/>
      <c r="RXZ10"/>
      <c r="RYA10"/>
      <c r="RYB10"/>
      <c r="RYC10"/>
      <c r="RYD10"/>
      <c r="RYE10"/>
      <c r="RYF10"/>
      <c r="RYG10"/>
      <c r="RYH10"/>
      <c r="RYI10"/>
      <c r="RYJ10"/>
      <c r="RYK10"/>
      <c r="RYL10"/>
      <c r="RYM10"/>
      <c r="RYN10"/>
      <c r="RYO10"/>
      <c r="RYP10"/>
      <c r="RYQ10"/>
      <c r="RYR10"/>
      <c r="RYS10"/>
      <c r="RYT10"/>
      <c r="RYU10"/>
      <c r="RYV10"/>
      <c r="RYW10"/>
      <c r="RYX10"/>
      <c r="RYY10"/>
      <c r="RYZ10"/>
      <c r="RZA10"/>
      <c r="RZB10"/>
      <c r="RZC10"/>
      <c r="RZD10"/>
      <c r="RZE10"/>
      <c r="RZF10"/>
      <c r="RZG10"/>
      <c r="RZH10"/>
      <c r="RZI10"/>
      <c r="RZJ10"/>
      <c r="RZK10"/>
      <c r="RZL10"/>
      <c r="RZM10"/>
      <c r="RZN10"/>
      <c r="RZO10"/>
      <c r="RZP10"/>
      <c r="RZQ10"/>
      <c r="RZR10"/>
      <c r="RZS10"/>
      <c r="RZT10"/>
      <c r="RZU10"/>
      <c r="RZV10"/>
      <c r="RZW10"/>
      <c r="RZX10"/>
      <c r="RZY10"/>
      <c r="RZZ10"/>
      <c r="SAA10"/>
      <c r="SAB10"/>
      <c r="SAC10"/>
      <c r="SAD10"/>
      <c r="SAE10"/>
      <c r="SAF10"/>
      <c r="SAG10"/>
      <c r="SAH10"/>
      <c r="SAI10"/>
      <c r="SAJ10"/>
      <c r="SAK10"/>
      <c r="SAL10"/>
      <c r="SAM10"/>
      <c r="SAN10"/>
      <c r="SAO10"/>
      <c r="SAP10"/>
      <c r="SAQ10"/>
      <c r="SAR10"/>
      <c r="SAS10"/>
      <c r="SAT10"/>
      <c r="SAU10"/>
      <c r="SAV10"/>
      <c r="SAW10"/>
      <c r="SAX10"/>
      <c r="SAY10"/>
      <c r="SAZ10"/>
      <c r="SBA10"/>
      <c r="SBB10"/>
      <c r="SBC10"/>
      <c r="SBD10"/>
      <c r="SBE10"/>
      <c r="SBF10"/>
      <c r="SBG10"/>
      <c r="SBH10"/>
      <c r="SBI10"/>
      <c r="SBJ10"/>
      <c r="SBK10"/>
      <c r="SBL10"/>
      <c r="SBM10"/>
      <c r="SBN10"/>
      <c r="SBO10"/>
      <c r="SBP10"/>
      <c r="SBQ10"/>
      <c r="SBR10"/>
      <c r="SBS10"/>
      <c r="SBT10"/>
      <c r="SBU10"/>
      <c r="SBV10"/>
      <c r="SBW10"/>
      <c r="SBX10"/>
      <c r="SBY10"/>
      <c r="SBZ10"/>
      <c r="SCA10"/>
      <c r="SCB10"/>
      <c r="SCC10"/>
      <c r="SCD10"/>
      <c r="SCE10"/>
      <c r="SCF10"/>
      <c r="SCG10"/>
      <c r="SCH10"/>
      <c r="SCI10"/>
      <c r="SCJ10"/>
      <c r="SCK10"/>
      <c r="SCL10"/>
      <c r="SCM10"/>
      <c r="SCN10"/>
      <c r="SCO10"/>
      <c r="SCP10"/>
      <c r="SCQ10"/>
      <c r="SCR10"/>
      <c r="SCS10"/>
      <c r="SCT10"/>
      <c r="SCU10"/>
      <c r="SCV10"/>
      <c r="SCW10"/>
      <c r="SCX10"/>
      <c r="SCY10"/>
      <c r="SCZ10"/>
      <c r="SDA10"/>
      <c r="SDB10"/>
      <c r="SDC10"/>
      <c r="SDD10"/>
      <c r="SDE10"/>
      <c r="SDF10"/>
      <c r="SDG10"/>
      <c r="SDH10"/>
      <c r="SDI10"/>
      <c r="SDJ10"/>
      <c r="SDK10"/>
      <c r="SDL10"/>
      <c r="SDM10"/>
      <c r="SDN10"/>
      <c r="SDO10"/>
      <c r="SDP10"/>
      <c r="SDQ10"/>
      <c r="SDR10"/>
      <c r="SDS10"/>
      <c r="SDT10"/>
      <c r="SDU10"/>
      <c r="SDV10"/>
      <c r="SDW10"/>
      <c r="SDX10"/>
      <c r="SDY10"/>
      <c r="SDZ10"/>
      <c r="SEA10"/>
      <c r="SEB10"/>
      <c r="SEC10"/>
      <c r="SED10"/>
      <c r="SEE10"/>
      <c r="SEF10"/>
      <c r="SEG10"/>
      <c r="SEH10"/>
      <c r="SEI10"/>
      <c r="SEJ10"/>
      <c r="SEK10"/>
      <c r="SEL10"/>
      <c r="SEM10"/>
      <c r="SEN10"/>
      <c r="SEO10"/>
      <c r="SEP10"/>
      <c r="SEQ10"/>
      <c r="SER10"/>
      <c r="SES10"/>
      <c r="SET10"/>
      <c r="SEU10"/>
      <c r="SEV10"/>
      <c r="SEW10"/>
      <c r="SEX10"/>
      <c r="SEY10"/>
      <c r="SEZ10"/>
      <c r="SFA10"/>
      <c r="SFB10"/>
      <c r="SFC10"/>
      <c r="SFD10"/>
      <c r="SFE10"/>
      <c r="SFF10"/>
      <c r="SFG10"/>
      <c r="SFH10"/>
      <c r="SFI10"/>
      <c r="SFJ10"/>
      <c r="SFK10"/>
      <c r="SFL10"/>
      <c r="SFM10"/>
      <c r="SFN10"/>
      <c r="SFO10"/>
      <c r="SFP10"/>
      <c r="SFQ10"/>
      <c r="SFR10"/>
      <c r="SFS10"/>
      <c r="SFT10"/>
      <c r="SFU10"/>
      <c r="SFV10"/>
      <c r="SFW10"/>
      <c r="SFX10"/>
      <c r="SFY10"/>
      <c r="SFZ10"/>
      <c r="SGA10"/>
      <c r="SGB10"/>
      <c r="SGC10"/>
      <c r="SGD10"/>
      <c r="SGE10"/>
      <c r="SGF10"/>
      <c r="SGG10"/>
      <c r="SGH10"/>
      <c r="SGI10"/>
      <c r="SGJ10"/>
      <c r="SGK10"/>
      <c r="SGL10"/>
      <c r="SGM10"/>
      <c r="SGN10"/>
      <c r="SGO10"/>
      <c r="SGP10"/>
      <c r="SGQ10"/>
      <c r="SGR10"/>
      <c r="SGS10"/>
      <c r="SGT10"/>
      <c r="SGU10"/>
      <c r="SGV10"/>
      <c r="SGW10"/>
      <c r="SGX10"/>
      <c r="SGY10"/>
      <c r="SGZ10"/>
      <c r="SHA10"/>
      <c r="SHB10"/>
      <c r="SHC10"/>
      <c r="SHD10"/>
      <c r="SHE10"/>
      <c r="SHF10"/>
      <c r="SHG10"/>
      <c r="SHH10"/>
      <c r="SHI10"/>
      <c r="SHJ10"/>
      <c r="SHK10"/>
      <c r="SHL10"/>
      <c r="SHM10"/>
      <c r="SHN10"/>
      <c r="SHO10"/>
      <c r="SHP10"/>
      <c r="SHQ10"/>
      <c r="SHR10"/>
      <c r="SHS10"/>
      <c r="SHT10"/>
      <c r="SHU10"/>
      <c r="SHV10"/>
      <c r="SHW10"/>
      <c r="SHX10"/>
      <c r="SHY10"/>
      <c r="SHZ10"/>
      <c r="SIA10"/>
      <c r="SIB10"/>
      <c r="SIC10"/>
      <c r="SID10"/>
      <c r="SIE10"/>
      <c r="SIF10"/>
      <c r="SIG10"/>
      <c r="SIH10"/>
      <c r="SII10"/>
      <c r="SIJ10"/>
      <c r="SIK10"/>
      <c r="SIL10"/>
      <c r="SIM10"/>
      <c r="SIN10"/>
      <c r="SIO10"/>
      <c r="SIP10"/>
      <c r="SIQ10"/>
      <c r="SIR10"/>
      <c r="SIS10"/>
      <c r="SIT10"/>
      <c r="SIU10"/>
      <c r="SIV10"/>
      <c r="SIW10"/>
      <c r="SIX10"/>
      <c r="SIY10"/>
      <c r="SIZ10"/>
      <c r="SJA10"/>
      <c r="SJB10"/>
      <c r="SJC10"/>
      <c r="SJD10"/>
      <c r="SJE10"/>
      <c r="SJF10"/>
      <c r="SJG10"/>
      <c r="SJH10"/>
      <c r="SJI10"/>
      <c r="SJJ10"/>
      <c r="SJK10"/>
      <c r="SJL10"/>
      <c r="SJM10"/>
      <c r="SJN10"/>
      <c r="SJO10"/>
      <c r="SJP10"/>
      <c r="SJQ10"/>
      <c r="SJR10"/>
      <c r="SJS10"/>
      <c r="SJT10"/>
      <c r="SJU10"/>
      <c r="SJV10"/>
      <c r="SJW10"/>
      <c r="SJX10"/>
      <c r="SJY10"/>
      <c r="SJZ10"/>
      <c r="SKA10"/>
      <c r="SKB10"/>
      <c r="SKC10"/>
      <c r="SKD10"/>
      <c r="SKE10"/>
      <c r="SKF10"/>
      <c r="SKG10"/>
      <c r="SKH10"/>
      <c r="SKI10"/>
      <c r="SKJ10"/>
      <c r="SKK10"/>
      <c r="SKL10"/>
      <c r="SKM10"/>
      <c r="SKN10"/>
      <c r="SKO10"/>
      <c r="SKP10"/>
      <c r="SKQ10"/>
      <c r="SKR10"/>
      <c r="SKS10"/>
      <c r="SKT10"/>
      <c r="SKU10"/>
      <c r="SKV10"/>
      <c r="SKW10"/>
      <c r="SKX10"/>
      <c r="SKY10"/>
      <c r="SKZ10"/>
      <c r="SLA10"/>
      <c r="SLB10"/>
      <c r="SLC10"/>
      <c r="SLD10"/>
      <c r="SLE10"/>
      <c r="SLF10"/>
      <c r="SLG10"/>
      <c r="SLH10"/>
      <c r="SLI10"/>
      <c r="SLJ10"/>
      <c r="SLK10"/>
      <c r="SLL10"/>
      <c r="SLM10"/>
      <c r="SLN10"/>
      <c r="SLO10"/>
      <c r="SLP10"/>
      <c r="SLQ10"/>
      <c r="SLR10"/>
      <c r="SLS10"/>
      <c r="SLT10"/>
      <c r="SLU10"/>
      <c r="SLV10"/>
      <c r="SLW10"/>
      <c r="SLX10"/>
      <c r="SLY10"/>
      <c r="SLZ10"/>
      <c r="SMA10"/>
      <c r="SMB10"/>
      <c r="SMC10"/>
      <c r="SMD10"/>
      <c r="SME10"/>
      <c r="SMF10"/>
      <c r="SMG10"/>
      <c r="SMH10"/>
      <c r="SMI10"/>
      <c r="SMJ10"/>
      <c r="SMK10"/>
      <c r="SML10"/>
      <c r="SMM10"/>
      <c r="SMN10"/>
      <c r="SMO10"/>
      <c r="SMP10"/>
      <c r="SMQ10"/>
      <c r="SMR10"/>
      <c r="SMS10"/>
      <c r="SMT10"/>
      <c r="SMU10"/>
      <c r="SMV10"/>
      <c r="SMW10"/>
      <c r="SMX10"/>
      <c r="SMY10"/>
      <c r="SMZ10"/>
      <c r="SNA10"/>
      <c r="SNB10"/>
      <c r="SNC10"/>
      <c r="SND10"/>
      <c r="SNE10"/>
      <c r="SNF10"/>
      <c r="SNG10"/>
      <c r="SNH10"/>
      <c r="SNI10"/>
      <c r="SNJ10"/>
      <c r="SNK10"/>
      <c r="SNL10"/>
      <c r="SNM10"/>
      <c r="SNN10"/>
      <c r="SNO10"/>
      <c r="SNP10"/>
      <c r="SNQ10"/>
      <c r="SNR10"/>
      <c r="SNS10"/>
      <c r="SNT10"/>
      <c r="SNU10"/>
      <c r="SNV10"/>
      <c r="SNW10"/>
      <c r="SNX10"/>
      <c r="SNY10"/>
      <c r="SNZ10"/>
      <c r="SOA10"/>
      <c r="SOB10"/>
      <c r="SOC10"/>
      <c r="SOD10"/>
      <c r="SOE10"/>
      <c r="SOF10"/>
      <c r="SOG10"/>
      <c r="SOH10"/>
      <c r="SOI10"/>
      <c r="SOJ10"/>
      <c r="SOK10"/>
      <c r="SOL10"/>
      <c r="SOM10"/>
      <c r="SON10"/>
      <c r="SOO10"/>
      <c r="SOP10"/>
      <c r="SOQ10"/>
      <c r="SOR10"/>
      <c r="SOS10"/>
      <c r="SOT10"/>
      <c r="SOU10"/>
      <c r="SOV10"/>
      <c r="SOW10"/>
      <c r="SOX10"/>
      <c r="SOY10"/>
      <c r="SOZ10"/>
      <c r="SPA10"/>
      <c r="SPB10"/>
      <c r="SPC10"/>
      <c r="SPD10"/>
      <c r="SPE10"/>
      <c r="SPF10"/>
      <c r="SPG10"/>
      <c r="SPH10"/>
      <c r="SPI10"/>
      <c r="SPJ10"/>
      <c r="SPK10"/>
      <c r="SPL10"/>
      <c r="SPM10"/>
      <c r="SPN10"/>
      <c r="SPO10"/>
      <c r="SPP10"/>
      <c r="SPQ10"/>
      <c r="SPR10"/>
      <c r="SPS10"/>
      <c r="SPT10"/>
      <c r="SPU10"/>
      <c r="SPV10"/>
      <c r="SPW10"/>
      <c r="SPX10"/>
      <c r="SPY10"/>
      <c r="SPZ10"/>
      <c r="SQA10"/>
      <c r="SQB10"/>
      <c r="SQC10"/>
      <c r="SQD10"/>
      <c r="SQE10"/>
      <c r="SQF10"/>
      <c r="SQG10"/>
      <c r="SQH10"/>
      <c r="SQI10"/>
      <c r="SQJ10"/>
      <c r="SQK10"/>
      <c r="SQL10"/>
      <c r="SQM10"/>
      <c r="SQN10"/>
      <c r="SQO10"/>
      <c r="SQP10"/>
      <c r="SQQ10"/>
      <c r="SQR10"/>
      <c r="SQS10"/>
      <c r="SQT10"/>
      <c r="SQU10"/>
      <c r="SQV10"/>
      <c r="SQW10"/>
      <c r="SQX10"/>
      <c r="SQY10"/>
      <c r="SQZ10"/>
      <c r="SRA10"/>
      <c r="SRB10"/>
      <c r="SRC10"/>
      <c r="SRD10"/>
      <c r="SRE10"/>
      <c r="SRF10"/>
      <c r="SRG10"/>
      <c r="SRH10"/>
      <c r="SRI10"/>
      <c r="SRJ10"/>
      <c r="SRK10"/>
      <c r="SRL10"/>
      <c r="SRM10"/>
      <c r="SRN10"/>
      <c r="SRO10"/>
      <c r="SRP10"/>
      <c r="SRQ10"/>
      <c r="SRR10"/>
      <c r="SRS10"/>
      <c r="SRT10"/>
      <c r="SRU10"/>
      <c r="SRV10"/>
      <c r="SRW10"/>
      <c r="SRX10"/>
      <c r="SRY10"/>
      <c r="SRZ10"/>
      <c r="SSA10"/>
      <c r="SSB10"/>
      <c r="SSC10"/>
      <c r="SSD10"/>
      <c r="SSE10"/>
      <c r="SSF10"/>
      <c r="SSG10"/>
      <c r="SSH10"/>
      <c r="SSI10"/>
      <c r="SSJ10"/>
      <c r="SSK10"/>
      <c r="SSL10"/>
      <c r="SSM10"/>
      <c r="SSN10"/>
      <c r="SSO10"/>
      <c r="SSP10"/>
      <c r="SSQ10"/>
      <c r="SSR10"/>
      <c r="SSS10"/>
      <c r="SST10"/>
      <c r="SSU10"/>
      <c r="SSV10"/>
      <c r="SSW10"/>
      <c r="SSX10"/>
      <c r="SSY10"/>
      <c r="SSZ10"/>
      <c r="STA10"/>
      <c r="STB10"/>
      <c r="STC10"/>
      <c r="STD10"/>
      <c r="STE10"/>
      <c r="STF10"/>
      <c r="STG10"/>
      <c r="STH10"/>
      <c r="STI10"/>
      <c r="STJ10"/>
      <c r="STK10"/>
      <c r="STL10"/>
      <c r="STM10"/>
      <c r="STN10"/>
      <c r="STO10"/>
      <c r="STP10"/>
      <c r="STQ10"/>
      <c r="STR10"/>
      <c r="STS10"/>
      <c r="STT10"/>
      <c r="STU10"/>
      <c r="STV10"/>
      <c r="STW10"/>
      <c r="STX10"/>
      <c r="STY10"/>
      <c r="STZ10"/>
      <c r="SUA10"/>
      <c r="SUB10"/>
      <c r="SUC10"/>
      <c r="SUD10"/>
      <c r="SUE10"/>
      <c r="SUF10"/>
      <c r="SUG10"/>
      <c r="SUH10"/>
      <c r="SUI10"/>
      <c r="SUJ10"/>
      <c r="SUK10"/>
      <c r="SUL10"/>
      <c r="SUM10"/>
      <c r="SUN10"/>
      <c r="SUO10"/>
      <c r="SUP10"/>
      <c r="SUQ10"/>
      <c r="SUR10"/>
      <c r="SUS10"/>
      <c r="SUT10"/>
      <c r="SUU10"/>
      <c r="SUV10"/>
      <c r="SUW10"/>
      <c r="SUX10"/>
      <c r="SUY10"/>
      <c r="SUZ10"/>
      <c r="SVA10"/>
      <c r="SVB10"/>
      <c r="SVC10"/>
      <c r="SVD10"/>
      <c r="SVE10"/>
      <c r="SVF10"/>
      <c r="SVG10"/>
      <c r="SVH10"/>
      <c r="SVI10"/>
      <c r="SVJ10"/>
      <c r="SVK10"/>
      <c r="SVL10"/>
      <c r="SVM10"/>
      <c r="SVN10"/>
      <c r="SVO10"/>
      <c r="SVP10"/>
      <c r="SVQ10"/>
      <c r="SVR10"/>
      <c r="SVS10"/>
      <c r="SVT10"/>
      <c r="SVU10"/>
      <c r="SVV10"/>
      <c r="SVW10"/>
      <c r="SVX10"/>
      <c r="SVY10"/>
      <c r="SVZ10"/>
      <c r="SWA10"/>
      <c r="SWB10"/>
      <c r="SWC10"/>
      <c r="SWD10"/>
      <c r="SWE10"/>
      <c r="SWF10"/>
      <c r="SWG10"/>
      <c r="SWH10"/>
      <c r="SWI10"/>
      <c r="SWJ10"/>
      <c r="SWK10"/>
      <c r="SWL10"/>
      <c r="SWM10"/>
      <c r="SWN10"/>
      <c r="SWO10"/>
      <c r="SWP10"/>
      <c r="SWQ10"/>
      <c r="SWR10"/>
      <c r="SWS10"/>
      <c r="SWT10"/>
      <c r="SWU10"/>
      <c r="SWV10"/>
      <c r="SWW10"/>
      <c r="SWX10"/>
      <c r="SWY10"/>
      <c r="SWZ10"/>
      <c r="SXA10"/>
      <c r="SXB10"/>
      <c r="SXC10"/>
      <c r="SXD10"/>
      <c r="SXE10"/>
      <c r="SXF10"/>
      <c r="SXG10"/>
      <c r="SXH10"/>
      <c r="SXI10"/>
      <c r="SXJ10"/>
      <c r="SXK10"/>
      <c r="SXL10"/>
      <c r="SXM10"/>
      <c r="SXN10"/>
      <c r="SXO10"/>
      <c r="SXP10"/>
      <c r="SXQ10"/>
      <c r="SXR10"/>
      <c r="SXS10"/>
      <c r="SXT10"/>
      <c r="SXU10"/>
      <c r="SXV10"/>
      <c r="SXW10"/>
      <c r="SXX10"/>
      <c r="SXY10"/>
      <c r="SXZ10"/>
      <c r="SYA10"/>
      <c r="SYB10"/>
      <c r="SYC10"/>
      <c r="SYD10"/>
      <c r="SYE10"/>
      <c r="SYF10"/>
      <c r="SYG10"/>
      <c r="SYH10"/>
      <c r="SYI10"/>
      <c r="SYJ10"/>
      <c r="SYK10"/>
      <c r="SYL10"/>
      <c r="SYM10"/>
      <c r="SYN10"/>
      <c r="SYO10"/>
      <c r="SYP10"/>
      <c r="SYQ10"/>
      <c r="SYR10"/>
      <c r="SYS10"/>
      <c r="SYT10"/>
      <c r="SYU10"/>
      <c r="SYV10"/>
      <c r="SYW10"/>
      <c r="SYX10"/>
      <c r="SYY10"/>
      <c r="SYZ10"/>
      <c r="SZA10"/>
      <c r="SZB10"/>
      <c r="SZC10"/>
      <c r="SZD10"/>
      <c r="SZE10"/>
      <c r="SZF10"/>
      <c r="SZG10"/>
      <c r="SZH10"/>
      <c r="SZI10"/>
      <c r="SZJ10"/>
      <c r="SZK10"/>
      <c r="SZL10"/>
      <c r="SZM10"/>
      <c r="SZN10"/>
      <c r="SZO10"/>
      <c r="SZP10"/>
      <c r="SZQ10"/>
      <c r="SZR10"/>
      <c r="SZS10"/>
      <c r="SZT10"/>
      <c r="SZU10"/>
      <c r="SZV10"/>
      <c r="SZW10"/>
      <c r="SZX10"/>
      <c r="SZY10"/>
      <c r="SZZ10"/>
      <c r="TAA10"/>
      <c r="TAB10"/>
      <c r="TAC10"/>
      <c r="TAD10"/>
      <c r="TAE10"/>
      <c r="TAF10"/>
      <c r="TAG10"/>
      <c r="TAH10"/>
      <c r="TAI10"/>
      <c r="TAJ10"/>
      <c r="TAK10"/>
      <c r="TAL10"/>
      <c r="TAM10"/>
      <c r="TAN10"/>
      <c r="TAO10"/>
      <c r="TAP10"/>
      <c r="TAQ10"/>
      <c r="TAR10"/>
      <c r="TAS10"/>
      <c r="TAT10"/>
      <c r="TAU10"/>
      <c r="TAV10"/>
      <c r="TAW10"/>
      <c r="TAX10"/>
      <c r="TAY10"/>
      <c r="TAZ10"/>
      <c r="TBA10"/>
      <c r="TBB10"/>
      <c r="TBC10"/>
      <c r="TBD10"/>
      <c r="TBE10"/>
      <c r="TBF10"/>
      <c r="TBG10"/>
      <c r="TBH10"/>
      <c r="TBI10"/>
      <c r="TBJ10"/>
      <c r="TBK10"/>
      <c r="TBL10"/>
      <c r="TBM10"/>
      <c r="TBN10"/>
      <c r="TBO10"/>
      <c r="TBP10"/>
      <c r="TBQ10"/>
      <c r="TBR10"/>
      <c r="TBS10"/>
      <c r="TBT10"/>
      <c r="TBU10"/>
      <c r="TBV10"/>
      <c r="TBW10"/>
      <c r="TBX10"/>
      <c r="TBY10"/>
      <c r="TBZ10"/>
      <c r="TCA10"/>
      <c r="TCB10"/>
      <c r="TCC10"/>
      <c r="TCD10"/>
      <c r="TCE10"/>
      <c r="TCF10"/>
      <c r="TCG10"/>
      <c r="TCH10"/>
      <c r="TCI10"/>
      <c r="TCJ10"/>
      <c r="TCK10"/>
      <c r="TCL10"/>
      <c r="TCM10"/>
      <c r="TCN10"/>
      <c r="TCO10"/>
      <c r="TCP10"/>
      <c r="TCQ10"/>
      <c r="TCR10"/>
      <c r="TCS10"/>
      <c r="TCT10"/>
      <c r="TCU10"/>
      <c r="TCV10"/>
      <c r="TCW10"/>
      <c r="TCX10"/>
      <c r="TCY10"/>
      <c r="TCZ10"/>
      <c r="TDA10"/>
      <c r="TDB10"/>
      <c r="TDC10"/>
      <c r="TDD10"/>
      <c r="TDE10"/>
      <c r="TDF10"/>
      <c r="TDG10"/>
      <c r="TDH10"/>
      <c r="TDI10"/>
      <c r="TDJ10"/>
      <c r="TDK10"/>
      <c r="TDL10"/>
      <c r="TDM10"/>
      <c r="TDN10"/>
      <c r="TDO10"/>
      <c r="TDP10"/>
      <c r="TDQ10"/>
      <c r="TDR10"/>
      <c r="TDS10"/>
      <c r="TDT10"/>
      <c r="TDU10"/>
      <c r="TDV10"/>
      <c r="TDW10"/>
      <c r="TDX10"/>
      <c r="TDY10"/>
      <c r="TDZ10"/>
      <c r="TEA10"/>
      <c r="TEB10"/>
      <c r="TEC10"/>
      <c r="TED10"/>
      <c r="TEE10"/>
      <c r="TEF10"/>
      <c r="TEG10"/>
      <c r="TEH10"/>
      <c r="TEI10"/>
      <c r="TEJ10"/>
      <c r="TEK10"/>
      <c r="TEL10"/>
      <c r="TEM10"/>
      <c r="TEN10"/>
      <c r="TEO10"/>
      <c r="TEP10"/>
      <c r="TEQ10"/>
      <c r="TER10"/>
      <c r="TES10"/>
      <c r="TET10"/>
      <c r="TEU10"/>
      <c r="TEV10"/>
      <c r="TEW10"/>
      <c r="TEX10"/>
      <c r="TEY10"/>
      <c r="TEZ10"/>
      <c r="TFA10"/>
      <c r="TFB10"/>
      <c r="TFC10"/>
      <c r="TFD10"/>
      <c r="TFE10"/>
      <c r="TFF10"/>
      <c r="TFG10"/>
      <c r="TFH10"/>
      <c r="TFI10"/>
      <c r="TFJ10"/>
      <c r="TFK10"/>
      <c r="TFL10"/>
      <c r="TFM10"/>
      <c r="TFN10"/>
      <c r="TFO10"/>
      <c r="TFP10"/>
      <c r="TFQ10"/>
      <c r="TFR10"/>
      <c r="TFS10"/>
      <c r="TFT10"/>
      <c r="TFU10"/>
      <c r="TFV10"/>
      <c r="TFW10"/>
      <c r="TFX10"/>
      <c r="TFY10"/>
      <c r="TFZ10"/>
      <c r="TGA10"/>
      <c r="TGB10"/>
      <c r="TGC10"/>
      <c r="TGD10"/>
      <c r="TGE10"/>
      <c r="TGF10"/>
      <c r="TGG10"/>
      <c r="TGH10"/>
      <c r="TGI10"/>
      <c r="TGJ10"/>
      <c r="TGK10"/>
      <c r="TGL10"/>
      <c r="TGM10"/>
      <c r="TGN10"/>
      <c r="TGO10"/>
      <c r="TGP10"/>
      <c r="TGQ10"/>
      <c r="TGR10"/>
      <c r="TGS10"/>
      <c r="TGT10"/>
      <c r="TGU10"/>
      <c r="TGV10"/>
      <c r="TGW10"/>
      <c r="TGX10"/>
      <c r="TGY10"/>
      <c r="TGZ10"/>
      <c r="THA10"/>
      <c r="THB10"/>
      <c r="THC10"/>
      <c r="THD10"/>
      <c r="THE10"/>
      <c r="THF10"/>
      <c r="THG10"/>
      <c r="THH10"/>
      <c r="THI10"/>
      <c r="THJ10"/>
      <c r="THK10"/>
      <c r="THL10"/>
      <c r="THM10"/>
      <c r="THN10"/>
      <c r="THO10"/>
      <c r="THP10"/>
      <c r="THQ10"/>
      <c r="THR10"/>
      <c r="THS10"/>
      <c r="THT10"/>
      <c r="THU10"/>
      <c r="THV10"/>
      <c r="THW10"/>
      <c r="THX10"/>
      <c r="THY10"/>
      <c r="THZ10"/>
      <c r="TIA10"/>
      <c r="TIB10"/>
      <c r="TIC10"/>
      <c r="TID10"/>
      <c r="TIE10"/>
      <c r="TIF10"/>
      <c r="TIG10"/>
      <c r="TIH10"/>
      <c r="TII10"/>
      <c r="TIJ10"/>
      <c r="TIK10"/>
      <c r="TIL10"/>
      <c r="TIM10"/>
      <c r="TIN10"/>
      <c r="TIO10"/>
      <c r="TIP10"/>
      <c r="TIQ10"/>
      <c r="TIR10"/>
      <c r="TIS10"/>
      <c r="TIT10"/>
      <c r="TIU10"/>
      <c r="TIV10"/>
      <c r="TIW10"/>
      <c r="TIX10"/>
      <c r="TIY10"/>
      <c r="TIZ10"/>
      <c r="TJA10"/>
      <c r="TJB10"/>
      <c r="TJC10"/>
      <c r="TJD10"/>
      <c r="TJE10"/>
      <c r="TJF10"/>
      <c r="TJG10"/>
      <c r="TJH10"/>
      <c r="TJI10"/>
      <c r="TJJ10"/>
      <c r="TJK10"/>
      <c r="TJL10"/>
      <c r="TJM10"/>
      <c r="TJN10"/>
      <c r="TJO10"/>
      <c r="TJP10"/>
      <c r="TJQ10"/>
      <c r="TJR10"/>
      <c r="TJS10"/>
      <c r="TJT10"/>
      <c r="TJU10"/>
      <c r="TJV10"/>
      <c r="TJW10"/>
      <c r="TJX10"/>
      <c r="TJY10"/>
      <c r="TJZ10"/>
      <c r="TKA10"/>
      <c r="TKB10"/>
      <c r="TKC10"/>
      <c r="TKD10"/>
      <c r="TKE10"/>
      <c r="TKF10"/>
      <c r="TKG10"/>
      <c r="TKH10"/>
      <c r="TKI10"/>
      <c r="TKJ10"/>
      <c r="TKK10"/>
      <c r="TKL10"/>
      <c r="TKM10"/>
      <c r="TKN10"/>
      <c r="TKO10"/>
      <c r="TKP10"/>
      <c r="TKQ10"/>
      <c r="TKR10"/>
      <c r="TKS10"/>
      <c r="TKT10"/>
      <c r="TKU10"/>
      <c r="TKV10"/>
      <c r="TKW10"/>
      <c r="TKX10"/>
      <c r="TKY10"/>
      <c r="TKZ10"/>
      <c r="TLA10"/>
      <c r="TLB10"/>
      <c r="TLC10"/>
      <c r="TLD10"/>
      <c r="TLE10"/>
      <c r="TLF10"/>
      <c r="TLG10"/>
      <c r="TLH10"/>
      <c r="TLI10"/>
      <c r="TLJ10"/>
      <c r="TLK10"/>
      <c r="TLL10"/>
      <c r="TLM10"/>
      <c r="TLN10"/>
      <c r="TLO10"/>
      <c r="TLP10"/>
      <c r="TLQ10"/>
      <c r="TLR10"/>
      <c r="TLS10"/>
      <c r="TLT10"/>
      <c r="TLU10"/>
      <c r="TLV10"/>
      <c r="TLW10"/>
      <c r="TLX10"/>
      <c r="TLY10"/>
      <c r="TLZ10"/>
      <c r="TMA10"/>
      <c r="TMB10"/>
      <c r="TMC10"/>
      <c r="TMD10"/>
      <c r="TME10"/>
      <c r="TMF10"/>
      <c r="TMG10"/>
      <c r="TMH10"/>
      <c r="TMI10"/>
      <c r="TMJ10"/>
      <c r="TMK10"/>
      <c r="TML10"/>
      <c r="TMM10"/>
      <c r="TMN10"/>
      <c r="TMO10"/>
      <c r="TMP10"/>
      <c r="TMQ10"/>
      <c r="TMR10"/>
      <c r="TMS10"/>
      <c r="TMT10"/>
      <c r="TMU10"/>
      <c r="TMV10"/>
      <c r="TMW10"/>
      <c r="TMX10"/>
      <c r="TMY10"/>
      <c r="TMZ10"/>
      <c r="TNA10"/>
      <c r="TNB10"/>
      <c r="TNC10"/>
      <c r="TND10"/>
      <c r="TNE10"/>
      <c r="TNF10"/>
      <c r="TNG10"/>
      <c r="TNH10"/>
      <c r="TNI10"/>
      <c r="TNJ10"/>
      <c r="TNK10"/>
      <c r="TNL10"/>
      <c r="TNM10"/>
      <c r="TNN10"/>
      <c r="TNO10"/>
      <c r="TNP10"/>
      <c r="TNQ10"/>
      <c r="TNR10"/>
      <c r="TNS10"/>
      <c r="TNT10"/>
      <c r="TNU10"/>
      <c r="TNV10"/>
      <c r="TNW10"/>
      <c r="TNX10"/>
      <c r="TNY10"/>
      <c r="TNZ10"/>
      <c r="TOA10"/>
      <c r="TOB10"/>
      <c r="TOC10"/>
      <c r="TOD10"/>
      <c r="TOE10"/>
      <c r="TOF10"/>
      <c r="TOG10"/>
      <c r="TOH10"/>
      <c r="TOI10"/>
      <c r="TOJ10"/>
      <c r="TOK10"/>
      <c r="TOL10"/>
      <c r="TOM10"/>
      <c r="TON10"/>
      <c r="TOO10"/>
      <c r="TOP10"/>
      <c r="TOQ10"/>
      <c r="TOR10"/>
      <c r="TOS10"/>
      <c r="TOT10"/>
      <c r="TOU10"/>
      <c r="TOV10"/>
      <c r="TOW10"/>
      <c r="TOX10"/>
      <c r="TOY10"/>
      <c r="TOZ10"/>
      <c r="TPA10"/>
      <c r="TPB10"/>
      <c r="TPC10"/>
      <c r="TPD10"/>
      <c r="TPE10"/>
      <c r="TPF10"/>
      <c r="TPG10"/>
      <c r="TPH10"/>
      <c r="TPI10"/>
      <c r="TPJ10"/>
      <c r="TPK10"/>
      <c r="TPL10"/>
      <c r="TPM10"/>
      <c r="TPN10"/>
      <c r="TPO10"/>
      <c r="TPP10"/>
      <c r="TPQ10"/>
      <c r="TPR10"/>
      <c r="TPS10"/>
      <c r="TPT10"/>
      <c r="TPU10"/>
      <c r="TPV10"/>
      <c r="TPW10"/>
      <c r="TPX10"/>
      <c r="TPY10"/>
      <c r="TPZ10"/>
      <c r="TQA10"/>
      <c r="TQB10"/>
      <c r="TQC10"/>
      <c r="TQD10"/>
      <c r="TQE10"/>
      <c r="TQF10"/>
      <c r="TQG10"/>
      <c r="TQH10"/>
      <c r="TQI10"/>
      <c r="TQJ10"/>
      <c r="TQK10"/>
      <c r="TQL10"/>
      <c r="TQM10"/>
      <c r="TQN10"/>
      <c r="TQO10"/>
      <c r="TQP10"/>
      <c r="TQQ10"/>
      <c r="TQR10"/>
      <c r="TQS10"/>
      <c r="TQT10"/>
      <c r="TQU10"/>
      <c r="TQV10"/>
      <c r="TQW10"/>
      <c r="TQX10"/>
      <c r="TQY10"/>
      <c r="TQZ10"/>
      <c r="TRA10"/>
      <c r="TRB10"/>
      <c r="TRC10"/>
      <c r="TRD10"/>
      <c r="TRE10"/>
      <c r="TRF10"/>
      <c r="TRG10"/>
      <c r="TRH10"/>
      <c r="TRI10"/>
      <c r="TRJ10"/>
      <c r="TRK10"/>
      <c r="TRL10"/>
      <c r="TRM10"/>
      <c r="TRN10"/>
      <c r="TRO10"/>
      <c r="TRP10"/>
      <c r="TRQ10"/>
      <c r="TRR10"/>
      <c r="TRS10"/>
      <c r="TRT10"/>
      <c r="TRU10"/>
      <c r="TRV10"/>
      <c r="TRW10"/>
      <c r="TRX10"/>
      <c r="TRY10"/>
      <c r="TRZ10"/>
      <c r="TSA10"/>
      <c r="TSB10"/>
      <c r="TSC10"/>
      <c r="TSD10"/>
      <c r="TSE10"/>
      <c r="TSF10"/>
      <c r="TSG10"/>
      <c r="TSH10"/>
      <c r="TSI10"/>
      <c r="TSJ10"/>
      <c r="TSK10"/>
      <c r="TSL10"/>
      <c r="TSM10"/>
      <c r="TSN10"/>
      <c r="TSO10"/>
      <c r="TSP10"/>
      <c r="TSQ10"/>
      <c r="TSR10"/>
      <c r="TSS10"/>
      <c r="TST10"/>
      <c r="TSU10"/>
      <c r="TSV10"/>
      <c r="TSW10"/>
      <c r="TSX10"/>
      <c r="TSY10"/>
      <c r="TSZ10"/>
      <c r="TTA10"/>
      <c r="TTB10"/>
      <c r="TTC10"/>
      <c r="TTD10"/>
      <c r="TTE10"/>
      <c r="TTF10"/>
      <c r="TTG10"/>
      <c r="TTH10"/>
      <c r="TTI10"/>
      <c r="TTJ10"/>
      <c r="TTK10"/>
      <c r="TTL10"/>
      <c r="TTM10"/>
      <c r="TTN10"/>
      <c r="TTO10"/>
      <c r="TTP10"/>
      <c r="TTQ10"/>
      <c r="TTR10"/>
      <c r="TTS10"/>
      <c r="TTT10"/>
      <c r="TTU10"/>
      <c r="TTV10"/>
      <c r="TTW10"/>
      <c r="TTX10"/>
      <c r="TTY10"/>
      <c r="TTZ10"/>
      <c r="TUA10"/>
      <c r="TUB10"/>
      <c r="TUC10"/>
      <c r="TUD10"/>
      <c r="TUE10"/>
      <c r="TUF10"/>
      <c r="TUG10"/>
      <c r="TUH10"/>
      <c r="TUI10"/>
      <c r="TUJ10"/>
      <c r="TUK10"/>
      <c r="TUL10"/>
      <c r="TUM10"/>
      <c r="TUN10"/>
      <c r="TUO10"/>
      <c r="TUP10"/>
      <c r="TUQ10"/>
      <c r="TUR10"/>
      <c r="TUS10"/>
      <c r="TUT10"/>
      <c r="TUU10"/>
      <c r="TUV10"/>
      <c r="TUW10"/>
      <c r="TUX10"/>
      <c r="TUY10"/>
      <c r="TUZ10"/>
      <c r="TVA10"/>
      <c r="TVB10"/>
      <c r="TVC10"/>
      <c r="TVD10"/>
      <c r="TVE10"/>
      <c r="TVF10"/>
      <c r="TVG10"/>
      <c r="TVH10"/>
      <c r="TVI10"/>
      <c r="TVJ10"/>
      <c r="TVK10"/>
      <c r="TVL10"/>
      <c r="TVM10"/>
      <c r="TVN10"/>
      <c r="TVO10"/>
      <c r="TVP10"/>
      <c r="TVQ10"/>
      <c r="TVR10"/>
      <c r="TVS10"/>
      <c r="TVT10"/>
      <c r="TVU10"/>
      <c r="TVV10"/>
      <c r="TVW10"/>
      <c r="TVX10"/>
      <c r="TVY10"/>
      <c r="TVZ10"/>
      <c r="TWA10"/>
      <c r="TWB10"/>
      <c r="TWC10"/>
      <c r="TWD10"/>
      <c r="TWE10"/>
      <c r="TWF10"/>
      <c r="TWG10"/>
      <c r="TWH10"/>
      <c r="TWI10"/>
      <c r="TWJ10"/>
      <c r="TWK10"/>
      <c r="TWL10"/>
      <c r="TWM10"/>
      <c r="TWN10"/>
      <c r="TWO10"/>
      <c r="TWP10"/>
      <c r="TWQ10"/>
      <c r="TWR10"/>
      <c r="TWS10"/>
      <c r="TWT10"/>
      <c r="TWU10"/>
      <c r="TWV10"/>
      <c r="TWW10"/>
      <c r="TWX10"/>
      <c r="TWY10"/>
      <c r="TWZ10"/>
      <c r="TXA10"/>
      <c r="TXB10"/>
      <c r="TXC10"/>
      <c r="TXD10"/>
      <c r="TXE10"/>
      <c r="TXF10"/>
      <c r="TXG10"/>
      <c r="TXH10"/>
      <c r="TXI10"/>
      <c r="TXJ10"/>
      <c r="TXK10"/>
      <c r="TXL10"/>
      <c r="TXM10"/>
      <c r="TXN10"/>
      <c r="TXO10"/>
      <c r="TXP10"/>
      <c r="TXQ10"/>
      <c r="TXR10"/>
      <c r="TXS10"/>
      <c r="TXT10"/>
      <c r="TXU10"/>
      <c r="TXV10"/>
      <c r="TXW10"/>
      <c r="TXX10"/>
      <c r="TXY10"/>
      <c r="TXZ10"/>
      <c r="TYA10"/>
      <c r="TYB10"/>
      <c r="TYC10"/>
      <c r="TYD10"/>
      <c r="TYE10"/>
      <c r="TYF10"/>
      <c r="TYG10"/>
      <c r="TYH10"/>
      <c r="TYI10"/>
      <c r="TYJ10"/>
      <c r="TYK10"/>
      <c r="TYL10"/>
      <c r="TYM10"/>
      <c r="TYN10"/>
      <c r="TYO10"/>
      <c r="TYP10"/>
      <c r="TYQ10"/>
      <c r="TYR10"/>
      <c r="TYS10"/>
      <c r="TYT10"/>
      <c r="TYU10"/>
      <c r="TYV10"/>
      <c r="TYW10"/>
      <c r="TYX10"/>
      <c r="TYY10"/>
      <c r="TYZ10"/>
      <c r="TZA10"/>
      <c r="TZB10"/>
      <c r="TZC10"/>
      <c r="TZD10"/>
      <c r="TZE10"/>
      <c r="TZF10"/>
      <c r="TZG10"/>
      <c r="TZH10"/>
      <c r="TZI10"/>
      <c r="TZJ10"/>
      <c r="TZK10"/>
      <c r="TZL10"/>
      <c r="TZM10"/>
      <c r="TZN10"/>
      <c r="TZO10"/>
      <c r="TZP10"/>
      <c r="TZQ10"/>
      <c r="TZR10"/>
      <c r="TZS10"/>
      <c r="TZT10"/>
      <c r="TZU10"/>
      <c r="TZV10"/>
      <c r="TZW10"/>
      <c r="TZX10"/>
      <c r="TZY10"/>
      <c r="TZZ10"/>
      <c r="UAA10"/>
      <c r="UAB10"/>
      <c r="UAC10"/>
      <c r="UAD10"/>
      <c r="UAE10"/>
      <c r="UAF10"/>
      <c r="UAG10"/>
      <c r="UAH10"/>
      <c r="UAI10"/>
      <c r="UAJ10"/>
      <c r="UAK10"/>
      <c r="UAL10"/>
      <c r="UAM10"/>
      <c r="UAN10"/>
      <c r="UAO10"/>
      <c r="UAP10"/>
      <c r="UAQ10"/>
      <c r="UAR10"/>
      <c r="UAS10"/>
      <c r="UAT10"/>
      <c r="UAU10"/>
      <c r="UAV10"/>
      <c r="UAW10"/>
      <c r="UAX10"/>
      <c r="UAY10"/>
      <c r="UAZ10"/>
      <c r="UBA10"/>
      <c r="UBB10"/>
      <c r="UBC10"/>
      <c r="UBD10"/>
      <c r="UBE10"/>
      <c r="UBF10"/>
      <c r="UBG10"/>
      <c r="UBH10"/>
      <c r="UBI10"/>
      <c r="UBJ10"/>
      <c r="UBK10"/>
      <c r="UBL10"/>
      <c r="UBM10"/>
      <c r="UBN10"/>
      <c r="UBO10"/>
      <c r="UBP10"/>
      <c r="UBQ10"/>
      <c r="UBR10"/>
      <c r="UBS10"/>
      <c r="UBT10"/>
      <c r="UBU10"/>
      <c r="UBV10"/>
      <c r="UBW10"/>
      <c r="UBX10"/>
      <c r="UBY10"/>
      <c r="UBZ10"/>
      <c r="UCA10"/>
      <c r="UCB10"/>
      <c r="UCC10"/>
      <c r="UCD10"/>
      <c r="UCE10"/>
      <c r="UCF10"/>
      <c r="UCG10"/>
      <c r="UCH10"/>
      <c r="UCI10"/>
      <c r="UCJ10"/>
      <c r="UCK10"/>
      <c r="UCL10"/>
      <c r="UCM10"/>
      <c r="UCN10"/>
      <c r="UCO10"/>
      <c r="UCP10"/>
      <c r="UCQ10"/>
      <c r="UCR10"/>
      <c r="UCS10"/>
      <c r="UCT10"/>
      <c r="UCU10"/>
      <c r="UCV10"/>
      <c r="UCW10"/>
      <c r="UCX10"/>
      <c r="UCY10"/>
      <c r="UCZ10"/>
      <c r="UDA10"/>
      <c r="UDB10"/>
      <c r="UDC10"/>
      <c r="UDD10"/>
      <c r="UDE10"/>
      <c r="UDF10"/>
      <c r="UDG10"/>
      <c r="UDH10"/>
      <c r="UDI10"/>
      <c r="UDJ10"/>
      <c r="UDK10"/>
      <c r="UDL10"/>
      <c r="UDM10"/>
      <c r="UDN10"/>
      <c r="UDO10"/>
      <c r="UDP10"/>
      <c r="UDQ10"/>
      <c r="UDR10"/>
      <c r="UDS10"/>
      <c r="UDT10"/>
      <c r="UDU10"/>
      <c r="UDV10"/>
      <c r="UDW10"/>
      <c r="UDX10"/>
      <c r="UDY10"/>
      <c r="UDZ10"/>
      <c r="UEA10"/>
      <c r="UEB10"/>
      <c r="UEC10"/>
      <c r="UED10"/>
      <c r="UEE10"/>
      <c r="UEF10"/>
      <c r="UEG10"/>
      <c r="UEH10"/>
      <c r="UEI10"/>
      <c r="UEJ10"/>
      <c r="UEK10"/>
      <c r="UEL10"/>
      <c r="UEM10"/>
      <c r="UEN10"/>
      <c r="UEO10"/>
      <c r="UEP10"/>
      <c r="UEQ10"/>
      <c r="UER10"/>
      <c r="UES10"/>
      <c r="UET10"/>
      <c r="UEU10"/>
      <c r="UEV10"/>
      <c r="UEW10"/>
      <c r="UEX10"/>
      <c r="UEY10"/>
      <c r="UEZ10"/>
      <c r="UFA10"/>
      <c r="UFB10"/>
      <c r="UFC10"/>
      <c r="UFD10"/>
      <c r="UFE10"/>
      <c r="UFF10"/>
      <c r="UFG10"/>
      <c r="UFH10"/>
      <c r="UFI10"/>
      <c r="UFJ10"/>
      <c r="UFK10"/>
      <c r="UFL10"/>
      <c r="UFM10"/>
      <c r="UFN10"/>
      <c r="UFO10"/>
      <c r="UFP10"/>
      <c r="UFQ10"/>
      <c r="UFR10"/>
      <c r="UFS10"/>
      <c r="UFT10"/>
      <c r="UFU10"/>
      <c r="UFV10"/>
      <c r="UFW10"/>
      <c r="UFX10"/>
      <c r="UFY10"/>
      <c r="UFZ10"/>
      <c r="UGA10"/>
      <c r="UGB10"/>
      <c r="UGC10"/>
      <c r="UGD10"/>
      <c r="UGE10"/>
      <c r="UGF10"/>
      <c r="UGG10"/>
      <c r="UGH10"/>
      <c r="UGI10"/>
      <c r="UGJ10"/>
      <c r="UGK10"/>
      <c r="UGL10"/>
      <c r="UGM10"/>
      <c r="UGN10"/>
      <c r="UGO10"/>
      <c r="UGP10"/>
      <c r="UGQ10"/>
      <c r="UGR10"/>
      <c r="UGS10"/>
      <c r="UGT10"/>
      <c r="UGU10"/>
      <c r="UGV10"/>
      <c r="UGW10"/>
      <c r="UGX10"/>
      <c r="UGY10"/>
      <c r="UGZ10"/>
      <c r="UHA10"/>
      <c r="UHB10"/>
      <c r="UHC10"/>
      <c r="UHD10"/>
      <c r="UHE10"/>
      <c r="UHF10"/>
      <c r="UHG10"/>
      <c r="UHH10"/>
      <c r="UHI10"/>
      <c r="UHJ10"/>
      <c r="UHK10"/>
      <c r="UHL10"/>
      <c r="UHM10"/>
      <c r="UHN10"/>
      <c r="UHO10"/>
      <c r="UHP10"/>
      <c r="UHQ10"/>
      <c r="UHR10"/>
      <c r="UHS10"/>
      <c r="UHT10"/>
      <c r="UHU10"/>
      <c r="UHV10"/>
      <c r="UHW10"/>
      <c r="UHX10"/>
      <c r="UHY10"/>
      <c r="UHZ10"/>
      <c r="UIA10"/>
      <c r="UIB10"/>
      <c r="UIC10"/>
      <c r="UID10"/>
      <c r="UIE10"/>
      <c r="UIF10"/>
      <c r="UIG10"/>
      <c r="UIH10"/>
      <c r="UII10"/>
      <c r="UIJ10"/>
      <c r="UIK10"/>
      <c r="UIL10"/>
      <c r="UIM10"/>
      <c r="UIN10"/>
      <c r="UIO10"/>
      <c r="UIP10"/>
      <c r="UIQ10"/>
      <c r="UIR10"/>
      <c r="UIS10"/>
      <c r="UIT10"/>
      <c r="UIU10"/>
      <c r="UIV10"/>
      <c r="UIW10"/>
      <c r="UIX10"/>
      <c r="UIY10"/>
      <c r="UIZ10"/>
      <c r="UJA10"/>
      <c r="UJB10"/>
      <c r="UJC10"/>
      <c r="UJD10"/>
      <c r="UJE10"/>
      <c r="UJF10"/>
      <c r="UJG10"/>
      <c r="UJH10"/>
      <c r="UJI10"/>
      <c r="UJJ10"/>
      <c r="UJK10"/>
      <c r="UJL10"/>
      <c r="UJM10"/>
      <c r="UJN10"/>
      <c r="UJO10"/>
      <c r="UJP10"/>
      <c r="UJQ10"/>
      <c r="UJR10"/>
      <c r="UJS10"/>
      <c r="UJT10"/>
      <c r="UJU10"/>
      <c r="UJV10"/>
      <c r="UJW10"/>
      <c r="UJX10"/>
      <c r="UJY10"/>
      <c r="UJZ10"/>
      <c r="UKA10"/>
      <c r="UKB10"/>
      <c r="UKC10"/>
      <c r="UKD10"/>
      <c r="UKE10"/>
      <c r="UKF10"/>
      <c r="UKG10"/>
      <c r="UKH10"/>
      <c r="UKI10"/>
      <c r="UKJ10"/>
      <c r="UKK10"/>
      <c r="UKL10"/>
      <c r="UKM10"/>
      <c r="UKN10"/>
      <c r="UKO10"/>
      <c r="UKP10"/>
      <c r="UKQ10"/>
      <c r="UKR10"/>
      <c r="UKS10"/>
      <c r="UKT10"/>
      <c r="UKU10"/>
      <c r="UKV10"/>
      <c r="UKW10"/>
      <c r="UKX10"/>
      <c r="UKY10"/>
      <c r="UKZ10"/>
      <c r="ULA10"/>
      <c r="ULB10"/>
      <c r="ULC10"/>
      <c r="ULD10"/>
      <c r="ULE10"/>
      <c r="ULF10"/>
      <c r="ULG10"/>
      <c r="ULH10"/>
      <c r="ULI10"/>
      <c r="ULJ10"/>
      <c r="ULK10"/>
      <c r="ULL10"/>
      <c r="ULM10"/>
      <c r="ULN10"/>
      <c r="ULO10"/>
      <c r="ULP10"/>
      <c r="ULQ10"/>
      <c r="ULR10"/>
      <c r="ULS10"/>
      <c r="ULT10"/>
      <c r="ULU10"/>
      <c r="ULV10"/>
      <c r="ULW10"/>
      <c r="ULX10"/>
      <c r="ULY10"/>
      <c r="ULZ10"/>
      <c r="UMA10"/>
      <c r="UMB10"/>
      <c r="UMC10"/>
      <c r="UMD10"/>
      <c r="UME10"/>
      <c r="UMF10"/>
      <c r="UMG10"/>
      <c r="UMH10"/>
      <c r="UMI10"/>
      <c r="UMJ10"/>
      <c r="UMK10"/>
      <c r="UML10"/>
      <c r="UMM10"/>
      <c r="UMN10"/>
      <c r="UMO10"/>
      <c r="UMP10"/>
      <c r="UMQ10"/>
      <c r="UMR10"/>
      <c r="UMS10"/>
      <c r="UMT10"/>
      <c r="UMU10"/>
      <c r="UMV10"/>
      <c r="UMW10"/>
      <c r="UMX10"/>
      <c r="UMY10"/>
      <c r="UMZ10"/>
      <c r="UNA10"/>
      <c r="UNB10"/>
      <c r="UNC10"/>
      <c r="UND10"/>
      <c r="UNE10"/>
      <c r="UNF10"/>
      <c r="UNG10"/>
      <c r="UNH10"/>
      <c r="UNI10"/>
      <c r="UNJ10"/>
      <c r="UNK10"/>
      <c r="UNL10"/>
      <c r="UNM10"/>
      <c r="UNN10"/>
      <c r="UNO10"/>
      <c r="UNP10"/>
      <c r="UNQ10"/>
      <c r="UNR10"/>
      <c r="UNS10"/>
      <c r="UNT10"/>
      <c r="UNU10"/>
      <c r="UNV10"/>
      <c r="UNW10"/>
      <c r="UNX10"/>
      <c r="UNY10"/>
      <c r="UNZ10"/>
      <c r="UOA10"/>
      <c r="UOB10"/>
      <c r="UOC10"/>
      <c r="UOD10"/>
      <c r="UOE10"/>
      <c r="UOF10"/>
      <c r="UOG10"/>
      <c r="UOH10"/>
      <c r="UOI10"/>
      <c r="UOJ10"/>
      <c r="UOK10"/>
      <c r="UOL10"/>
      <c r="UOM10"/>
      <c r="UON10"/>
      <c r="UOO10"/>
      <c r="UOP10"/>
      <c r="UOQ10"/>
      <c r="UOR10"/>
      <c r="UOS10"/>
      <c r="UOT10"/>
      <c r="UOU10"/>
      <c r="UOV10"/>
      <c r="UOW10"/>
      <c r="UOX10"/>
      <c r="UOY10"/>
      <c r="UOZ10"/>
      <c r="UPA10"/>
      <c r="UPB10"/>
      <c r="UPC10"/>
      <c r="UPD10"/>
      <c r="UPE10"/>
      <c r="UPF10"/>
      <c r="UPG10"/>
      <c r="UPH10"/>
      <c r="UPI10"/>
      <c r="UPJ10"/>
      <c r="UPK10"/>
      <c r="UPL10"/>
      <c r="UPM10"/>
      <c r="UPN10"/>
      <c r="UPO10"/>
      <c r="UPP10"/>
      <c r="UPQ10"/>
      <c r="UPR10"/>
      <c r="UPS10"/>
      <c r="UPT10"/>
      <c r="UPU10"/>
      <c r="UPV10"/>
      <c r="UPW10"/>
      <c r="UPX10"/>
      <c r="UPY10"/>
      <c r="UPZ10"/>
      <c r="UQA10"/>
      <c r="UQB10"/>
      <c r="UQC10"/>
      <c r="UQD10"/>
      <c r="UQE10"/>
      <c r="UQF10"/>
      <c r="UQG10"/>
      <c r="UQH10"/>
      <c r="UQI10"/>
      <c r="UQJ10"/>
      <c r="UQK10"/>
      <c r="UQL10"/>
      <c r="UQM10"/>
      <c r="UQN10"/>
      <c r="UQO10"/>
      <c r="UQP10"/>
      <c r="UQQ10"/>
      <c r="UQR10"/>
      <c r="UQS10"/>
      <c r="UQT10"/>
      <c r="UQU10"/>
      <c r="UQV10"/>
      <c r="UQW10"/>
      <c r="UQX10"/>
      <c r="UQY10"/>
      <c r="UQZ10"/>
      <c r="URA10"/>
      <c r="URB10"/>
      <c r="URC10"/>
      <c r="URD10"/>
      <c r="URE10"/>
      <c r="URF10"/>
      <c r="URG10"/>
      <c r="URH10"/>
      <c r="URI10"/>
      <c r="URJ10"/>
      <c r="URK10"/>
      <c r="URL10"/>
      <c r="URM10"/>
      <c r="URN10"/>
      <c r="URO10"/>
      <c r="URP10"/>
      <c r="URQ10"/>
      <c r="URR10"/>
      <c r="URS10"/>
      <c r="URT10"/>
      <c r="URU10"/>
      <c r="URV10"/>
      <c r="URW10"/>
      <c r="URX10"/>
      <c r="URY10"/>
      <c r="URZ10"/>
      <c r="USA10"/>
      <c r="USB10"/>
      <c r="USC10"/>
      <c r="USD10"/>
      <c r="USE10"/>
      <c r="USF10"/>
      <c r="USG10"/>
      <c r="USH10"/>
      <c r="USI10"/>
      <c r="USJ10"/>
      <c r="USK10"/>
      <c r="USL10"/>
      <c r="USM10"/>
      <c r="USN10"/>
      <c r="USO10"/>
      <c r="USP10"/>
      <c r="USQ10"/>
      <c r="USR10"/>
      <c r="USS10"/>
      <c r="UST10"/>
      <c r="USU10"/>
      <c r="USV10"/>
      <c r="USW10"/>
      <c r="USX10"/>
      <c r="USY10"/>
      <c r="USZ10"/>
      <c r="UTA10"/>
      <c r="UTB10"/>
      <c r="UTC10"/>
      <c r="UTD10"/>
      <c r="UTE10"/>
      <c r="UTF10"/>
      <c r="UTG10"/>
      <c r="UTH10"/>
      <c r="UTI10"/>
      <c r="UTJ10"/>
      <c r="UTK10"/>
      <c r="UTL10"/>
      <c r="UTM10"/>
      <c r="UTN10"/>
      <c r="UTO10"/>
      <c r="UTP10"/>
      <c r="UTQ10"/>
      <c r="UTR10"/>
      <c r="UTS10"/>
      <c r="UTT10"/>
      <c r="UTU10"/>
      <c r="UTV10"/>
      <c r="UTW10"/>
      <c r="UTX10"/>
      <c r="UTY10"/>
      <c r="UTZ10"/>
      <c r="UUA10"/>
      <c r="UUB10"/>
      <c r="UUC10"/>
      <c r="UUD10"/>
      <c r="UUE10"/>
      <c r="UUF10"/>
      <c r="UUG10"/>
      <c r="UUH10"/>
      <c r="UUI10"/>
      <c r="UUJ10"/>
      <c r="UUK10"/>
      <c r="UUL10"/>
      <c r="UUM10"/>
      <c r="UUN10"/>
      <c r="UUO10"/>
      <c r="UUP10"/>
      <c r="UUQ10"/>
      <c r="UUR10"/>
      <c r="UUS10"/>
      <c r="UUT10"/>
      <c r="UUU10"/>
      <c r="UUV10"/>
      <c r="UUW10"/>
      <c r="UUX10"/>
      <c r="UUY10"/>
      <c r="UUZ10"/>
      <c r="UVA10"/>
      <c r="UVB10"/>
      <c r="UVC10"/>
      <c r="UVD10"/>
      <c r="UVE10"/>
      <c r="UVF10"/>
      <c r="UVG10"/>
      <c r="UVH10"/>
      <c r="UVI10"/>
      <c r="UVJ10"/>
      <c r="UVK10"/>
      <c r="UVL10"/>
      <c r="UVM10"/>
      <c r="UVN10"/>
      <c r="UVO10"/>
      <c r="UVP10"/>
      <c r="UVQ10"/>
      <c r="UVR10"/>
      <c r="UVS10"/>
      <c r="UVT10"/>
      <c r="UVU10"/>
      <c r="UVV10"/>
      <c r="UVW10"/>
      <c r="UVX10"/>
      <c r="UVY10"/>
      <c r="UVZ10"/>
      <c r="UWA10"/>
      <c r="UWB10"/>
      <c r="UWC10"/>
      <c r="UWD10"/>
      <c r="UWE10"/>
      <c r="UWF10"/>
      <c r="UWG10"/>
      <c r="UWH10"/>
      <c r="UWI10"/>
      <c r="UWJ10"/>
      <c r="UWK10"/>
      <c r="UWL10"/>
      <c r="UWM10"/>
      <c r="UWN10"/>
      <c r="UWO10"/>
      <c r="UWP10"/>
      <c r="UWQ10"/>
      <c r="UWR10"/>
      <c r="UWS10"/>
      <c r="UWT10"/>
      <c r="UWU10"/>
      <c r="UWV10"/>
      <c r="UWW10"/>
      <c r="UWX10"/>
      <c r="UWY10"/>
      <c r="UWZ10"/>
      <c r="UXA10"/>
      <c r="UXB10"/>
      <c r="UXC10"/>
      <c r="UXD10"/>
      <c r="UXE10"/>
      <c r="UXF10"/>
      <c r="UXG10"/>
      <c r="UXH10"/>
      <c r="UXI10"/>
      <c r="UXJ10"/>
      <c r="UXK10"/>
      <c r="UXL10"/>
      <c r="UXM10"/>
      <c r="UXN10"/>
      <c r="UXO10"/>
      <c r="UXP10"/>
      <c r="UXQ10"/>
      <c r="UXR10"/>
      <c r="UXS10"/>
      <c r="UXT10"/>
      <c r="UXU10"/>
      <c r="UXV10"/>
      <c r="UXW10"/>
      <c r="UXX10"/>
      <c r="UXY10"/>
      <c r="UXZ10"/>
      <c r="UYA10"/>
      <c r="UYB10"/>
      <c r="UYC10"/>
      <c r="UYD10"/>
      <c r="UYE10"/>
      <c r="UYF10"/>
      <c r="UYG10"/>
      <c r="UYH10"/>
      <c r="UYI10"/>
      <c r="UYJ10"/>
      <c r="UYK10"/>
      <c r="UYL10"/>
      <c r="UYM10"/>
      <c r="UYN10"/>
      <c r="UYO10"/>
      <c r="UYP10"/>
      <c r="UYQ10"/>
      <c r="UYR10"/>
      <c r="UYS10"/>
      <c r="UYT10"/>
      <c r="UYU10"/>
      <c r="UYV10"/>
      <c r="UYW10"/>
      <c r="UYX10"/>
      <c r="UYY10"/>
      <c r="UYZ10"/>
      <c r="UZA10"/>
      <c r="UZB10"/>
      <c r="UZC10"/>
      <c r="UZD10"/>
      <c r="UZE10"/>
      <c r="UZF10"/>
      <c r="UZG10"/>
      <c r="UZH10"/>
      <c r="UZI10"/>
      <c r="UZJ10"/>
      <c r="UZK10"/>
      <c r="UZL10"/>
      <c r="UZM10"/>
      <c r="UZN10"/>
      <c r="UZO10"/>
      <c r="UZP10"/>
      <c r="UZQ10"/>
      <c r="UZR10"/>
      <c r="UZS10"/>
      <c r="UZT10"/>
      <c r="UZU10"/>
      <c r="UZV10"/>
      <c r="UZW10"/>
      <c r="UZX10"/>
      <c r="UZY10"/>
      <c r="UZZ10"/>
      <c r="VAA10"/>
      <c r="VAB10"/>
      <c r="VAC10"/>
      <c r="VAD10"/>
      <c r="VAE10"/>
      <c r="VAF10"/>
      <c r="VAG10"/>
      <c r="VAH10"/>
      <c r="VAI10"/>
      <c r="VAJ10"/>
      <c r="VAK10"/>
      <c r="VAL10"/>
      <c r="VAM10"/>
      <c r="VAN10"/>
      <c r="VAO10"/>
      <c r="VAP10"/>
      <c r="VAQ10"/>
      <c r="VAR10"/>
      <c r="VAS10"/>
      <c r="VAT10"/>
      <c r="VAU10"/>
      <c r="VAV10"/>
      <c r="VAW10"/>
      <c r="VAX10"/>
      <c r="VAY10"/>
      <c r="VAZ10"/>
      <c r="VBA10"/>
      <c r="VBB10"/>
      <c r="VBC10"/>
      <c r="VBD10"/>
      <c r="VBE10"/>
      <c r="VBF10"/>
      <c r="VBG10"/>
      <c r="VBH10"/>
      <c r="VBI10"/>
      <c r="VBJ10"/>
      <c r="VBK10"/>
      <c r="VBL10"/>
      <c r="VBM10"/>
      <c r="VBN10"/>
      <c r="VBO10"/>
      <c r="VBP10"/>
      <c r="VBQ10"/>
      <c r="VBR10"/>
      <c r="VBS10"/>
      <c r="VBT10"/>
      <c r="VBU10"/>
      <c r="VBV10"/>
      <c r="VBW10"/>
      <c r="VBX10"/>
      <c r="VBY10"/>
      <c r="VBZ10"/>
      <c r="VCA10"/>
      <c r="VCB10"/>
      <c r="VCC10"/>
      <c r="VCD10"/>
      <c r="VCE10"/>
      <c r="VCF10"/>
      <c r="VCG10"/>
      <c r="VCH10"/>
      <c r="VCI10"/>
      <c r="VCJ10"/>
      <c r="VCK10"/>
      <c r="VCL10"/>
      <c r="VCM10"/>
      <c r="VCN10"/>
      <c r="VCO10"/>
      <c r="VCP10"/>
      <c r="VCQ10"/>
      <c r="VCR10"/>
      <c r="VCS10"/>
      <c r="VCT10"/>
      <c r="VCU10"/>
      <c r="VCV10"/>
      <c r="VCW10"/>
      <c r="VCX10"/>
      <c r="VCY10"/>
      <c r="VCZ10"/>
      <c r="VDA10"/>
      <c r="VDB10"/>
      <c r="VDC10"/>
      <c r="VDD10"/>
      <c r="VDE10"/>
      <c r="VDF10"/>
      <c r="VDG10"/>
      <c r="VDH10"/>
      <c r="VDI10"/>
      <c r="VDJ10"/>
      <c r="VDK10"/>
      <c r="VDL10"/>
      <c r="VDM10"/>
      <c r="VDN10"/>
      <c r="VDO10"/>
      <c r="VDP10"/>
      <c r="VDQ10"/>
      <c r="VDR10"/>
      <c r="VDS10"/>
      <c r="VDT10"/>
      <c r="VDU10"/>
      <c r="VDV10"/>
      <c r="VDW10"/>
      <c r="VDX10"/>
      <c r="VDY10"/>
      <c r="VDZ10"/>
      <c r="VEA10"/>
      <c r="VEB10"/>
      <c r="VEC10"/>
      <c r="VED10"/>
      <c r="VEE10"/>
      <c r="VEF10"/>
      <c r="VEG10"/>
      <c r="VEH10"/>
      <c r="VEI10"/>
      <c r="VEJ10"/>
      <c r="VEK10"/>
      <c r="VEL10"/>
      <c r="VEM10"/>
      <c r="VEN10"/>
      <c r="VEO10"/>
      <c r="VEP10"/>
      <c r="VEQ10"/>
      <c r="VER10"/>
      <c r="VES10"/>
      <c r="VET10"/>
      <c r="VEU10"/>
      <c r="VEV10"/>
      <c r="VEW10"/>
      <c r="VEX10"/>
      <c r="VEY10"/>
      <c r="VEZ10"/>
      <c r="VFA10"/>
      <c r="VFB10"/>
      <c r="VFC10"/>
      <c r="VFD10"/>
      <c r="VFE10"/>
      <c r="VFF10"/>
      <c r="VFG10"/>
      <c r="VFH10"/>
      <c r="VFI10"/>
      <c r="VFJ10"/>
      <c r="VFK10"/>
      <c r="VFL10"/>
      <c r="VFM10"/>
      <c r="VFN10"/>
      <c r="VFO10"/>
      <c r="VFP10"/>
      <c r="VFQ10"/>
      <c r="VFR10"/>
      <c r="VFS10"/>
      <c r="VFT10"/>
      <c r="VFU10"/>
      <c r="VFV10"/>
      <c r="VFW10"/>
      <c r="VFX10"/>
      <c r="VFY10"/>
      <c r="VFZ10"/>
      <c r="VGA10"/>
      <c r="VGB10"/>
      <c r="VGC10"/>
      <c r="VGD10"/>
      <c r="VGE10"/>
      <c r="VGF10"/>
      <c r="VGG10"/>
      <c r="VGH10"/>
      <c r="VGI10"/>
      <c r="VGJ10"/>
      <c r="VGK10"/>
      <c r="VGL10"/>
      <c r="VGM10"/>
      <c r="VGN10"/>
      <c r="VGO10"/>
      <c r="VGP10"/>
      <c r="VGQ10"/>
      <c r="VGR10"/>
      <c r="VGS10"/>
      <c r="VGT10"/>
      <c r="VGU10"/>
      <c r="VGV10"/>
      <c r="VGW10"/>
      <c r="VGX10"/>
      <c r="VGY10"/>
      <c r="VGZ10"/>
      <c r="VHA10"/>
      <c r="VHB10"/>
      <c r="VHC10"/>
      <c r="VHD10"/>
      <c r="VHE10"/>
      <c r="VHF10"/>
      <c r="VHG10"/>
      <c r="VHH10"/>
      <c r="VHI10"/>
      <c r="VHJ10"/>
      <c r="VHK10"/>
      <c r="VHL10"/>
      <c r="VHM10"/>
      <c r="VHN10"/>
      <c r="VHO10"/>
      <c r="VHP10"/>
      <c r="VHQ10"/>
      <c r="VHR10"/>
      <c r="VHS10"/>
      <c r="VHT10"/>
      <c r="VHU10"/>
      <c r="VHV10"/>
      <c r="VHW10"/>
      <c r="VHX10"/>
      <c r="VHY10"/>
      <c r="VHZ10"/>
      <c r="VIA10"/>
      <c r="VIB10"/>
      <c r="VIC10"/>
      <c r="VID10"/>
      <c r="VIE10"/>
      <c r="VIF10"/>
      <c r="VIG10"/>
      <c r="VIH10"/>
      <c r="VII10"/>
      <c r="VIJ10"/>
      <c r="VIK10"/>
      <c r="VIL10"/>
      <c r="VIM10"/>
      <c r="VIN10"/>
      <c r="VIO10"/>
      <c r="VIP10"/>
      <c r="VIQ10"/>
      <c r="VIR10"/>
      <c r="VIS10"/>
      <c r="VIT10"/>
      <c r="VIU10"/>
      <c r="VIV10"/>
      <c r="VIW10"/>
      <c r="VIX10"/>
      <c r="VIY10"/>
      <c r="VIZ10"/>
      <c r="VJA10"/>
      <c r="VJB10"/>
      <c r="VJC10"/>
      <c r="VJD10"/>
      <c r="VJE10"/>
      <c r="VJF10"/>
      <c r="VJG10"/>
      <c r="VJH10"/>
      <c r="VJI10"/>
      <c r="VJJ10"/>
      <c r="VJK10"/>
      <c r="VJL10"/>
      <c r="VJM10"/>
      <c r="VJN10"/>
      <c r="VJO10"/>
      <c r="VJP10"/>
      <c r="VJQ10"/>
      <c r="VJR10"/>
      <c r="VJS10"/>
      <c r="VJT10"/>
      <c r="VJU10"/>
      <c r="VJV10"/>
      <c r="VJW10"/>
      <c r="VJX10"/>
      <c r="VJY10"/>
      <c r="VJZ10"/>
      <c r="VKA10"/>
      <c r="VKB10"/>
      <c r="VKC10"/>
      <c r="VKD10"/>
      <c r="VKE10"/>
      <c r="VKF10"/>
      <c r="VKG10"/>
      <c r="VKH10"/>
      <c r="VKI10"/>
      <c r="VKJ10"/>
      <c r="VKK10"/>
      <c r="VKL10"/>
      <c r="VKM10"/>
      <c r="VKN10"/>
      <c r="VKO10"/>
      <c r="VKP10"/>
      <c r="VKQ10"/>
      <c r="VKR10"/>
      <c r="VKS10"/>
      <c r="VKT10"/>
      <c r="VKU10"/>
      <c r="VKV10"/>
      <c r="VKW10"/>
      <c r="VKX10"/>
      <c r="VKY10"/>
      <c r="VKZ10"/>
      <c r="VLA10"/>
      <c r="VLB10"/>
      <c r="VLC10"/>
      <c r="VLD10"/>
      <c r="VLE10"/>
      <c r="VLF10"/>
      <c r="VLG10"/>
      <c r="VLH10"/>
      <c r="VLI10"/>
      <c r="VLJ10"/>
      <c r="VLK10"/>
      <c r="VLL10"/>
      <c r="VLM10"/>
      <c r="VLN10"/>
      <c r="VLO10"/>
      <c r="VLP10"/>
      <c r="VLQ10"/>
      <c r="VLR10"/>
      <c r="VLS10"/>
      <c r="VLT10"/>
      <c r="VLU10"/>
      <c r="VLV10"/>
      <c r="VLW10"/>
      <c r="VLX10"/>
      <c r="VLY10"/>
      <c r="VLZ10"/>
      <c r="VMA10"/>
      <c r="VMB10"/>
      <c r="VMC10"/>
      <c r="VMD10"/>
      <c r="VME10"/>
      <c r="VMF10"/>
      <c r="VMG10"/>
      <c r="VMH10"/>
      <c r="VMI10"/>
      <c r="VMJ10"/>
      <c r="VMK10"/>
      <c r="VML10"/>
      <c r="VMM10"/>
      <c r="VMN10"/>
      <c r="VMO10"/>
      <c r="VMP10"/>
      <c r="VMQ10"/>
      <c r="VMR10"/>
      <c r="VMS10"/>
      <c r="VMT10"/>
      <c r="VMU10"/>
      <c r="VMV10"/>
      <c r="VMW10"/>
      <c r="VMX10"/>
      <c r="VMY10"/>
      <c r="VMZ10"/>
      <c r="VNA10"/>
      <c r="VNB10"/>
      <c r="VNC10"/>
      <c r="VND10"/>
      <c r="VNE10"/>
      <c r="VNF10"/>
      <c r="VNG10"/>
      <c r="VNH10"/>
      <c r="VNI10"/>
      <c r="VNJ10"/>
      <c r="VNK10"/>
      <c r="VNL10"/>
      <c r="VNM10"/>
      <c r="VNN10"/>
      <c r="VNO10"/>
      <c r="VNP10"/>
      <c r="VNQ10"/>
      <c r="VNR10"/>
      <c r="VNS10"/>
      <c r="VNT10"/>
      <c r="VNU10"/>
      <c r="VNV10"/>
      <c r="VNW10"/>
      <c r="VNX10"/>
      <c r="VNY10"/>
      <c r="VNZ10"/>
      <c r="VOA10"/>
      <c r="VOB10"/>
      <c r="VOC10"/>
      <c r="VOD10"/>
      <c r="VOE10"/>
      <c r="VOF10"/>
      <c r="VOG10"/>
      <c r="VOH10"/>
      <c r="VOI10"/>
      <c r="VOJ10"/>
      <c r="VOK10"/>
      <c r="VOL10"/>
      <c r="VOM10"/>
      <c r="VON10"/>
      <c r="VOO10"/>
      <c r="VOP10"/>
      <c r="VOQ10"/>
      <c r="VOR10"/>
      <c r="VOS10"/>
      <c r="VOT10"/>
      <c r="VOU10"/>
      <c r="VOV10"/>
      <c r="VOW10"/>
      <c r="VOX10"/>
      <c r="VOY10"/>
      <c r="VOZ10"/>
      <c r="VPA10"/>
      <c r="VPB10"/>
      <c r="VPC10"/>
      <c r="VPD10"/>
      <c r="VPE10"/>
      <c r="VPF10"/>
      <c r="VPG10"/>
      <c r="VPH10"/>
      <c r="VPI10"/>
      <c r="VPJ10"/>
      <c r="VPK10"/>
      <c r="VPL10"/>
      <c r="VPM10"/>
      <c r="VPN10"/>
      <c r="VPO10"/>
      <c r="VPP10"/>
      <c r="VPQ10"/>
      <c r="VPR10"/>
      <c r="VPS10"/>
      <c r="VPT10"/>
      <c r="VPU10"/>
      <c r="VPV10"/>
      <c r="VPW10"/>
      <c r="VPX10"/>
      <c r="VPY10"/>
      <c r="VPZ10"/>
      <c r="VQA10"/>
      <c r="VQB10"/>
      <c r="VQC10"/>
      <c r="VQD10"/>
      <c r="VQE10"/>
      <c r="VQF10"/>
      <c r="VQG10"/>
      <c r="VQH10"/>
      <c r="VQI10"/>
      <c r="VQJ10"/>
      <c r="VQK10"/>
      <c r="VQL10"/>
      <c r="VQM10"/>
      <c r="VQN10"/>
      <c r="VQO10"/>
      <c r="VQP10"/>
      <c r="VQQ10"/>
      <c r="VQR10"/>
      <c r="VQS10"/>
      <c r="VQT10"/>
      <c r="VQU10"/>
      <c r="VQV10"/>
      <c r="VQW10"/>
      <c r="VQX10"/>
      <c r="VQY10"/>
      <c r="VQZ10"/>
      <c r="VRA10"/>
      <c r="VRB10"/>
      <c r="VRC10"/>
      <c r="VRD10"/>
      <c r="VRE10"/>
      <c r="VRF10"/>
      <c r="VRG10"/>
      <c r="VRH10"/>
      <c r="VRI10"/>
      <c r="VRJ10"/>
      <c r="VRK10"/>
      <c r="VRL10"/>
      <c r="VRM10"/>
      <c r="VRN10"/>
      <c r="VRO10"/>
      <c r="VRP10"/>
      <c r="VRQ10"/>
      <c r="VRR10"/>
      <c r="VRS10"/>
      <c r="VRT10"/>
      <c r="VRU10"/>
      <c r="VRV10"/>
      <c r="VRW10"/>
      <c r="VRX10"/>
      <c r="VRY10"/>
      <c r="VRZ10"/>
      <c r="VSA10"/>
      <c r="VSB10"/>
      <c r="VSC10"/>
      <c r="VSD10"/>
      <c r="VSE10"/>
      <c r="VSF10"/>
      <c r="VSG10"/>
      <c r="VSH10"/>
      <c r="VSI10"/>
      <c r="VSJ10"/>
      <c r="VSK10"/>
      <c r="VSL10"/>
      <c r="VSM10"/>
      <c r="VSN10"/>
      <c r="VSO10"/>
      <c r="VSP10"/>
      <c r="VSQ10"/>
      <c r="VSR10"/>
      <c r="VSS10"/>
      <c r="VST10"/>
      <c r="VSU10"/>
      <c r="VSV10"/>
      <c r="VSW10"/>
      <c r="VSX10"/>
      <c r="VSY10"/>
      <c r="VSZ10"/>
      <c r="VTA10"/>
      <c r="VTB10"/>
      <c r="VTC10"/>
      <c r="VTD10"/>
      <c r="VTE10"/>
      <c r="VTF10"/>
      <c r="VTG10"/>
      <c r="VTH10"/>
      <c r="VTI10"/>
      <c r="VTJ10"/>
      <c r="VTK10"/>
      <c r="VTL10"/>
      <c r="VTM10"/>
      <c r="VTN10"/>
      <c r="VTO10"/>
      <c r="VTP10"/>
      <c r="VTQ10"/>
      <c r="VTR10"/>
      <c r="VTS10"/>
      <c r="VTT10"/>
      <c r="VTU10"/>
      <c r="VTV10"/>
      <c r="VTW10"/>
      <c r="VTX10"/>
      <c r="VTY10"/>
      <c r="VTZ10"/>
      <c r="VUA10"/>
      <c r="VUB10"/>
      <c r="VUC10"/>
      <c r="VUD10"/>
      <c r="VUE10"/>
      <c r="VUF10"/>
      <c r="VUG10"/>
      <c r="VUH10"/>
      <c r="VUI10"/>
      <c r="VUJ10"/>
      <c r="VUK10"/>
      <c r="VUL10"/>
      <c r="VUM10"/>
      <c r="VUN10"/>
      <c r="VUO10"/>
      <c r="VUP10"/>
      <c r="VUQ10"/>
      <c r="VUR10"/>
      <c r="VUS10"/>
      <c r="VUT10"/>
      <c r="VUU10"/>
      <c r="VUV10"/>
      <c r="VUW10"/>
      <c r="VUX10"/>
      <c r="VUY10"/>
      <c r="VUZ10"/>
      <c r="VVA10"/>
      <c r="VVB10"/>
      <c r="VVC10"/>
      <c r="VVD10"/>
      <c r="VVE10"/>
      <c r="VVF10"/>
      <c r="VVG10"/>
      <c r="VVH10"/>
      <c r="VVI10"/>
      <c r="VVJ10"/>
      <c r="VVK10"/>
      <c r="VVL10"/>
      <c r="VVM10"/>
      <c r="VVN10"/>
      <c r="VVO10"/>
      <c r="VVP10"/>
      <c r="VVQ10"/>
      <c r="VVR10"/>
      <c r="VVS10"/>
      <c r="VVT10"/>
      <c r="VVU10"/>
      <c r="VVV10"/>
      <c r="VVW10"/>
      <c r="VVX10"/>
      <c r="VVY10"/>
      <c r="VVZ10"/>
      <c r="VWA10"/>
      <c r="VWB10"/>
      <c r="VWC10"/>
      <c r="VWD10"/>
      <c r="VWE10"/>
      <c r="VWF10"/>
      <c r="VWG10"/>
      <c r="VWH10"/>
      <c r="VWI10"/>
      <c r="VWJ10"/>
      <c r="VWK10"/>
      <c r="VWL10"/>
      <c r="VWM10"/>
      <c r="VWN10"/>
      <c r="VWO10"/>
      <c r="VWP10"/>
      <c r="VWQ10"/>
      <c r="VWR10"/>
      <c r="VWS10"/>
      <c r="VWT10"/>
      <c r="VWU10"/>
      <c r="VWV10"/>
      <c r="VWW10"/>
      <c r="VWX10"/>
      <c r="VWY10"/>
      <c r="VWZ10"/>
      <c r="VXA10"/>
      <c r="VXB10"/>
      <c r="VXC10"/>
      <c r="VXD10"/>
      <c r="VXE10"/>
      <c r="VXF10"/>
      <c r="VXG10"/>
      <c r="VXH10"/>
      <c r="VXI10"/>
      <c r="VXJ10"/>
      <c r="VXK10"/>
      <c r="VXL10"/>
      <c r="VXM10"/>
      <c r="VXN10"/>
      <c r="VXO10"/>
      <c r="VXP10"/>
      <c r="VXQ10"/>
      <c r="VXR10"/>
      <c r="VXS10"/>
      <c r="VXT10"/>
      <c r="VXU10"/>
      <c r="VXV10"/>
      <c r="VXW10"/>
      <c r="VXX10"/>
      <c r="VXY10"/>
      <c r="VXZ10"/>
      <c r="VYA10"/>
      <c r="VYB10"/>
      <c r="VYC10"/>
      <c r="VYD10"/>
      <c r="VYE10"/>
      <c r="VYF10"/>
      <c r="VYG10"/>
      <c r="VYH10"/>
      <c r="VYI10"/>
      <c r="VYJ10"/>
      <c r="VYK10"/>
      <c r="VYL10"/>
      <c r="VYM10"/>
      <c r="VYN10"/>
      <c r="VYO10"/>
      <c r="VYP10"/>
      <c r="VYQ10"/>
      <c r="VYR10"/>
      <c r="VYS10"/>
      <c r="VYT10"/>
      <c r="VYU10"/>
      <c r="VYV10"/>
      <c r="VYW10"/>
      <c r="VYX10"/>
      <c r="VYY10"/>
      <c r="VYZ10"/>
      <c r="VZA10"/>
      <c r="VZB10"/>
      <c r="VZC10"/>
      <c r="VZD10"/>
      <c r="VZE10"/>
      <c r="VZF10"/>
      <c r="VZG10"/>
      <c r="VZH10"/>
      <c r="VZI10"/>
      <c r="VZJ10"/>
      <c r="VZK10"/>
      <c r="VZL10"/>
      <c r="VZM10"/>
      <c r="VZN10"/>
      <c r="VZO10"/>
      <c r="VZP10"/>
      <c r="VZQ10"/>
      <c r="VZR10"/>
      <c r="VZS10"/>
      <c r="VZT10"/>
      <c r="VZU10"/>
      <c r="VZV10"/>
      <c r="VZW10"/>
      <c r="VZX10"/>
      <c r="VZY10"/>
      <c r="VZZ10"/>
      <c r="WAA10"/>
      <c r="WAB10"/>
      <c r="WAC10"/>
      <c r="WAD10"/>
      <c r="WAE10"/>
      <c r="WAF10"/>
      <c r="WAG10"/>
      <c r="WAH10"/>
      <c r="WAI10"/>
      <c r="WAJ10"/>
      <c r="WAK10"/>
      <c r="WAL10"/>
      <c r="WAM10"/>
      <c r="WAN10"/>
      <c r="WAO10"/>
      <c r="WAP10"/>
      <c r="WAQ10"/>
      <c r="WAR10"/>
      <c r="WAS10"/>
      <c r="WAT10"/>
      <c r="WAU10"/>
      <c r="WAV10"/>
      <c r="WAW10"/>
      <c r="WAX10"/>
      <c r="WAY10"/>
      <c r="WAZ10"/>
      <c r="WBA10"/>
      <c r="WBB10"/>
      <c r="WBC10"/>
      <c r="WBD10"/>
      <c r="WBE10"/>
      <c r="WBF10"/>
      <c r="WBG10"/>
      <c r="WBH10"/>
      <c r="WBI10"/>
      <c r="WBJ10"/>
      <c r="WBK10"/>
      <c r="WBL10"/>
      <c r="WBM10"/>
      <c r="WBN10"/>
      <c r="WBO10"/>
      <c r="WBP10"/>
      <c r="WBQ10"/>
      <c r="WBR10"/>
      <c r="WBS10"/>
      <c r="WBT10"/>
      <c r="WBU10"/>
      <c r="WBV10"/>
      <c r="WBW10"/>
      <c r="WBX10"/>
      <c r="WBY10"/>
      <c r="WBZ10"/>
      <c r="WCA10"/>
      <c r="WCB10"/>
      <c r="WCC10"/>
      <c r="WCD10"/>
      <c r="WCE10"/>
      <c r="WCF10"/>
      <c r="WCG10"/>
      <c r="WCH10"/>
      <c r="WCI10"/>
      <c r="WCJ10"/>
      <c r="WCK10"/>
      <c r="WCL10"/>
      <c r="WCM10"/>
      <c r="WCN10"/>
      <c r="WCO10"/>
      <c r="WCP10"/>
      <c r="WCQ10"/>
      <c r="WCR10"/>
      <c r="WCS10"/>
      <c r="WCT10"/>
      <c r="WCU10"/>
      <c r="WCV10"/>
      <c r="WCW10"/>
      <c r="WCX10"/>
      <c r="WCY10"/>
      <c r="WCZ10"/>
      <c r="WDA10"/>
      <c r="WDB10"/>
      <c r="WDC10"/>
      <c r="WDD10"/>
      <c r="WDE10"/>
      <c r="WDF10"/>
      <c r="WDG10"/>
      <c r="WDH10"/>
      <c r="WDI10"/>
      <c r="WDJ10"/>
      <c r="WDK10"/>
      <c r="WDL10"/>
      <c r="WDM10"/>
      <c r="WDN10"/>
      <c r="WDO10"/>
      <c r="WDP10"/>
      <c r="WDQ10"/>
      <c r="WDR10"/>
      <c r="WDS10"/>
      <c r="WDT10"/>
      <c r="WDU10"/>
      <c r="WDV10"/>
      <c r="WDW10"/>
      <c r="WDX10"/>
      <c r="WDY10"/>
      <c r="WDZ10"/>
      <c r="WEA10"/>
      <c r="WEB10"/>
      <c r="WEC10"/>
      <c r="WED10"/>
      <c r="WEE10"/>
      <c r="WEF10"/>
      <c r="WEG10"/>
      <c r="WEH10"/>
      <c r="WEI10"/>
      <c r="WEJ10"/>
      <c r="WEK10"/>
      <c r="WEL10"/>
      <c r="WEM10"/>
      <c r="WEN10"/>
      <c r="WEO10"/>
      <c r="WEP10"/>
      <c r="WEQ10"/>
      <c r="WER10"/>
      <c r="WES10"/>
      <c r="WET10"/>
      <c r="WEU10"/>
      <c r="WEV10"/>
      <c r="WEW10"/>
      <c r="WEX10"/>
      <c r="WEY10"/>
      <c r="WEZ10"/>
      <c r="WFA10"/>
      <c r="WFB10"/>
      <c r="WFC10"/>
      <c r="WFD10"/>
      <c r="WFE10"/>
      <c r="WFF10"/>
      <c r="WFG10"/>
      <c r="WFH10"/>
      <c r="WFI10"/>
      <c r="WFJ10"/>
      <c r="WFK10"/>
      <c r="WFL10"/>
      <c r="WFM10"/>
      <c r="WFN10"/>
      <c r="WFO10"/>
      <c r="WFP10"/>
      <c r="WFQ10"/>
      <c r="WFR10"/>
      <c r="WFS10"/>
      <c r="WFT10"/>
      <c r="WFU10"/>
      <c r="WFV10"/>
      <c r="WFW10"/>
      <c r="WFX10"/>
      <c r="WFY10"/>
      <c r="WFZ10"/>
      <c r="WGA10"/>
      <c r="WGB10"/>
      <c r="WGC10"/>
      <c r="WGD10"/>
      <c r="WGE10"/>
      <c r="WGF10"/>
      <c r="WGG10"/>
      <c r="WGH10"/>
      <c r="WGI10"/>
      <c r="WGJ10"/>
      <c r="WGK10"/>
      <c r="WGL10"/>
      <c r="WGM10"/>
      <c r="WGN10"/>
      <c r="WGO10"/>
      <c r="WGP10"/>
      <c r="WGQ10"/>
      <c r="WGR10"/>
      <c r="WGS10"/>
      <c r="WGT10"/>
      <c r="WGU10"/>
      <c r="WGV10"/>
      <c r="WGW10"/>
      <c r="WGX10"/>
      <c r="WGY10"/>
      <c r="WGZ10"/>
      <c r="WHA10"/>
      <c r="WHB10"/>
      <c r="WHC10"/>
      <c r="WHD10"/>
      <c r="WHE10"/>
      <c r="WHF10"/>
      <c r="WHG10"/>
      <c r="WHH10"/>
      <c r="WHI10"/>
      <c r="WHJ10"/>
      <c r="WHK10"/>
      <c r="WHL10"/>
      <c r="WHM10"/>
      <c r="WHN10"/>
      <c r="WHO10"/>
      <c r="WHP10"/>
      <c r="WHQ10"/>
      <c r="WHR10"/>
      <c r="WHS10"/>
      <c r="WHT10"/>
      <c r="WHU10"/>
      <c r="WHV10"/>
      <c r="WHW10"/>
      <c r="WHX10"/>
      <c r="WHY10"/>
      <c r="WHZ10"/>
      <c r="WIA10"/>
      <c r="WIB10"/>
      <c r="WIC10"/>
      <c r="WID10"/>
      <c r="WIE10"/>
      <c r="WIF10"/>
      <c r="WIG10"/>
      <c r="WIH10"/>
      <c r="WII10"/>
      <c r="WIJ10"/>
      <c r="WIK10"/>
      <c r="WIL10"/>
      <c r="WIM10"/>
      <c r="WIN10"/>
      <c r="WIO10"/>
      <c r="WIP10"/>
      <c r="WIQ10"/>
      <c r="WIR10"/>
      <c r="WIS10"/>
      <c r="WIT10"/>
      <c r="WIU10"/>
      <c r="WIV10"/>
      <c r="WIW10"/>
      <c r="WIX10"/>
      <c r="WIY10"/>
      <c r="WIZ10"/>
      <c r="WJA10"/>
      <c r="WJB10"/>
      <c r="WJC10"/>
      <c r="WJD10"/>
      <c r="WJE10"/>
      <c r="WJF10"/>
      <c r="WJG10"/>
      <c r="WJH10"/>
      <c r="WJI10"/>
      <c r="WJJ10"/>
      <c r="WJK10"/>
      <c r="WJL10"/>
      <c r="WJM10"/>
      <c r="WJN10"/>
      <c r="WJO10"/>
      <c r="WJP10"/>
      <c r="WJQ10"/>
      <c r="WJR10"/>
      <c r="WJS10"/>
      <c r="WJT10"/>
      <c r="WJU10"/>
      <c r="WJV10"/>
      <c r="WJW10"/>
      <c r="WJX10"/>
      <c r="WJY10"/>
      <c r="WJZ10"/>
      <c r="WKA10"/>
      <c r="WKB10"/>
      <c r="WKC10"/>
      <c r="WKD10"/>
      <c r="WKE10"/>
      <c r="WKF10"/>
      <c r="WKG10"/>
      <c r="WKH10"/>
      <c r="WKI10"/>
      <c r="WKJ10"/>
      <c r="WKK10"/>
      <c r="WKL10"/>
      <c r="WKM10"/>
      <c r="WKN10"/>
      <c r="WKO10"/>
      <c r="WKP10"/>
      <c r="WKQ10"/>
      <c r="WKR10"/>
      <c r="WKS10"/>
      <c r="WKT10"/>
      <c r="WKU10"/>
      <c r="WKV10"/>
      <c r="WKW10"/>
      <c r="WKX10"/>
      <c r="WKY10"/>
      <c r="WKZ10"/>
      <c r="WLA10"/>
      <c r="WLB10"/>
      <c r="WLC10"/>
      <c r="WLD10"/>
      <c r="WLE10"/>
      <c r="WLF10"/>
      <c r="WLG10"/>
      <c r="WLH10"/>
      <c r="WLI10"/>
      <c r="WLJ10"/>
      <c r="WLK10"/>
      <c r="WLL10"/>
      <c r="WLM10"/>
      <c r="WLN10"/>
      <c r="WLO10"/>
      <c r="WLP10"/>
      <c r="WLQ10"/>
      <c r="WLR10"/>
      <c r="WLS10"/>
      <c r="WLT10"/>
      <c r="WLU10"/>
      <c r="WLV10"/>
      <c r="WLW10"/>
      <c r="WLX10"/>
      <c r="WLY10"/>
      <c r="WLZ10"/>
      <c r="WMA10"/>
      <c r="WMB10"/>
      <c r="WMC10"/>
      <c r="WMD10"/>
      <c r="WME10"/>
      <c r="WMF10"/>
      <c r="WMG10"/>
      <c r="WMH10"/>
      <c r="WMI10"/>
      <c r="WMJ10"/>
      <c r="WMK10"/>
      <c r="WML10"/>
      <c r="WMM10"/>
      <c r="WMN10"/>
      <c r="WMO10"/>
      <c r="WMP10"/>
      <c r="WMQ10"/>
      <c r="WMR10"/>
      <c r="WMS10"/>
      <c r="WMT10"/>
      <c r="WMU10"/>
      <c r="WMV10"/>
      <c r="WMW10"/>
      <c r="WMX10"/>
      <c r="WMY10"/>
      <c r="WMZ10"/>
      <c r="WNA10"/>
      <c r="WNB10"/>
      <c r="WNC10"/>
      <c r="WND10"/>
      <c r="WNE10"/>
      <c r="WNF10"/>
      <c r="WNG10"/>
      <c r="WNH10"/>
      <c r="WNI10"/>
      <c r="WNJ10"/>
      <c r="WNK10"/>
      <c r="WNL10"/>
      <c r="WNM10"/>
      <c r="WNN10"/>
      <c r="WNO10"/>
      <c r="WNP10"/>
      <c r="WNQ10"/>
      <c r="WNR10"/>
      <c r="WNS10"/>
      <c r="WNT10"/>
      <c r="WNU10"/>
      <c r="WNV10"/>
      <c r="WNW10"/>
      <c r="WNX10"/>
      <c r="WNY10"/>
      <c r="WNZ10"/>
      <c r="WOA10"/>
      <c r="WOB10"/>
      <c r="WOC10"/>
      <c r="WOD10"/>
      <c r="WOE10"/>
      <c r="WOF10"/>
      <c r="WOG10"/>
      <c r="WOH10"/>
      <c r="WOI10"/>
      <c r="WOJ10"/>
      <c r="WOK10"/>
      <c r="WOL10"/>
      <c r="WOM10"/>
      <c r="WON10"/>
      <c r="WOO10"/>
      <c r="WOP10"/>
      <c r="WOQ10"/>
      <c r="WOR10"/>
      <c r="WOS10"/>
      <c r="WOT10"/>
      <c r="WOU10"/>
      <c r="WOV10"/>
      <c r="WOW10"/>
      <c r="WOX10"/>
      <c r="WOY10"/>
      <c r="WOZ10"/>
      <c r="WPA10"/>
      <c r="WPB10"/>
      <c r="WPC10"/>
      <c r="WPD10"/>
      <c r="WPE10"/>
      <c r="WPF10"/>
      <c r="WPG10"/>
      <c r="WPH10"/>
      <c r="WPI10"/>
      <c r="WPJ10"/>
      <c r="WPK10"/>
      <c r="WPL10"/>
      <c r="WPM10"/>
      <c r="WPN10"/>
      <c r="WPO10"/>
      <c r="WPP10"/>
      <c r="WPQ10"/>
      <c r="WPR10"/>
      <c r="WPS10"/>
      <c r="WPT10"/>
      <c r="WPU10"/>
      <c r="WPV10"/>
      <c r="WPW10"/>
      <c r="WPX10"/>
      <c r="WPY10"/>
      <c r="WPZ10"/>
      <c r="WQA10"/>
      <c r="WQB10"/>
      <c r="WQC10"/>
      <c r="WQD10"/>
      <c r="WQE10"/>
      <c r="WQF10"/>
      <c r="WQG10"/>
      <c r="WQH10"/>
      <c r="WQI10"/>
      <c r="WQJ10"/>
      <c r="WQK10"/>
      <c r="WQL10"/>
      <c r="WQM10"/>
      <c r="WQN10"/>
      <c r="WQO10"/>
      <c r="WQP10"/>
      <c r="WQQ10"/>
      <c r="WQR10"/>
      <c r="WQS10"/>
      <c r="WQT10"/>
      <c r="WQU10"/>
      <c r="WQV10"/>
      <c r="WQW10"/>
      <c r="WQX10"/>
      <c r="WQY10"/>
      <c r="WQZ10"/>
      <c r="WRA10"/>
      <c r="WRB10"/>
      <c r="WRC10"/>
      <c r="WRD10"/>
      <c r="WRE10"/>
      <c r="WRF10"/>
      <c r="WRG10"/>
      <c r="WRH10"/>
      <c r="WRI10"/>
      <c r="WRJ10"/>
      <c r="WRK10"/>
      <c r="WRL10"/>
      <c r="WRM10"/>
      <c r="WRN10"/>
      <c r="WRO10"/>
      <c r="WRP10"/>
      <c r="WRQ10"/>
      <c r="WRR10"/>
      <c r="WRS10"/>
      <c r="WRT10"/>
      <c r="WRU10"/>
      <c r="WRV10"/>
      <c r="WRW10"/>
      <c r="WRX10"/>
      <c r="WRY10"/>
      <c r="WRZ10"/>
      <c r="WSA10"/>
      <c r="WSB10"/>
      <c r="WSC10"/>
      <c r="WSD10"/>
      <c r="WSE10"/>
      <c r="WSF10"/>
      <c r="WSG10"/>
      <c r="WSH10"/>
      <c r="WSI10"/>
      <c r="WSJ10"/>
      <c r="WSK10"/>
      <c r="WSL10"/>
      <c r="WSM10"/>
      <c r="WSN10"/>
      <c r="WSO10"/>
      <c r="WSP10"/>
      <c r="WSQ10"/>
      <c r="WSR10"/>
      <c r="WSS10"/>
      <c r="WST10"/>
      <c r="WSU10"/>
      <c r="WSV10"/>
      <c r="WSW10"/>
      <c r="WSX10"/>
      <c r="WSY10"/>
      <c r="WSZ10"/>
      <c r="WTA10"/>
      <c r="WTB10"/>
      <c r="WTC10"/>
      <c r="WTD10"/>
      <c r="WTE10"/>
      <c r="WTF10"/>
      <c r="WTG10"/>
      <c r="WTH10"/>
      <c r="WTI10"/>
      <c r="WTJ10"/>
      <c r="WTK10"/>
      <c r="WTL10"/>
      <c r="WTM10"/>
      <c r="WTN10"/>
      <c r="WTO10"/>
      <c r="WTP10"/>
      <c r="WTQ10"/>
      <c r="WTR10"/>
      <c r="WTS10"/>
      <c r="WTT10"/>
      <c r="WTU10"/>
      <c r="WTV10"/>
      <c r="WTW10"/>
      <c r="WTX10"/>
      <c r="WTY10"/>
      <c r="WTZ10"/>
      <c r="WUA10"/>
      <c r="WUB10"/>
      <c r="WUC10"/>
      <c r="WUD10"/>
      <c r="WUE10"/>
      <c r="WUF10"/>
      <c r="WUG10"/>
      <c r="WUH10"/>
      <c r="WUI10"/>
      <c r="WUJ10"/>
      <c r="WUK10"/>
      <c r="WUL10"/>
      <c r="WUM10"/>
      <c r="WUN10"/>
      <c r="WUO10"/>
      <c r="WUP10"/>
      <c r="WUQ10"/>
      <c r="WUR10"/>
      <c r="WUS10"/>
      <c r="WUT10"/>
      <c r="WUU10"/>
      <c r="WUV10"/>
      <c r="WUW10"/>
      <c r="WUX10"/>
      <c r="WUY10"/>
      <c r="WUZ10"/>
      <c r="WVA10"/>
      <c r="WVB10"/>
      <c r="WVC10"/>
      <c r="WVD10"/>
      <c r="WVE10"/>
      <c r="WVF10"/>
      <c r="WVG10"/>
      <c r="WVH10"/>
      <c r="WVI10"/>
      <c r="WVJ10"/>
      <c r="WVK10"/>
      <c r="WVL10"/>
      <c r="WVM10"/>
      <c r="WVN10"/>
      <c r="WVO10"/>
      <c r="WVP10"/>
      <c r="WVQ10"/>
      <c r="WVR10"/>
      <c r="WVS10"/>
      <c r="WVT10"/>
      <c r="WVU10"/>
      <c r="WVV10"/>
      <c r="WVW10"/>
      <c r="WVX10"/>
      <c r="WVY10"/>
      <c r="WVZ10"/>
      <c r="WWA10"/>
      <c r="WWB10"/>
      <c r="WWC10"/>
      <c r="WWD10"/>
      <c r="WWE10"/>
      <c r="WWF10"/>
      <c r="WWG10"/>
      <c r="WWH10"/>
      <c r="WWI10"/>
      <c r="WWJ10"/>
      <c r="WWK10"/>
      <c r="WWL10"/>
      <c r="WWM10"/>
      <c r="WWN10"/>
      <c r="WWO10"/>
      <c r="WWP10"/>
      <c r="WWQ10"/>
      <c r="WWR10"/>
      <c r="WWS10"/>
      <c r="WWT10"/>
      <c r="WWU10"/>
      <c r="WWV10"/>
      <c r="WWW10"/>
      <c r="WWX10"/>
      <c r="WWY10"/>
      <c r="WWZ10"/>
      <c r="WXA10"/>
      <c r="WXB10"/>
      <c r="WXC10"/>
      <c r="WXD10"/>
      <c r="WXE10"/>
      <c r="WXF10"/>
      <c r="WXG10"/>
      <c r="WXH10"/>
      <c r="WXI10"/>
      <c r="WXJ10"/>
      <c r="WXK10"/>
      <c r="WXL10"/>
      <c r="WXM10"/>
      <c r="WXN10"/>
      <c r="WXO10"/>
      <c r="WXP10"/>
      <c r="WXQ10"/>
      <c r="WXR10"/>
      <c r="WXS10"/>
      <c r="WXT10"/>
      <c r="WXU10"/>
      <c r="WXV10"/>
      <c r="WXW10"/>
      <c r="WXX10"/>
      <c r="WXY10"/>
      <c r="WXZ10"/>
      <c r="WYA10"/>
      <c r="WYB10"/>
      <c r="WYC10"/>
      <c r="WYD10"/>
      <c r="WYE10"/>
      <c r="WYF10"/>
      <c r="WYG10"/>
      <c r="WYH10"/>
      <c r="WYI10"/>
      <c r="WYJ10"/>
      <c r="WYK10"/>
      <c r="WYL10"/>
      <c r="WYM10"/>
      <c r="WYN10"/>
      <c r="WYO10"/>
      <c r="WYP10"/>
      <c r="WYQ10"/>
      <c r="WYR10"/>
      <c r="WYS10"/>
      <c r="WYT10"/>
      <c r="WYU10"/>
      <c r="WYV10"/>
      <c r="WYW10"/>
      <c r="WYX10"/>
      <c r="WYY10"/>
      <c r="WYZ10"/>
      <c r="WZA10"/>
      <c r="WZB10"/>
      <c r="WZC10"/>
      <c r="WZD10"/>
      <c r="WZE10"/>
      <c r="WZF10"/>
      <c r="WZG10"/>
      <c r="WZH10"/>
      <c r="WZI10"/>
      <c r="WZJ10"/>
      <c r="WZK10"/>
      <c r="WZL10"/>
      <c r="WZM10"/>
      <c r="WZN10"/>
      <c r="WZO10"/>
      <c r="WZP10"/>
      <c r="WZQ10"/>
      <c r="WZR10"/>
      <c r="WZS10"/>
      <c r="WZT10"/>
      <c r="WZU10"/>
      <c r="WZV10"/>
      <c r="WZW10"/>
      <c r="WZX10"/>
      <c r="WZY10"/>
      <c r="WZZ10"/>
      <c r="XAA10"/>
      <c r="XAB10"/>
      <c r="XAC10"/>
      <c r="XAD10"/>
      <c r="XAE10"/>
      <c r="XAF10"/>
      <c r="XAG10"/>
      <c r="XAH10"/>
      <c r="XAI10"/>
      <c r="XAJ10"/>
      <c r="XAK10"/>
      <c r="XAL10"/>
      <c r="XAM10"/>
      <c r="XAN10"/>
      <c r="XAO10"/>
      <c r="XAP10"/>
      <c r="XAQ10"/>
      <c r="XAR10"/>
      <c r="XAS10"/>
      <c r="XAT10"/>
      <c r="XAU10"/>
      <c r="XAV10"/>
      <c r="XAW10"/>
      <c r="XAX10"/>
      <c r="XAY10"/>
      <c r="XAZ10"/>
      <c r="XBA10"/>
      <c r="XBB10"/>
      <c r="XBC10"/>
      <c r="XBD10"/>
      <c r="XBE10"/>
      <c r="XBF10"/>
      <c r="XBG10"/>
      <c r="XBH10"/>
      <c r="XBI10"/>
      <c r="XBJ10"/>
      <c r="XBK10"/>
      <c r="XBL10"/>
      <c r="XBM10"/>
      <c r="XBN10"/>
      <c r="XBO10"/>
      <c r="XBP10"/>
      <c r="XBQ10"/>
      <c r="XBR10"/>
      <c r="XBS10"/>
      <c r="XBT10"/>
      <c r="XBU10"/>
      <c r="XBV10"/>
      <c r="XBW10"/>
      <c r="XBX10"/>
      <c r="XBY10"/>
      <c r="XBZ10"/>
      <c r="XCA10"/>
      <c r="XCB10"/>
      <c r="XCC10"/>
      <c r="XCD10"/>
      <c r="XCE10"/>
      <c r="XCF10"/>
      <c r="XCG10"/>
      <c r="XCH10"/>
      <c r="XCI10"/>
      <c r="XCJ10"/>
      <c r="XCK10"/>
      <c r="XCL10"/>
      <c r="XCM10"/>
      <c r="XCN10"/>
      <c r="XCO10"/>
      <c r="XCP10"/>
      <c r="XCQ10"/>
      <c r="XCR10"/>
      <c r="XCS10"/>
      <c r="XCT10"/>
      <c r="XCU10"/>
      <c r="XCV10"/>
      <c r="XCW10"/>
      <c r="XCX10"/>
      <c r="XCY10"/>
      <c r="XCZ10"/>
      <c r="XDA10"/>
      <c r="XDB10"/>
      <c r="XDC10"/>
      <c r="XDD10"/>
      <c r="XDE10"/>
      <c r="XDF10"/>
      <c r="XDG10"/>
      <c r="XDH10"/>
      <c r="XDI10"/>
      <c r="XDJ10"/>
      <c r="XDK10"/>
      <c r="XDL10"/>
      <c r="XDM10"/>
      <c r="XDN10"/>
      <c r="XDO10"/>
      <c r="XDP10"/>
      <c r="XDQ10"/>
      <c r="XDR10"/>
      <c r="XDS10"/>
      <c r="XDT10"/>
      <c r="XDU10"/>
      <c r="XDV10"/>
      <c r="XDW10"/>
      <c r="XDX10"/>
      <c r="XDY10"/>
      <c r="XDZ10"/>
      <c r="XEA10"/>
      <c r="XEB10"/>
      <c r="XEC10"/>
      <c r="XED10"/>
      <c r="XEE10"/>
      <c r="XEF10"/>
      <c r="XEG10"/>
      <c r="XEH10"/>
      <c r="XEI10"/>
      <c r="XEJ10"/>
      <c r="XEK10"/>
      <c r="XEL10"/>
      <c r="XEM10"/>
      <c r="XEN10"/>
      <c r="XEO10"/>
      <c r="XEP10"/>
      <c r="XEQ10"/>
      <c r="XER10"/>
      <c r="XES10"/>
      <c r="XET10"/>
      <c r="XEU10"/>
      <c r="XEV10"/>
      <c r="XEW10"/>
      <c r="XEX10"/>
      <c r="XEY10"/>
      <c r="XEZ10"/>
      <c r="XFA10"/>
      <c r="XFB10"/>
      <c r="XFC10"/>
      <c r="XFD10"/>
    </row>
    <row r="11" spans="1:16384">
      <c r="A11" s="61" t="s">
        <v>526</v>
      </c>
      <c r="B11" s="71" t="e">
        <f>VLOOKUP($B$9,$D:$M,10,0)</f>
        <v>#N/A</v>
      </c>
      <c r="I11" s="35"/>
      <c r="J11" s="134"/>
      <c r="L11" s="35"/>
      <c r="M11" s="35"/>
      <c r="N11" s="67"/>
      <c r="S11" s="72"/>
      <c r="T11" s="72"/>
      <c r="U11" s="72"/>
      <c r="V11" s="72"/>
      <c r="W11" s="72"/>
      <c r="X11" s="72"/>
      <c r="Y11" s="72"/>
      <c r="Z11" s="72"/>
      <c r="AA11" s="72"/>
      <c r="AB11" s="72"/>
      <c r="AC11" s="72"/>
      <c r="AD11" s="72"/>
      <c r="AE11" s="72"/>
      <c r="AF11" s="72"/>
      <c r="AG11" s="72"/>
      <c r="AI11" s="35">
        <f t="shared" si="10"/>
        <v>1.0538574982119235</v>
      </c>
      <c r="AJ11" t="b">
        <f t="shared" si="9"/>
        <v>0</v>
      </c>
      <c r="AK11" s="158">
        <v>44616</v>
      </c>
      <c r="AL11" s="139">
        <f t="shared" si="11"/>
        <v>16650</v>
      </c>
      <c r="AM11" s="34">
        <v>0</v>
      </c>
      <c r="AN11" s="137">
        <v>0</v>
      </c>
      <c r="AO11" s="34">
        <v>0.85</v>
      </c>
      <c r="AP11" s="139">
        <v>16650</v>
      </c>
      <c r="AQ11" s="34">
        <v>20.059999999999999</v>
      </c>
      <c r="AR11" t="s">
        <v>502</v>
      </c>
      <c r="AS11" s="138">
        <v>88.75</v>
      </c>
      <c r="AT11" s="34">
        <v>-0.15</v>
      </c>
      <c r="AU11" s="34">
        <v>5050</v>
      </c>
      <c r="AV11" s="34">
        <v>-3.76</v>
      </c>
      <c r="AW11" s="34">
        <v>12.76</v>
      </c>
      <c r="AX11" s="34">
        <v>2.2000000000000001E-4</v>
      </c>
      <c r="AZ11" s="148">
        <f t="shared" ref="AZ11:AZ54" si="52">AZ10+$AZ$2</f>
        <v>15885.714285714286</v>
      </c>
      <c r="BA11" s="34">
        <f t="shared" si="46"/>
        <v>53600.000000000357</v>
      </c>
      <c r="BB11" s="34"/>
      <c r="BC11" s="34">
        <f t="shared" si="47"/>
        <v>0</v>
      </c>
      <c r="BD11" s="34">
        <f t="shared" si="41"/>
        <v>0</v>
      </c>
      <c r="BE11" s="34">
        <f t="shared" si="41"/>
        <v>0</v>
      </c>
      <c r="BF11" s="34">
        <f t="shared" si="41"/>
        <v>0</v>
      </c>
      <c r="BG11" s="34">
        <f t="shared" si="41"/>
        <v>18000</v>
      </c>
      <c r="BH11" s="34">
        <f t="shared" si="41"/>
        <v>-60214.285714285325</v>
      </c>
      <c r="BI11" s="34">
        <f t="shared" si="41"/>
        <v>67014.285714285681</v>
      </c>
      <c r="BJ11" s="34">
        <f t="shared" si="41"/>
        <v>0</v>
      </c>
      <c r="BK11" s="34">
        <f t="shared" si="41"/>
        <v>0</v>
      </c>
      <c r="BL11" s="34">
        <f t="shared" si="41"/>
        <v>0</v>
      </c>
      <c r="BM11" s="34">
        <f t="shared" si="41"/>
        <v>0</v>
      </c>
      <c r="BN11" s="34">
        <f t="shared" si="41"/>
        <v>0</v>
      </c>
      <c r="BO11" s="34">
        <f t="shared" si="48"/>
        <v>0</v>
      </c>
      <c r="BP11" s="34">
        <f t="shared" si="42"/>
        <v>-13200</v>
      </c>
      <c r="BQ11" s="34">
        <f t="shared" si="42"/>
        <v>42000</v>
      </c>
      <c r="BR11" s="34">
        <f t="shared" si="42"/>
        <v>0</v>
      </c>
      <c r="BS11" s="34">
        <f t="shared" si="42"/>
        <v>0</v>
      </c>
      <c r="BT11" s="34">
        <f t="shared" si="42"/>
        <v>0</v>
      </c>
      <c r="BU11" s="34" t="e">
        <f t="shared" si="42"/>
        <v>#N/A</v>
      </c>
      <c r="BW11" s="148">
        <f t="shared" ref="BW11:BW54" si="53">BW10+$BW$2</f>
        <v>39271.428571428572</v>
      </c>
      <c r="BX11" s="34">
        <f t="shared" si="49"/>
        <v>0</v>
      </c>
      <c r="BY11" s="34"/>
      <c r="BZ11" s="34" t="e">
        <f t="shared" si="50"/>
        <v>#N/A</v>
      </c>
      <c r="CA11" s="34" t="e">
        <f t="shared" si="43"/>
        <v>#N/A</v>
      </c>
      <c r="CB11" s="34" t="e">
        <f t="shared" si="43"/>
        <v>#N/A</v>
      </c>
      <c r="CC11" s="34" t="e">
        <f t="shared" si="43"/>
        <v>#N/A</v>
      </c>
      <c r="CD11" s="34">
        <f t="shared" si="43"/>
        <v>0</v>
      </c>
      <c r="CE11" s="34">
        <f t="shared" si="43"/>
        <v>0</v>
      </c>
      <c r="CF11" s="34">
        <f t="shared" si="43"/>
        <v>0</v>
      </c>
      <c r="CG11" s="34">
        <f t="shared" si="43"/>
        <v>0</v>
      </c>
      <c r="CH11" s="34">
        <f t="shared" si="43"/>
        <v>0</v>
      </c>
      <c r="CI11" s="34">
        <f t="shared" si="43"/>
        <v>0</v>
      </c>
      <c r="CJ11" s="34">
        <f t="shared" si="43"/>
        <v>0</v>
      </c>
      <c r="CK11" s="34">
        <f t="shared" si="43"/>
        <v>0</v>
      </c>
      <c r="CL11" s="34" t="e">
        <f t="shared" si="51"/>
        <v>#N/A</v>
      </c>
      <c r="CM11" s="34" t="e">
        <f t="shared" si="44"/>
        <v>#N/A</v>
      </c>
      <c r="CN11" s="34">
        <f t="shared" si="44"/>
        <v>0</v>
      </c>
      <c r="CO11" s="34">
        <f t="shared" si="44"/>
        <v>0</v>
      </c>
      <c r="CP11" s="34">
        <f t="shared" si="44"/>
        <v>0</v>
      </c>
      <c r="CQ11" s="34">
        <f t="shared" si="44"/>
        <v>0</v>
      </c>
      <c r="CR11" s="34" t="e">
        <f t="shared" si="44"/>
        <v>#N/A</v>
      </c>
      <c r="CS11" s="34"/>
      <c r="CT11" s="34"/>
      <c r="CU11" s="34"/>
      <c r="CV11">
        <f t="shared" si="45"/>
        <v>17250</v>
      </c>
      <c r="CW11">
        <f t="shared" si="34"/>
        <v>79</v>
      </c>
      <c r="CX11">
        <f t="shared" si="35"/>
        <v>-226</v>
      </c>
      <c r="CY11">
        <f t="shared" si="36"/>
        <v>-147</v>
      </c>
      <c r="CZ11">
        <f t="shared" si="37"/>
        <v>-7350</v>
      </c>
      <c r="DA11" s="34"/>
      <c r="DB11" s="34">
        <f t="shared" si="38"/>
        <v>73.067266608629097</v>
      </c>
      <c r="DC11" s="34">
        <f t="shared" si="39"/>
        <v>-227.12517281330292</v>
      </c>
      <c r="DD11" s="134">
        <f t="shared" si="40"/>
        <v>-154.05790620467383</v>
      </c>
      <c r="DE11" s="34"/>
      <c r="DF11" s="34"/>
      <c r="DG11" s="34"/>
      <c r="DH11" s="34"/>
      <c r="DI11" s="34"/>
      <c r="DJ11" s="34"/>
      <c r="DK11" s="34"/>
      <c r="DL11" s="34"/>
      <c r="DM11" s="34"/>
      <c r="DN11" s="34"/>
      <c r="DO11" s="34"/>
      <c r="DP11" s="34"/>
      <c r="DQ11" s="34"/>
      <c r="DR11" s="34"/>
      <c r="DS11" s="34"/>
      <c r="DT11" s="34"/>
      <c r="DU11" s="34"/>
      <c r="DV11" s="34"/>
    </row>
    <row r="12" spans="1:16384">
      <c r="A12" s="61" t="s">
        <v>527</v>
      </c>
      <c r="B12" s="70" t="e">
        <f>VLOOKUP($B$9,$D:$O,12,0)</f>
        <v>#N/A</v>
      </c>
      <c r="I12" s="35"/>
      <c r="J12" s="134"/>
      <c r="L12" s="35"/>
      <c r="M12" s="35"/>
      <c r="N12" s="67"/>
      <c r="S12" s="72"/>
      <c r="T12" s="72"/>
      <c r="U12" s="72"/>
      <c r="V12" s="72"/>
      <c r="W12" s="72"/>
      <c r="X12" s="72"/>
      <c r="Y12" s="72"/>
      <c r="Z12" s="72"/>
      <c r="AA12" s="72"/>
      <c r="AB12" s="72"/>
      <c r="AC12" s="72"/>
      <c r="AD12" s="72"/>
      <c r="AE12" s="72"/>
      <c r="AF12" s="72"/>
      <c r="AG12" s="72"/>
      <c r="AI12" s="35">
        <f t="shared" si="10"/>
        <v>1.057022235443791</v>
      </c>
      <c r="AJ12" t="b">
        <f t="shared" si="9"/>
        <v>0</v>
      </c>
      <c r="AK12" s="158">
        <v>44616</v>
      </c>
      <c r="AL12" s="139">
        <f t="shared" si="11"/>
        <v>16700</v>
      </c>
      <c r="AM12" s="34">
        <v>7900</v>
      </c>
      <c r="AN12" s="137">
        <v>1061</v>
      </c>
      <c r="AO12" s="34">
        <v>0.87</v>
      </c>
      <c r="AP12" s="139">
        <v>16700</v>
      </c>
      <c r="AQ12" s="34">
        <v>17.41</v>
      </c>
      <c r="AR12" t="s">
        <v>502</v>
      </c>
      <c r="AS12" s="138">
        <v>64.3</v>
      </c>
      <c r="AT12" s="34">
        <v>-0.13</v>
      </c>
      <c r="AU12" s="34">
        <v>361900</v>
      </c>
      <c r="AV12" s="34">
        <v>-2.97</v>
      </c>
      <c r="AW12" s="34">
        <v>11.59</v>
      </c>
      <c r="AX12" s="34">
        <v>2.3000000000000001E-4</v>
      </c>
      <c r="AZ12" s="148">
        <f t="shared" si="52"/>
        <v>15985.714285714286</v>
      </c>
      <c r="BA12" s="34">
        <f t="shared" si="46"/>
        <v>123600.00000000036</v>
      </c>
      <c r="BB12" s="34"/>
      <c r="BC12" s="34">
        <f t="shared" si="47"/>
        <v>0</v>
      </c>
      <c r="BD12" s="34">
        <f t="shared" si="41"/>
        <v>0</v>
      </c>
      <c r="BE12" s="34">
        <f t="shared" si="41"/>
        <v>0</v>
      </c>
      <c r="BF12" s="34">
        <f t="shared" si="41"/>
        <v>0</v>
      </c>
      <c r="BG12" s="34">
        <f t="shared" si="41"/>
        <v>18000</v>
      </c>
      <c r="BH12" s="34">
        <f t="shared" si="41"/>
        <v>14785.714285714675</v>
      </c>
      <c r="BI12" s="34">
        <f t="shared" si="41"/>
        <v>62014.285714285688</v>
      </c>
      <c r="BJ12" s="34">
        <f t="shared" si="41"/>
        <v>0</v>
      </c>
      <c r="BK12" s="34">
        <f t="shared" si="41"/>
        <v>0</v>
      </c>
      <c r="BL12" s="34">
        <f t="shared" si="41"/>
        <v>0</v>
      </c>
      <c r="BM12" s="34">
        <f t="shared" si="41"/>
        <v>0</v>
      </c>
      <c r="BN12" s="34">
        <f t="shared" si="41"/>
        <v>0</v>
      </c>
      <c r="BO12" s="34">
        <f t="shared" si="48"/>
        <v>0</v>
      </c>
      <c r="BP12" s="34">
        <f t="shared" si="42"/>
        <v>-13200</v>
      </c>
      <c r="BQ12" s="34">
        <f t="shared" si="42"/>
        <v>42000</v>
      </c>
      <c r="BR12" s="34">
        <f t="shared" si="42"/>
        <v>0</v>
      </c>
      <c r="BS12" s="34">
        <f t="shared" si="42"/>
        <v>0</v>
      </c>
      <c r="BT12" s="34">
        <f t="shared" si="42"/>
        <v>0</v>
      </c>
      <c r="BU12" s="34" t="e">
        <f t="shared" si="42"/>
        <v>#N/A</v>
      </c>
      <c r="BW12" s="148">
        <f t="shared" si="53"/>
        <v>39321.428571428572</v>
      </c>
      <c r="BX12" s="34">
        <f t="shared" si="49"/>
        <v>0</v>
      </c>
      <c r="BY12" s="34"/>
      <c r="BZ12" s="34" t="e">
        <f t="shared" si="50"/>
        <v>#N/A</v>
      </c>
      <c r="CA12" s="34" t="e">
        <f t="shared" si="43"/>
        <v>#N/A</v>
      </c>
      <c r="CB12" s="34" t="e">
        <f t="shared" si="43"/>
        <v>#N/A</v>
      </c>
      <c r="CC12" s="34" t="e">
        <f t="shared" si="43"/>
        <v>#N/A</v>
      </c>
      <c r="CD12" s="34">
        <f t="shared" si="43"/>
        <v>0</v>
      </c>
      <c r="CE12" s="34">
        <f t="shared" si="43"/>
        <v>0</v>
      </c>
      <c r="CF12" s="34">
        <f t="shared" si="43"/>
        <v>0</v>
      </c>
      <c r="CG12" s="34">
        <f t="shared" si="43"/>
        <v>0</v>
      </c>
      <c r="CH12" s="34">
        <f t="shared" si="43"/>
        <v>0</v>
      </c>
      <c r="CI12" s="34">
        <f t="shared" si="43"/>
        <v>0</v>
      </c>
      <c r="CJ12" s="34">
        <f t="shared" si="43"/>
        <v>0</v>
      </c>
      <c r="CK12" s="34">
        <f t="shared" si="43"/>
        <v>0</v>
      </c>
      <c r="CL12" s="34" t="e">
        <f t="shared" si="51"/>
        <v>#N/A</v>
      </c>
      <c r="CM12" s="34" t="e">
        <f t="shared" si="44"/>
        <v>#N/A</v>
      </c>
      <c r="CN12" s="34">
        <f t="shared" si="44"/>
        <v>0</v>
      </c>
      <c r="CO12" s="34">
        <f t="shared" si="44"/>
        <v>0</v>
      </c>
      <c r="CP12" s="34">
        <f t="shared" si="44"/>
        <v>0</v>
      </c>
      <c r="CQ12" s="34">
        <f t="shared" si="44"/>
        <v>0</v>
      </c>
      <c r="CR12" s="34" t="e">
        <f t="shared" si="44"/>
        <v>#N/A</v>
      </c>
      <c r="CS12" s="34"/>
      <c r="CT12" s="34"/>
      <c r="CU12" s="34"/>
      <c r="CV12">
        <f t="shared" si="45"/>
        <v>17300</v>
      </c>
      <c r="CW12">
        <f t="shared" si="34"/>
        <v>79</v>
      </c>
      <c r="CX12">
        <f t="shared" si="35"/>
        <v>-176</v>
      </c>
      <c r="CY12">
        <f t="shared" si="36"/>
        <v>-97</v>
      </c>
      <c r="CZ12">
        <f t="shared" si="37"/>
        <v>-4850</v>
      </c>
      <c r="DA12" s="34"/>
      <c r="DB12" s="34">
        <f t="shared" si="38"/>
        <v>68.672925007652793</v>
      </c>
      <c r="DC12" s="34">
        <f t="shared" si="39"/>
        <v>-181.51951441427991</v>
      </c>
      <c r="DD12" s="134">
        <f t="shared" si="40"/>
        <v>-112.84658940662712</v>
      </c>
      <c r="DE12" s="34"/>
      <c r="DF12" s="34"/>
      <c r="DG12" s="34"/>
      <c r="DH12" s="34"/>
      <c r="DI12" s="34"/>
      <c r="DJ12" s="34"/>
      <c r="DK12" s="34"/>
      <c r="DL12" s="34"/>
      <c r="DM12" s="34"/>
      <c r="DN12" s="34"/>
      <c r="DO12" s="34"/>
      <c r="DP12" s="34"/>
      <c r="DQ12" s="34"/>
      <c r="DR12" s="34"/>
      <c r="DS12" s="34"/>
      <c r="DT12" s="34"/>
      <c r="DU12" s="34"/>
      <c r="DV12" s="34"/>
    </row>
    <row r="13" spans="1:16384">
      <c r="A13" s="61" t="s">
        <v>528</v>
      </c>
      <c r="B13" s="61" t="e">
        <f>VLOOKUP($B$9,$D:$N,11,0)*50</f>
        <v>#N/A</v>
      </c>
      <c r="I13" s="35"/>
      <c r="J13" s="134"/>
      <c r="L13" s="35"/>
      <c r="M13" s="35"/>
      <c r="N13" s="67"/>
      <c r="S13" s="72"/>
      <c r="T13" s="72"/>
      <c r="U13" s="72"/>
      <c r="V13" s="72"/>
      <c r="W13" s="72"/>
      <c r="X13" s="72"/>
      <c r="Y13" s="72"/>
      <c r="Z13" s="72"/>
      <c r="AA13" s="72"/>
      <c r="AB13" s="72"/>
      <c r="AC13" s="72"/>
      <c r="AD13" s="72"/>
      <c r="AE13" s="72"/>
      <c r="AF13" s="72"/>
      <c r="AG13" s="72"/>
      <c r="AI13" s="35">
        <f t="shared" si="10"/>
        <v>1.0601869726756588</v>
      </c>
      <c r="AJ13" t="b">
        <f t="shared" si="9"/>
        <v>0</v>
      </c>
      <c r="AK13" s="158">
        <v>44616</v>
      </c>
      <c r="AL13" s="139">
        <f t="shared" si="11"/>
        <v>16750</v>
      </c>
      <c r="AM13" s="34">
        <v>50</v>
      </c>
      <c r="AN13" s="137">
        <v>1058.8499999999999</v>
      </c>
      <c r="AO13" s="34">
        <v>0.83</v>
      </c>
      <c r="AP13" s="139">
        <v>16750</v>
      </c>
      <c r="AQ13" s="34">
        <v>19.579999999999998</v>
      </c>
      <c r="AR13" t="s">
        <v>502</v>
      </c>
      <c r="AS13" s="138">
        <v>100.25</v>
      </c>
      <c r="AT13" s="34">
        <v>-0.17</v>
      </c>
      <c r="AU13" s="34">
        <v>6700</v>
      </c>
      <c r="AV13" s="34">
        <v>-3.97</v>
      </c>
      <c r="AW13" s="34">
        <v>13.77</v>
      </c>
      <c r="AX13" s="34">
        <v>2.4000000000000001E-4</v>
      </c>
      <c r="AZ13" s="148">
        <f t="shared" si="52"/>
        <v>16085.714285714286</v>
      </c>
      <c r="BA13" s="34">
        <f t="shared" si="46"/>
        <v>129314.28571428568</v>
      </c>
      <c r="BB13" s="34"/>
      <c r="BC13" s="34">
        <f t="shared" si="47"/>
        <v>0</v>
      </c>
      <c r="BD13" s="34">
        <f t="shared" si="41"/>
        <v>0</v>
      </c>
      <c r="BE13" s="34">
        <f t="shared" si="41"/>
        <v>0</v>
      </c>
      <c r="BF13" s="34">
        <f t="shared" si="41"/>
        <v>0</v>
      </c>
      <c r="BG13" s="34">
        <f t="shared" si="41"/>
        <v>18000</v>
      </c>
      <c r="BH13" s="34">
        <f t="shared" si="41"/>
        <v>25500</v>
      </c>
      <c r="BI13" s="34">
        <f t="shared" si="41"/>
        <v>57014.285714285688</v>
      </c>
      <c r="BJ13" s="34">
        <f t="shared" si="41"/>
        <v>0</v>
      </c>
      <c r="BK13" s="34">
        <f t="shared" si="41"/>
        <v>0</v>
      </c>
      <c r="BL13" s="34">
        <f t="shared" si="41"/>
        <v>0</v>
      </c>
      <c r="BM13" s="34">
        <f t="shared" si="41"/>
        <v>0</v>
      </c>
      <c r="BN13" s="34">
        <f t="shared" si="41"/>
        <v>0</v>
      </c>
      <c r="BO13" s="34">
        <f t="shared" si="48"/>
        <v>0</v>
      </c>
      <c r="BP13" s="34">
        <f t="shared" si="42"/>
        <v>-13200</v>
      </c>
      <c r="BQ13" s="34">
        <f t="shared" si="42"/>
        <v>42000</v>
      </c>
      <c r="BR13" s="34">
        <f t="shared" si="42"/>
        <v>0</v>
      </c>
      <c r="BS13" s="34">
        <f t="shared" si="42"/>
        <v>0</v>
      </c>
      <c r="BT13" s="34">
        <f t="shared" si="42"/>
        <v>0</v>
      </c>
      <c r="BU13" s="34" t="e">
        <f t="shared" si="42"/>
        <v>#N/A</v>
      </c>
      <c r="BW13" s="148">
        <f t="shared" si="53"/>
        <v>39371.428571428572</v>
      </c>
      <c r="BX13" s="34">
        <f t="shared" si="49"/>
        <v>0</v>
      </c>
      <c r="BY13" s="34"/>
      <c r="BZ13" s="34" t="e">
        <f t="shared" si="50"/>
        <v>#N/A</v>
      </c>
      <c r="CA13" s="34" t="e">
        <f t="shared" si="43"/>
        <v>#N/A</v>
      </c>
      <c r="CB13" s="34" t="e">
        <f t="shared" si="43"/>
        <v>#N/A</v>
      </c>
      <c r="CC13" s="34" t="e">
        <f t="shared" si="43"/>
        <v>#N/A</v>
      </c>
      <c r="CD13" s="34">
        <f t="shared" si="43"/>
        <v>0</v>
      </c>
      <c r="CE13" s="34">
        <f t="shared" si="43"/>
        <v>0</v>
      </c>
      <c r="CF13" s="34">
        <f t="shared" si="43"/>
        <v>0</v>
      </c>
      <c r="CG13" s="34">
        <f t="shared" si="43"/>
        <v>0</v>
      </c>
      <c r="CH13" s="34">
        <f t="shared" si="43"/>
        <v>0</v>
      </c>
      <c r="CI13" s="34">
        <f t="shared" si="43"/>
        <v>0</v>
      </c>
      <c r="CJ13" s="34">
        <f t="shared" si="43"/>
        <v>0</v>
      </c>
      <c r="CK13" s="34">
        <f t="shared" si="43"/>
        <v>0</v>
      </c>
      <c r="CL13" s="34" t="e">
        <f t="shared" si="51"/>
        <v>#N/A</v>
      </c>
      <c r="CM13" s="34" t="e">
        <f t="shared" si="44"/>
        <v>#N/A</v>
      </c>
      <c r="CN13" s="34">
        <f t="shared" si="44"/>
        <v>0</v>
      </c>
      <c r="CO13" s="34">
        <f t="shared" si="44"/>
        <v>0</v>
      </c>
      <c r="CP13" s="34">
        <f t="shared" si="44"/>
        <v>0</v>
      </c>
      <c r="CQ13" s="34">
        <f t="shared" si="44"/>
        <v>0</v>
      </c>
      <c r="CR13" s="34" t="e">
        <f t="shared" si="44"/>
        <v>#N/A</v>
      </c>
      <c r="CS13" s="34"/>
      <c r="CT13" s="34"/>
      <c r="CU13" s="34"/>
      <c r="CV13">
        <f t="shared" si="45"/>
        <v>17350</v>
      </c>
      <c r="CW13">
        <f t="shared" si="34"/>
        <v>79</v>
      </c>
      <c r="CX13">
        <f t="shared" si="35"/>
        <v>-126</v>
      </c>
      <c r="CY13">
        <f t="shared" si="36"/>
        <v>-47</v>
      </c>
      <c r="CZ13">
        <f t="shared" si="37"/>
        <v>-2350</v>
      </c>
      <c r="DA13" s="34"/>
      <c r="DB13" s="34">
        <f t="shared" si="38"/>
        <v>61.897432778690018</v>
      </c>
      <c r="DC13" s="34">
        <f t="shared" si="39"/>
        <v>-138.29500664324223</v>
      </c>
      <c r="DD13" s="134">
        <f t="shared" si="40"/>
        <v>-76.397573864552214</v>
      </c>
      <c r="DE13" s="34"/>
      <c r="DF13" s="34"/>
      <c r="DG13" s="34"/>
      <c r="DH13" s="34"/>
      <c r="DI13" s="34"/>
      <c r="DJ13" s="34"/>
      <c r="DK13" s="34"/>
      <c r="DL13" s="34"/>
      <c r="DM13" s="34"/>
      <c r="DN13" s="34"/>
      <c r="DO13" s="34"/>
      <c r="DP13" s="34"/>
      <c r="DQ13" s="34"/>
      <c r="DR13" s="34"/>
      <c r="DS13" s="34"/>
      <c r="DT13" s="34"/>
      <c r="DU13" s="34"/>
      <c r="DV13" s="34"/>
    </row>
    <row r="14" spans="1:16384">
      <c r="I14" s="35"/>
      <c r="J14" s="134"/>
      <c r="L14" s="35"/>
      <c r="M14" s="35"/>
      <c r="N14" s="67"/>
      <c r="S14" s="72"/>
      <c r="T14" s="72"/>
      <c r="U14" s="72"/>
      <c r="V14" s="72"/>
      <c r="W14" s="72"/>
      <c r="X14" s="72"/>
      <c r="Y14" s="72"/>
      <c r="Z14" s="72"/>
      <c r="AA14" s="72"/>
      <c r="AB14" s="72"/>
      <c r="AC14" s="72"/>
      <c r="AD14" s="72"/>
      <c r="AE14" s="72"/>
      <c r="AF14" s="72"/>
      <c r="AG14" s="72"/>
      <c r="AI14" s="35">
        <f t="shared" si="10"/>
        <v>1.0633517099075263</v>
      </c>
      <c r="AJ14" t="b">
        <f t="shared" si="9"/>
        <v>0</v>
      </c>
      <c r="AK14" s="158">
        <v>44616</v>
      </c>
      <c r="AL14" s="139">
        <f t="shared" si="11"/>
        <v>16800</v>
      </c>
      <c r="AM14" s="34">
        <v>9200</v>
      </c>
      <c r="AN14" s="137">
        <v>1000</v>
      </c>
      <c r="AO14" s="34">
        <v>0.81</v>
      </c>
      <c r="AP14" s="139">
        <v>16800</v>
      </c>
      <c r="AQ14" s="34">
        <v>19.75</v>
      </c>
      <c r="AR14" t="s">
        <v>502</v>
      </c>
      <c r="AS14" s="138">
        <v>112.45</v>
      </c>
      <c r="AT14" s="34">
        <v>-0.19</v>
      </c>
      <c r="AU14" s="34">
        <v>481300</v>
      </c>
      <c r="AV14" s="34">
        <v>-4.22</v>
      </c>
      <c r="AW14" s="34">
        <v>14.51</v>
      </c>
      <c r="AX14" s="34">
        <v>2.5000000000000001E-4</v>
      </c>
      <c r="AZ14" s="148">
        <f t="shared" si="52"/>
        <v>16185.714285714286</v>
      </c>
      <c r="BA14" s="34">
        <f t="shared" si="46"/>
        <v>124314.28571428568</v>
      </c>
      <c r="BB14" s="34"/>
      <c r="BC14" s="34">
        <f t="shared" si="47"/>
        <v>0</v>
      </c>
      <c r="BD14" s="34">
        <f t="shared" si="41"/>
        <v>0</v>
      </c>
      <c r="BE14" s="34">
        <f t="shared" si="41"/>
        <v>0</v>
      </c>
      <c r="BF14" s="34">
        <f t="shared" si="41"/>
        <v>0</v>
      </c>
      <c r="BG14" s="34">
        <f t="shared" si="41"/>
        <v>18000</v>
      </c>
      <c r="BH14" s="34">
        <f t="shared" si="41"/>
        <v>25500</v>
      </c>
      <c r="BI14" s="34">
        <f t="shared" si="41"/>
        <v>52014.285714285688</v>
      </c>
      <c r="BJ14" s="34">
        <f t="shared" si="41"/>
        <v>0</v>
      </c>
      <c r="BK14" s="34">
        <f t="shared" si="41"/>
        <v>0</v>
      </c>
      <c r="BL14" s="34">
        <f t="shared" si="41"/>
        <v>0</v>
      </c>
      <c r="BM14" s="34">
        <f t="shared" si="41"/>
        <v>0</v>
      </c>
      <c r="BN14" s="34">
        <f t="shared" si="41"/>
        <v>0</v>
      </c>
      <c r="BO14" s="34">
        <f t="shared" si="48"/>
        <v>0</v>
      </c>
      <c r="BP14" s="34">
        <f t="shared" si="42"/>
        <v>-13200</v>
      </c>
      <c r="BQ14" s="34">
        <f t="shared" si="42"/>
        <v>42000</v>
      </c>
      <c r="BR14" s="34">
        <f t="shared" si="42"/>
        <v>0</v>
      </c>
      <c r="BS14" s="34">
        <f t="shared" si="42"/>
        <v>0</v>
      </c>
      <c r="BT14" s="34">
        <f t="shared" si="42"/>
        <v>0</v>
      </c>
      <c r="BU14" s="34" t="e">
        <f t="shared" si="42"/>
        <v>#N/A</v>
      </c>
      <c r="BW14" s="148">
        <f t="shared" si="53"/>
        <v>39421.428571428572</v>
      </c>
      <c r="BX14" s="34">
        <f t="shared" si="49"/>
        <v>0</v>
      </c>
      <c r="BY14" s="34"/>
      <c r="BZ14" s="34" t="e">
        <f t="shared" si="50"/>
        <v>#N/A</v>
      </c>
      <c r="CA14" s="34" t="e">
        <f t="shared" si="43"/>
        <v>#N/A</v>
      </c>
      <c r="CB14" s="34" t="e">
        <f t="shared" si="43"/>
        <v>#N/A</v>
      </c>
      <c r="CC14" s="34" t="e">
        <f t="shared" si="43"/>
        <v>#N/A</v>
      </c>
      <c r="CD14" s="34">
        <f t="shared" si="43"/>
        <v>0</v>
      </c>
      <c r="CE14" s="34">
        <f t="shared" si="43"/>
        <v>0</v>
      </c>
      <c r="CF14" s="34">
        <f t="shared" si="43"/>
        <v>0</v>
      </c>
      <c r="CG14" s="34">
        <f t="shared" si="43"/>
        <v>0</v>
      </c>
      <c r="CH14" s="34">
        <f t="shared" si="43"/>
        <v>0</v>
      </c>
      <c r="CI14" s="34">
        <f t="shared" si="43"/>
        <v>0</v>
      </c>
      <c r="CJ14" s="34">
        <f t="shared" si="43"/>
        <v>0</v>
      </c>
      <c r="CK14" s="34">
        <f t="shared" si="43"/>
        <v>0</v>
      </c>
      <c r="CL14" s="34" t="e">
        <f t="shared" si="51"/>
        <v>#N/A</v>
      </c>
      <c r="CM14" s="34" t="e">
        <f t="shared" si="44"/>
        <v>#N/A</v>
      </c>
      <c r="CN14" s="34">
        <f t="shared" si="44"/>
        <v>0</v>
      </c>
      <c r="CO14" s="34">
        <f t="shared" si="44"/>
        <v>0</v>
      </c>
      <c r="CP14" s="34">
        <f t="shared" si="44"/>
        <v>0</v>
      </c>
      <c r="CQ14" s="34">
        <f t="shared" si="44"/>
        <v>0</v>
      </c>
      <c r="CR14" s="34" t="e">
        <f t="shared" si="44"/>
        <v>#N/A</v>
      </c>
      <c r="CS14" s="34"/>
      <c r="CT14" s="34"/>
      <c r="CU14" s="34"/>
      <c r="CV14">
        <f t="shared" si="45"/>
        <v>17400</v>
      </c>
      <c r="CW14">
        <f t="shared" si="34"/>
        <v>79</v>
      </c>
      <c r="CX14">
        <f t="shared" si="35"/>
        <v>-76</v>
      </c>
      <c r="CY14">
        <f t="shared" si="36"/>
        <v>3</v>
      </c>
      <c r="CZ14">
        <f t="shared" si="37"/>
        <v>150</v>
      </c>
      <c r="DA14" s="34"/>
      <c r="DB14" s="34">
        <f t="shared" si="38"/>
        <v>51.990296855594806</v>
      </c>
      <c r="DC14" s="34">
        <f t="shared" si="39"/>
        <v>-98.202142566338807</v>
      </c>
      <c r="DD14" s="134">
        <f t="shared" si="40"/>
        <v>-46.211845710744001</v>
      </c>
      <c r="DE14" s="34"/>
      <c r="DF14" s="34"/>
      <c r="DG14" s="34"/>
      <c r="DH14" s="34"/>
      <c r="DI14" s="34"/>
      <c r="DJ14" s="34"/>
      <c r="DK14" s="34"/>
      <c r="DL14" s="34"/>
      <c r="DM14" s="34"/>
      <c r="DN14" s="34"/>
      <c r="DO14" s="34"/>
      <c r="DP14" s="34"/>
      <c r="DQ14" s="34"/>
      <c r="DR14" s="34"/>
      <c r="DS14" s="34"/>
      <c r="DT14" s="34"/>
      <c r="DU14" s="34"/>
      <c r="DV14" s="34"/>
    </row>
    <row r="15" spans="1:16384">
      <c r="A15" s="76" t="s">
        <v>531</v>
      </c>
      <c r="I15" s="35"/>
      <c r="J15" s="134"/>
      <c r="L15" s="35"/>
      <c r="M15" s="35"/>
      <c r="N15" s="67"/>
      <c r="S15" s="72"/>
      <c r="T15" s="72"/>
      <c r="U15" s="72"/>
      <c r="V15" s="72"/>
      <c r="W15" s="72"/>
      <c r="X15" s="72"/>
      <c r="Y15" s="72"/>
      <c r="Z15" s="72"/>
      <c r="AA15" s="72"/>
      <c r="AB15" s="72"/>
      <c r="AC15" s="72"/>
      <c r="AD15" s="72"/>
      <c r="AE15" s="72"/>
      <c r="AF15" s="72"/>
      <c r="AG15" s="72"/>
      <c r="AI15" s="35">
        <f t="shared" si="10"/>
        <v>1.066516447139394</v>
      </c>
      <c r="AJ15" t="b">
        <f t="shared" si="9"/>
        <v>0</v>
      </c>
      <c r="AK15" s="158">
        <v>44616</v>
      </c>
      <c r="AL15" s="139">
        <f t="shared" si="11"/>
        <v>16850</v>
      </c>
      <c r="AM15" s="34">
        <v>50</v>
      </c>
      <c r="AN15" s="137">
        <v>977.5</v>
      </c>
      <c r="AO15" s="34">
        <v>0.8</v>
      </c>
      <c r="AP15" s="139">
        <v>16850</v>
      </c>
      <c r="AQ15" s="34">
        <v>19.38</v>
      </c>
      <c r="AR15" t="s">
        <v>502</v>
      </c>
      <c r="AS15" s="138">
        <v>117.3</v>
      </c>
      <c r="AT15" s="34">
        <v>-0.2</v>
      </c>
      <c r="AU15" s="34">
        <v>10150</v>
      </c>
      <c r="AV15" s="34">
        <v>-4.26</v>
      </c>
      <c r="AW15" s="34">
        <v>14.95</v>
      </c>
      <c r="AX15" s="34">
        <v>2.5999999999999998E-4</v>
      </c>
      <c r="AZ15" s="148">
        <f t="shared" si="52"/>
        <v>16285.714285714286</v>
      </c>
      <c r="BA15" s="34">
        <f t="shared" si="46"/>
        <v>119314.28571428568</v>
      </c>
      <c r="BB15" s="34"/>
      <c r="BC15" s="34">
        <f t="shared" si="47"/>
        <v>0</v>
      </c>
      <c r="BD15" s="34">
        <f t="shared" si="41"/>
        <v>0</v>
      </c>
      <c r="BE15" s="34">
        <f t="shared" si="41"/>
        <v>0</v>
      </c>
      <c r="BF15" s="34">
        <f t="shared" si="41"/>
        <v>0</v>
      </c>
      <c r="BG15" s="34">
        <f t="shared" si="41"/>
        <v>18000</v>
      </c>
      <c r="BH15" s="34">
        <f t="shared" si="41"/>
        <v>25500</v>
      </c>
      <c r="BI15" s="34">
        <f t="shared" si="41"/>
        <v>47014.285714285688</v>
      </c>
      <c r="BJ15" s="34">
        <f t="shared" si="41"/>
        <v>0</v>
      </c>
      <c r="BK15" s="34">
        <f t="shared" si="41"/>
        <v>0</v>
      </c>
      <c r="BL15" s="34">
        <f t="shared" si="41"/>
        <v>0</v>
      </c>
      <c r="BM15" s="34">
        <f t="shared" si="41"/>
        <v>0</v>
      </c>
      <c r="BN15" s="34">
        <f t="shared" si="41"/>
        <v>0</v>
      </c>
      <c r="BO15" s="34">
        <f t="shared" si="48"/>
        <v>0</v>
      </c>
      <c r="BP15" s="34">
        <f t="shared" si="42"/>
        <v>-13200</v>
      </c>
      <c r="BQ15" s="34">
        <f t="shared" si="42"/>
        <v>42000</v>
      </c>
      <c r="BR15" s="34">
        <f t="shared" si="42"/>
        <v>0</v>
      </c>
      <c r="BS15" s="34">
        <f t="shared" si="42"/>
        <v>0</v>
      </c>
      <c r="BT15" s="34">
        <f t="shared" si="42"/>
        <v>0</v>
      </c>
      <c r="BU15" s="34" t="e">
        <f t="shared" si="42"/>
        <v>#N/A</v>
      </c>
      <c r="BW15" s="148">
        <f t="shared" si="53"/>
        <v>39471.428571428572</v>
      </c>
      <c r="BX15" s="34">
        <f t="shared" si="49"/>
        <v>0</v>
      </c>
      <c r="BY15" s="34"/>
      <c r="BZ15" s="34" t="e">
        <f t="shared" si="50"/>
        <v>#N/A</v>
      </c>
      <c r="CA15" s="34" t="e">
        <f t="shared" si="43"/>
        <v>#N/A</v>
      </c>
      <c r="CB15" s="34" t="e">
        <f t="shared" si="43"/>
        <v>#N/A</v>
      </c>
      <c r="CC15" s="34" t="e">
        <f t="shared" si="43"/>
        <v>#N/A</v>
      </c>
      <c r="CD15" s="34">
        <f t="shared" si="43"/>
        <v>0</v>
      </c>
      <c r="CE15" s="34">
        <f t="shared" si="43"/>
        <v>0</v>
      </c>
      <c r="CF15" s="34">
        <f t="shared" si="43"/>
        <v>0</v>
      </c>
      <c r="CG15" s="34">
        <f t="shared" si="43"/>
        <v>0</v>
      </c>
      <c r="CH15" s="34">
        <f t="shared" si="43"/>
        <v>0</v>
      </c>
      <c r="CI15" s="34">
        <f t="shared" si="43"/>
        <v>0</v>
      </c>
      <c r="CJ15" s="34">
        <f t="shared" si="43"/>
        <v>0</v>
      </c>
      <c r="CK15" s="34">
        <f t="shared" si="43"/>
        <v>0</v>
      </c>
      <c r="CL15" s="34" t="e">
        <f t="shared" si="51"/>
        <v>#N/A</v>
      </c>
      <c r="CM15" s="34" t="e">
        <f t="shared" si="44"/>
        <v>#N/A</v>
      </c>
      <c r="CN15" s="34">
        <f t="shared" si="44"/>
        <v>0</v>
      </c>
      <c r="CO15" s="34">
        <f t="shared" si="44"/>
        <v>0</v>
      </c>
      <c r="CP15" s="34">
        <f t="shared" si="44"/>
        <v>0</v>
      </c>
      <c r="CQ15" s="34">
        <f t="shared" si="44"/>
        <v>0</v>
      </c>
      <c r="CR15" s="34" t="e">
        <f t="shared" si="44"/>
        <v>#N/A</v>
      </c>
      <c r="CS15" s="34"/>
      <c r="CT15" s="34"/>
      <c r="CU15" s="34"/>
      <c r="CV15">
        <f t="shared" si="45"/>
        <v>17450</v>
      </c>
      <c r="CW15">
        <f t="shared" si="34"/>
        <v>79</v>
      </c>
      <c r="CX15">
        <f t="shared" si="35"/>
        <v>-26</v>
      </c>
      <c r="CY15">
        <f t="shared" si="36"/>
        <v>53</v>
      </c>
      <c r="CZ15">
        <f t="shared" si="37"/>
        <v>2650</v>
      </c>
      <c r="DA15" s="34"/>
      <c r="DB15" s="34">
        <f t="shared" si="38"/>
        <v>38.220077149655481</v>
      </c>
      <c r="DC15" s="34">
        <f t="shared" si="39"/>
        <v>-61.972362272275859</v>
      </c>
      <c r="DD15" s="134">
        <f t="shared" si="40"/>
        <v>-23.752285122620378</v>
      </c>
      <c r="DE15" s="34"/>
      <c r="DF15" s="34"/>
      <c r="DG15" s="34"/>
      <c r="DH15" s="34"/>
      <c r="DI15" s="34"/>
      <c r="DJ15" s="34"/>
      <c r="DK15" s="34"/>
      <c r="DL15" s="34"/>
      <c r="DM15" s="34"/>
      <c r="DN15" s="34"/>
      <c r="DO15" s="34"/>
      <c r="DP15" s="34"/>
      <c r="DQ15" s="34"/>
      <c r="DR15" s="34"/>
      <c r="DS15" s="34"/>
      <c r="DT15" s="34"/>
      <c r="DU15" s="34"/>
      <c r="DV15" s="34"/>
    </row>
    <row r="16" spans="1:16384">
      <c r="A16" s="76" t="s">
        <v>532</v>
      </c>
      <c r="B16" s="77">
        <f>B6-3</f>
        <v>44480</v>
      </c>
      <c r="I16" s="35"/>
      <c r="J16" s="134"/>
      <c r="L16" s="35"/>
      <c r="M16" s="35"/>
      <c r="N16" s="67"/>
      <c r="S16" s="72"/>
      <c r="T16" s="72"/>
      <c r="U16" s="72"/>
      <c r="V16" s="72"/>
      <c r="W16" s="72"/>
      <c r="X16" s="72"/>
      <c r="Y16" s="72"/>
      <c r="Z16" s="72"/>
      <c r="AA16" s="72"/>
      <c r="AB16" s="72"/>
      <c r="AC16" s="72"/>
      <c r="AD16" s="72"/>
      <c r="AE16" s="72"/>
      <c r="AF16" s="72"/>
      <c r="AG16" s="72"/>
      <c r="AI16" s="35">
        <f t="shared" si="10"/>
        <v>1.0696811843712617</v>
      </c>
      <c r="AJ16" t="b">
        <f t="shared" si="9"/>
        <v>0</v>
      </c>
      <c r="AK16" s="158">
        <v>44616</v>
      </c>
      <c r="AL16" s="139">
        <f t="shared" si="11"/>
        <v>16900</v>
      </c>
      <c r="AM16" s="34">
        <v>5700</v>
      </c>
      <c r="AN16" s="137">
        <v>900</v>
      </c>
      <c r="AO16" s="34">
        <v>0.79</v>
      </c>
      <c r="AP16" s="139">
        <v>16900</v>
      </c>
      <c r="AQ16" s="34">
        <v>19.59</v>
      </c>
      <c r="AR16" t="s">
        <v>502</v>
      </c>
      <c r="AS16" s="138">
        <v>131.69999999999999</v>
      </c>
      <c r="AT16" s="34">
        <v>-0.21</v>
      </c>
      <c r="AU16" s="34">
        <v>376550</v>
      </c>
      <c r="AV16" s="34">
        <v>-4.5199999999999996</v>
      </c>
      <c r="AW16" s="34">
        <v>15.68</v>
      </c>
      <c r="AX16" s="34">
        <v>2.7E-4</v>
      </c>
      <c r="AZ16" s="148">
        <f t="shared" si="52"/>
        <v>16385.714285714286</v>
      </c>
      <c r="BA16" s="34">
        <f t="shared" si="46"/>
        <v>114314.28571428568</v>
      </c>
      <c r="BB16" s="34"/>
      <c r="BC16" s="34">
        <f t="shared" si="47"/>
        <v>0</v>
      </c>
      <c r="BD16" s="34">
        <f t="shared" si="41"/>
        <v>0</v>
      </c>
      <c r="BE16" s="34">
        <f t="shared" si="41"/>
        <v>0</v>
      </c>
      <c r="BF16" s="34">
        <f t="shared" si="41"/>
        <v>0</v>
      </c>
      <c r="BG16" s="34">
        <f t="shared" si="41"/>
        <v>18000</v>
      </c>
      <c r="BH16" s="34">
        <f t="shared" si="41"/>
        <v>25500</v>
      </c>
      <c r="BI16" s="34">
        <f t="shared" si="41"/>
        <v>42014.285714285688</v>
      </c>
      <c r="BJ16" s="34">
        <f t="shared" si="41"/>
        <v>0</v>
      </c>
      <c r="BK16" s="34">
        <f t="shared" si="41"/>
        <v>0</v>
      </c>
      <c r="BL16" s="34">
        <f t="shared" si="41"/>
        <v>0</v>
      </c>
      <c r="BM16" s="34">
        <f t="shared" si="41"/>
        <v>0</v>
      </c>
      <c r="BN16" s="34">
        <f t="shared" si="41"/>
        <v>0</v>
      </c>
      <c r="BO16" s="34">
        <f>IF(ISBLANK(BO$2),0,(MAX($AZ16-BO$2,0)-IF(ISNUMBER(BO$4),BO$4,BO$3))*BO$5)</f>
        <v>0</v>
      </c>
      <c r="BP16" s="34">
        <f t="shared" si="42"/>
        <v>-13200</v>
      </c>
      <c r="BQ16" s="34">
        <f t="shared" si="42"/>
        <v>42000</v>
      </c>
      <c r="BR16" s="34">
        <f t="shared" si="42"/>
        <v>0</v>
      </c>
      <c r="BS16" s="34">
        <f t="shared" si="42"/>
        <v>0</v>
      </c>
      <c r="BT16" s="34">
        <f t="shared" si="42"/>
        <v>0</v>
      </c>
      <c r="BU16" s="34" t="e">
        <f t="shared" si="42"/>
        <v>#N/A</v>
      </c>
      <c r="BW16" s="148">
        <f t="shared" si="53"/>
        <v>39521.428571428572</v>
      </c>
      <c r="BX16" s="34">
        <f t="shared" si="49"/>
        <v>0</v>
      </c>
      <c r="BY16" s="34"/>
      <c r="BZ16" s="34" t="e">
        <f t="shared" si="50"/>
        <v>#N/A</v>
      </c>
      <c r="CA16" s="34" t="e">
        <f t="shared" si="43"/>
        <v>#N/A</v>
      </c>
      <c r="CB16" s="34" t="e">
        <f t="shared" si="43"/>
        <v>#N/A</v>
      </c>
      <c r="CC16" s="34" t="e">
        <f t="shared" si="43"/>
        <v>#N/A</v>
      </c>
      <c r="CD16" s="34">
        <f t="shared" si="43"/>
        <v>0</v>
      </c>
      <c r="CE16" s="34">
        <f t="shared" si="43"/>
        <v>0</v>
      </c>
      <c r="CF16" s="34">
        <f t="shared" si="43"/>
        <v>0</v>
      </c>
      <c r="CG16" s="34">
        <f t="shared" si="43"/>
        <v>0</v>
      </c>
      <c r="CH16" s="34">
        <f t="shared" si="43"/>
        <v>0</v>
      </c>
      <c r="CI16" s="34">
        <f t="shared" si="43"/>
        <v>0</v>
      </c>
      <c r="CJ16" s="34">
        <f t="shared" si="43"/>
        <v>0</v>
      </c>
      <c r="CK16" s="34">
        <f t="shared" si="43"/>
        <v>0</v>
      </c>
      <c r="CL16" s="34" t="e">
        <f t="shared" si="51"/>
        <v>#N/A</v>
      </c>
      <c r="CM16" s="34" t="e">
        <f t="shared" si="44"/>
        <v>#N/A</v>
      </c>
      <c r="CN16" s="34">
        <f t="shared" si="44"/>
        <v>0</v>
      </c>
      <c r="CO16" s="34">
        <f t="shared" si="44"/>
        <v>0</v>
      </c>
      <c r="CP16" s="34">
        <f t="shared" si="44"/>
        <v>0</v>
      </c>
      <c r="CQ16" s="34">
        <f t="shared" si="44"/>
        <v>0</v>
      </c>
      <c r="CR16" s="34" t="e">
        <f t="shared" si="44"/>
        <v>#N/A</v>
      </c>
      <c r="CS16" s="34"/>
      <c r="CT16" s="34"/>
      <c r="CU16" s="34"/>
      <c r="CV16">
        <f t="shared" si="45"/>
        <v>17500</v>
      </c>
      <c r="CW16">
        <f t="shared" si="34"/>
        <v>79</v>
      </c>
      <c r="CX16">
        <f t="shared" si="35"/>
        <v>24</v>
      </c>
      <c r="CY16">
        <f t="shared" si="36"/>
        <v>103</v>
      </c>
      <c r="CZ16">
        <f t="shared" si="37"/>
        <v>5150</v>
      </c>
      <c r="DA16" s="34"/>
      <c r="DB16" s="34">
        <f t="shared" si="38"/>
        <v>19.97781443754684</v>
      </c>
      <c r="DC16" s="34">
        <f t="shared" si="39"/>
        <v>-30.2146249843845</v>
      </c>
      <c r="DD16" s="134">
        <f t="shared" si="40"/>
        <v>-10.23681054683766</v>
      </c>
      <c r="DE16" s="34"/>
      <c r="DF16" s="34"/>
      <c r="DG16" s="34"/>
      <c r="DH16" s="34"/>
      <c r="DI16" s="34"/>
      <c r="DJ16" s="34"/>
      <c r="DK16" s="34"/>
      <c r="DL16" s="34"/>
      <c r="DM16" s="34"/>
      <c r="DN16" s="34"/>
      <c r="DO16" s="34"/>
      <c r="DP16" s="34"/>
      <c r="DQ16" s="34"/>
      <c r="DR16" s="34"/>
      <c r="DS16" s="34"/>
      <c r="DT16" s="34"/>
      <c r="DU16" s="34"/>
      <c r="DV16" s="34"/>
    </row>
    <row r="17" spans="1:126">
      <c r="A17" s="76" t="s">
        <v>533</v>
      </c>
      <c r="B17" s="65">
        <v>17000</v>
      </c>
      <c r="I17" s="35"/>
      <c r="J17" s="134"/>
      <c r="L17" s="35"/>
      <c r="M17" s="35"/>
      <c r="N17" s="67"/>
      <c r="S17" s="72"/>
      <c r="T17" s="72"/>
      <c r="U17" s="72"/>
      <c r="V17" s="72"/>
      <c r="W17" s="72"/>
      <c r="X17" s="72"/>
      <c r="Y17" s="72"/>
      <c r="Z17" s="72"/>
      <c r="AA17" s="72"/>
      <c r="AB17" s="72"/>
      <c r="AC17" s="72"/>
      <c r="AD17" s="72"/>
      <c r="AE17" s="72"/>
      <c r="AF17" s="72"/>
      <c r="AG17" s="72"/>
      <c r="AI17" s="35">
        <f t="shared" si="10"/>
        <v>1.0728459216031292</v>
      </c>
      <c r="AJ17" t="b">
        <f t="shared" si="9"/>
        <v>0</v>
      </c>
      <c r="AK17" s="158">
        <v>44616</v>
      </c>
      <c r="AL17" s="139">
        <f t="shared" si="11"/>
        <v>16950</v>
      </c>
      <c r="AM17" s="34">
        <v>0</v>
      </c>
      <c r="AN17" s="137">
        <v>0</v>
      </c>
      <c r="AO17" s="34">
        <v>0.77</v>
      </c>
      <c r="AP17" s="139">
        <v>16950</v>
      </c>
      <c r="AQ17" s="34">
        <v>19.61</v>
      </c>
      <c r="AR17" t="s">
        <v>502</v>
      </c>
      <c r="AS17" s="138">
        <v>143.9</v>
      </c>
      <c r="AT17" s="34">
        <v>-0.23</v>
      </c>
      <c r="AU17" s="34">
        <v>23800</v>
      </c>
      <c r="AV17" s="34">
        <v>-4.7</v>
      </c>
      <c r="AW17" s="34">
        <v>16.3</v>
      </c>
      <c r="AX17" s="34">
        <v>2.9E-4</v>
      </c>
      <c r="AZ17" s="148">
        <f t="shared" si="52"/>
        <v>16485.714285714286</v>
      </c>
      <c r="BA17" s="34">
        <f t="shared" si="46"/>
        <v>109314.28571428568</v>
      </c>
      <c r="BB17" s="34"/>
      <c r="BC17" s="34">
        <f t="shared" si="47"/>
        <v>0</v>
      </c>
      <c r="BD17" s="34">
        <f t="shared" si="41"/>
        <v>0</v>
      </c>
      <c r="BE17" s="34">
        <f t="shared" si="41"/>
        <v>0</v>
      </c>
      <c r="BF17" s="34">
        <f t="shared" si="41"/>
        <v>0</v>
      </c>
      <c r="BG17" s="34">
        <f t="shared" si="41"/>
        <v>18000</v>
      </c>
      <c r="BH17" s="34">
        <f t="shared" si="41"/>
        <v>25500</v>
      </c>
      <c r="BI17" s="34">
        <f t="shared" si="41"/>
        <v>37014.285714285688</v>
      </c>
      <c r="BJ17" s="34">
        <f t="shared" si="41"/>
        <v>0</v>
      </c>
      <c r="BK17" s="34">
        <f t="shared" si="41"/>
        <v>0</v>
      </c>
      <c r="BL17" s="34">
        <f t="shared" si="41"/>
        <v>0</v>
      </c>
      <c r="BM17" s="34">
        <f t="shared" si="41"/>
        <v>0</v>
      </c>
      <c r="BN17" s="34">
        <f t="shared" si="41"/>
        <v>0</v>
      </c>
      <c r="BO17" s="34">
        <f t="shared" si="48"/>
        <v>0</v>
      </c>
      <c r="BP17" s="34">
        <f t="shared" si="42"/>
        <v>-13200</v>
      </c>
      <c r="BQ17" s="34">
        <f t="shared" si="42"/>
        <v>42000</v>
      </c>
      <c r="BR17" s="34">
        <f t="shared" si="42"/>
        <v>0</v>
      </c>
      <c r="BS17" s="34">
        <f t="shared" si="42"/>
        <v>0</v>
      </c>
      <c r="BT17" s="34">
        <f t="shared" si="42"/>
        <v>0</v>
      </c>
      <c r="BU17" s="34" t="e">
        <f t="shared" si="42"/>
        <v>#N/A</v>
      </c>
      <c r="BW17" s="148">
        <f t="shared" si="53"/>
        <v>39571.428571428572</v>
      </c>
      <c r="BX17" s="34">
        <f t="shared" si="49"/>
        <v>0</v>
      </c>
      <c r="BY17" s="34"/>
      <c r="BZ17" s="34" t="e">
        <f t="shared" si="50"/>
        <v>#N/A</v>
      </c>
      <c r="CA17" s="34" t="e">
        <f t="shared" si="43"/>
        <v>#N/A</v>
      </c>
      <c r="CB17" s="34" t="e">
        <f t="shared" si="43"/>
        <v>#N/A</v>
      </c>
      <c r="CC17" s="34" t="e">
        <f t="shared" si="43"/>
        <v>#N/A</v>
      </c>
      <c r="CD17" s="34">
        <f t="shared" si="43"/>
        <v>0</v>
      </c>
      <c r="CE17" s="34">
        <f t="shared" si="43"/>
        <v>0</v>
      </c>
      <c r="CF17" s="34">
        <f t="shared" si="43"/>
        <v>0</v>
      </c>
      <c r="CG17" s="34">
        <f t="shared" si="43"/>
        <v>0</v>
      </c>
      <c r="CH17" s="34">
        <f t="shared" si="43"/>
        <v>0</v>
      </c>
      <c r="CI17" s="34">
        <f t="shared" si="43"/>
        <v>0</v>
      </c>
      <c r="CJ17" s="34">
        <f t="shared" si="43"/>
        <v>0</v>
      </c>
      <c r="CK17" s="34">
        <f t="shared" si="43"/>
        <v>0</v>
      </c>
      <c r="CL17" s="34" t="e">
        <f t="shared" si="51"/>
        <v>#N/A</v>
      </c>
      <c r="CM17" s="34" t="e">
        <f t="shared" si="44"/>
        <v>#N/A</v>
      </c>
      <c r="CN17" s="34">
        <f t="shared" si="44"/>
        <v>0</v>
      </c>
      <c r="CO17" s="34">
        <f t="shared" si="44"/>
        <v>0</v>
      </c>
      <c r="CP17" s="34">
        <f t="shared" si="44"/>
        <v>0</v>
      </c>
      <c r="CQ17" s="34">
        <f t="shared" si="44"/>
        <v>0</v>
      </c>
      <c r="CR17" s="34" t="e">
        <f t="shared" si="44"/>
        <v>#N/A</v>
      </c>
      <c r="CS17" s="34"/>
      <c r="CT17" s="34"/>
      <c r="CU17" s="34"/>
      <c r="CV17">
        <f t="shared" si="45"/>
        <v>17550</v>
      </c>
      <c r="CW17">
        <f t="shared" si="34"/>
        <v>79</v>
      </c>
      <c r="CX17">
        <f t="shared" si="35"/>
        <v>74</v>
      </c>
      <c r="CY17">
        <f t="shared" si="36"/>
        <v>153</v>
      </c>
      <c r="CZ17">
        <f t="shared" si="37"/>
        <v>7650</v>
      </c>
      <c r="DA17" s="34"/>
      <c r="DB17" s="34">
        <f t="shared" si="38"/>
        <v>-3.1253757188205782</v>
      </c>
      <c r="DC17" s="34">
        <f t="shared" si="39"/>
        <v>-3.3178151407519181</v>
      </c>
      <c r="DD17" s="134">
        <f t="shared" si="40"/>
        <v>-6.4431908595724963</v>
      </c>
      <c r="DE17" s="34"/>
      <c r="DF17" s="34"/>
      <c r="DG17" s="34"/>
      <c r="DH17" s="34"/>
      <c r="DI17" s="34"/>
      <c r="DJ17" s="34"/>
      <c r="DK17" s="34"/>
      <c r="DL17" s="34"/>
      <c r="DM17" s="34"/>
      <c r="DN17" s="34"/>
      <c r="DO17" s="34"/>
      <c r="DP17" s="34"/>
      <c r="DQ17" s="34"/>
      <c r="DR17" s="34"/>
      <c r="DS17" s="34"/>
      <c r="DT17" s="34"/>
      <c r="DU17" s="34"/>
      <c r="DV17" s="34"/>
    </row>
    <row r="18" spans="1:126">
      <c r="A18" s="76" t="s">
        <v>534</v>
      </c>
      <c r="I18" s="35"/>
      <c r="J18" s="134"/>
      <c r="L18" s="35"/>
      <c r="M18" s="35"/>
      <c r="N18" s="67"/>
      <c r="S18" s="72"/>
      <c r="T18" s="72"/>
      <c r="U18" s="72"/>
      <c r="V18" s="72"/>
      <c r="W18" s="72"/>
      <c r="X18" s="72"/>
      <c r="Y18" s="72"/>
      <c r="Z18" s="72"/>
      <c r="AA18" s="72"/>
      <c r="AB18" s="72"/>
      <c r="AC18" s="72"/>
      <c r="AD18" s="72"/>
      <c r="AE18" s="72"/>
      <c r="AF18" s="72"/>
      <c r="AG18" s="72"/>
      <c r="AI18" s="35">
        <f t="shared" si="10"/>
        <v>1.0760106588349969</v>
      </c>
      <c r="AJ18" t="b">
        <f t="shared" si="9"/>
        <v>0</v>
      </c>
      <c r="AK18" s="158">
        <v>44616</v>
      </c>
      <c r="AL18" s="139">
        <f t="shared" si="11"/>
        <v>17000</v>
      </c>
      <c r="AM18" s="34">
        <v>173400</v>
      </c>
      <c r="AN18" s="137">
        <v>847</v>
      </c>
      <c r="AO18" s="34">
        <v>0.76</v>
      </c>
      <c r="AP18" s="139">
        <v>17000</v>
      </c>
      <c r="AQ18" s="34">
        <v>19.55</v>
      </c>
      <c r="AR18" t="s">
        <v>502</v>
      </c>
      <c r="AS18" s="138">
        <v>155.55000000000001</v>
      </c>
      <c r="AT18" s="34">
        <v>-0.24</v>
      </c>
      <c r="AU18" s="34">
        <v>2077200</v>
      </c>
      <c r="AV18" s="34">
        <v>-4.8499999999999996</v>
      </c>
      <c r="AW18" s="34">
        <v>16.87</v>
      </c>
      <c r="AX18" s="34">
        <v>2.9999999999999997E-4</v>
      </c>
      <c r="AZ18" s="148">
        <f t="shared" si="52"/>
        <v>16585.714285714286</v>
      </c>
      <c r="BA18" s="34">
        <f t="shared" si="46"/>
        <v>104314.28571428568</v>
      </c>
      <c r="BB18" s="34"/>
      <c r="BC18" s="34">
        <f t="shared" si="47"/>
        <v>0</v>
      </c>
      <c r="BD18" s="34">
        <f t="shared" si="41"/>
        <v>0</v>
      </c>
      <c r="BE18" s="34">
        <f t="shared" si="41"/>
        <v>0</v>
      </c>
      <c r="BF18" s="34">
        <f t="shared" si="41"/>
        <v>0</v>
      </c>
      <c r="BG18" s="34">
        <f t="shared" si="41"/>
        <v>18000</v>
      </c>
      <c r="BH18" s="34">
        <f t="shared" si="41"/>
        <v>25500</v>
      </c>
      <c r="BI18" s="34">
        <f t="shared" si="41"/>
        <v>32014.285714285688</v>
      </c>
      <c r="BJ18" s="34">
        <f t="shared" si="41"/>
        <v>0</v>
      </c>
      <c r="BK18" s="34">
        <f t="shared" si="41"/>
        <v>0</v>
      </c>
      <c r="BL18" s="34">
        <f t="shared" si="41"/>
        <v>0</v>
      </c>
      <c r="BM18" s="34">
        <f t="shared" si="41"/>
        <v>0</v>
      </c>
      <c r="BN18" s="34">
        <f t="shared" si="41"/>
        <v>0</v>
      </c>
      <c r="BO18" s="34">
        <f t="shared" si="48"/>
        <v>0</v>
      </c>
      <c r="BP18" s="34">
        <f t="shared" si="42"/>
        <v>-13200</v>
      </c>
      <c r="BQ18" s="34">
        <f t="shared" si="42"/>
        <v>42000</v>
      </c>
      <c r="BR18" s="34">
        <f t="shared" si="42"/>
        <v>0</v>
      </c>
      <c r="BS18" s="34">
        <f t="shared" si="42"/>
        <v>0</v>
      </c>
      <c r="BT18" s="34">
        <f t="shared" si="42"/>
        <v>0</v>
      </c>
      <c r="BU18" s="34" t="e">
        <f t="shared" si="42"/>
        <v>#N/A</v>
      </c>
      <c r="BW18" s="148">
        <f t="shared" si="53"/>
        <v>39621.428571428572</v>
      </c>
      <c r="BX18" s="34">
        <f t="shared" si="49"/>
        <v>0</v>
      </c>
      <c r="BY18" s="34"/>
      <c r="BZ18" s="34" t="e">
        <f t="shared" si="50"/>
        <v>#N/A</v>
      </c>
      <c r="CA18" s="34" t="e">
        <f t="shared" si="43"/>
        <v>#N/A</v>
      </c>
      <c r="CB18" s="34" t="e">
        <f t="shared" si="43"/>
        <v>#N/A</v>
      </c>
      <c r="CC18" s="34" t="e">
        <f t="shared" si="43"/>
        <v>#N/A</v>
      </c>
      <c r="CD18" s="34">
        <f t="shared" si="43"/>
        <v>0</v>
      </c>
      <c r="CE18" s="34">
        <f t="shared" si="43"/>
        <v>0</v>
      </c>
      <c r="CF18" s="34">
        <f t="shared" si="43"/>
        <v>0</v>
      </c>
      <c r="CG18" s="34">
        <f t="shared" si="43"/>
        <v>0</v>
      </c>
      <c r="CH18" s="34">
        <f t="shared" si="43"/>
        <v>0</v>
      </c>
      <c r="CI18" s="34">
        <f t="shared" si="43"/>
        <v>0</v>
      </c>
      <c r="CJ18" s="34">
        <f t="shared" si="43"/>
        <v>0</v>
      </c>
      <c r="CK18" s="34">
        <f t="shared" si="43"/>
        <v>0</v>
      </c>
      <c r="CL18" s="34" t="e">
        <f t="shared" si="51"/>
        <v>#N/A</v>
      </c>
      <c r="CM18" s="34" t="e">
        <f t="shared" si="44"/>
        <v>#N/A</v>
      </c>
      <c r="CN18" s="34">
        <f t="shared" si="44"/>
        <v>0</v>
      </c>
      <c r="CO18" s="34">
        <f t="shared" si="44"/>
        <v>0</v>
      </c>
      <c r="CP18" s="34">
        <f t="shared" si="44"/>
        <v>0</v>
      </c>
      <c r="CQ18" s="34">
        <f t="shared" si="44"/>
        <v>0</v>
      </c>
      <c r="CR18" s="34" t="e">
        <f t="shared" si="44"/>
        <v>#N/A</v>
      </c>
      <c r="CS18" s="34"/>
      <c r="CT18" s="34"/>
      <c r="CU18" s="34"/>
      <c r="CV18">
        <f t="shared" si="45"/>
        <v>17600</v>
      </c>
      <c r="CW18">
        <f t="shared" si="34"/>
        <v>29</v>
      </c>
      <c r="CX18">
        <f t="shared" si="35"/>
        <v>74</v>
      </c>
      <c r="CY18">
        <f t="shared" si="36"/>
        <v>103</v>
      </c>
      <c r="CZ18">
        <f t="shared" si="37"/>
        <v>5150</v>
      </c>
      <c r="DA18" s="34"/>
      <c r="DB18" s="34">
        <f t="shared" si="38"/>
        <v>-31.192230619626571</v>
      </c>
      <c r="DC18" s="34">
        <f t="shared" si="39"/>
        <v>18.615329958442999</v>
      </c>
      <c r="DD18" s="134">
        <f t="shared" si="40"/>
        <v>-12.576900661183572</v>
      </c>
      <c r="DE18" s="34"/>
      <c r="DF18" s="34"/>
      <c r="DG18" s="34"/>
      <c r="DH18" s="34"/>
      <c r="DI18" s="34"/>
      <c r="DJ18" s="34"/>
      <c r="DK18" s="34"/>
      <c r="DL18" s="34"/>
      <c r="DM18" s="34"/>
      <c r="DN18" s="34"/>
      <c r="DO18" s="34"/>
      <c r="DP18" s="34"/>
      <c r="DQ18" s="34"/>
      <c r="DR18" s="34"/>
      <c r="DS18" s="34"/>
      <c r="DT18" s="34"/>
      <c r="DU18" s="34"/>
      <c r="DV18" s="34"/>
    </row>
    <row r="19" spans="1:126">
      <c r="A19" s="76" t="s">
        <v>535</v>
      </c>
      <c r="I19" s="35"/>
      <c r="J19" s="134"/>
      <c r="L19" s="35"/>
      <c r="M19" s="35"/>
      <c r="N19" s="67"/>
      <c r="S19" s="72"/>
      <c r="T19" s="72"/>
      <c r="U19" s="72"/>
      <c r="V19" s="72"/>
      <c r="W19" s="72"/>
      <c r="X19" s="72"/>
      <c r="Y19" s="72"/>
      <c r="Z19" s="72"/>
      <c r="AA19" s="72"/>
      <c r="AB19" s="72"/>
      <c r="AC19" s="72"/>
      <c r="AD19" s="72"/>
      <c r="AE19" s="72"/>
      <c r="AF19" s="72"/>
      <c r="AG19" s="72"/>
      <c r="AI19" s="35">
        <f t="shared" si="10"/>
        <v>1.0791753960668646</v>
      </c>
      <c r="AJ19" t="b">
        <f t="shared" si="9"/>
        <v>0</v>
      </c>
      <c r="AK19" s="158">
        <v>44616</v>
      </c>
      <c r="AL19" s="139">
        <f t="shared" si="11"/>
        <v>17050</v>
      </c>
      <c r="AM19" s="34">
        <v>150</v>
      </c>
      <c r="AN19" s="137">
        <v>736</v>
      </c>
      <c r="AO19" s="34">
        <v>0.74</v>
      </c>
      <c r="AP19" s="139">
        <v>17050</v>
      </c>
      <c r="AQ19" s="34">
        <v>20.23</v>
      </c>
      <c r="AR19" t="s">
        <v>502</v>
      </c>
      <c r="AS19" s="138">
        <v>181.05</v>
      </c>
      <c r="AT19" s="34">
        <v>-0.26</v>
      </c>
      <c r="AU19" s="34">
        <v>5250</v>
      </c>
      <c r="AV19" s="34">
        <v>-5.26</v>
      </c>
      <c r="AW19" s="34">
        <v>17.66</v>
      </c>
      <c r="AX19" s="34">
        <v>2.9999999999999997E-4</v>
      </c>
      <c r="AZ19" s="148">
        <f t="shared" si="52"/>
        <v>16685.714285714286</v>
      </c>
      <c r="BA19" s="34">
        <f t="shared" si="46"/>
        <v>99314.285714285681</v>
      </c>
      <c r="BB19" s="34"/>
      <c r="BC19" s="34">
        <f t="shared" si="47"/>
        <v>0</v>
      </c>
      <c r="BD19" s="34">
        <f t="shared" si="41"/>
        <v>0</v>
      </c>
      <c r="BE19" s="34">
        <f t="shared" si="41"/>
        <v>0</v>
      </c>
      <c r="BF19" s="34">
        <f t="shared" si="41"/>
        <v>0</v>
      </c>
      <c r="BG19" s="34">
        <f t="shared" si="41"/>
        <v>18000</v>
      </c>
      <c r="BH19" s="34">
        <f t="shared" si="41"/>
        <v>25500</v>
      </c>
      <c r="BI19" s="34">
        <f t="shared" si="41"/>
        <v>27014.285714285688</v>
      </c>
      <c r="BJ19" s="34">
        <f t="shared" si="41"/>
        <v>0</v>
      </c>
      <c r="BK19" s="34">
        <f t="shared" si="41"/>
        <v>0</v>
      </c>
      <c r="BL19" s="34">
        <f t="shared" si="41"/>
        <v>0</v>
      </c>
      <c r="BM19" s="34">
        <f t="shared" si="41"/>
        <v>0</v>
      </c>
      <c r="BN19" s="34">
        <f t="shared" si="41"/>
        <v>0</v>
      </c>
      <c r="BO19" s="34">
        <f t="shared" si="48"/>
        <v>0</v>
      </c>
      <c r="BP19" s="34">
        <f t="shared" si="42"/>
        <v>-13200</v>
      </c>
      <c r="BQ19" s="34">
        <f t="shared" si="42"/>
        <v>42000</v>
      </c>
      <c r="BR19" s="34">
        <f t="shared" si="42"/>
        <v>0</v>
      </c>
      <c r="BS19" s="34">
        <f t="shared" si="42"/>
        <v>0</v>
      </c>
      <c r="BT19" s="34">
        <f t="shared" si="42"/>
        <v>0</v>
      </c>
      <c r="BU19" s="34" t="e">
        <f t="shared" si="42"/>
        <v>#N/A</v>
      </c>
      <c r="BW19" s="148">
        <f t="shared" si="53"/>
        <v>39671.428571428572</v>
      </c>
      <c r="BX19" s="34">
        <f t="shared" si="49"/>
        <v>0</v>
      </c>
      <c r="BY19" s="34"/>
      <c r="BZ19" s="34" t="e">
        <f t="shared" si="50"/>
        <v>#N/A</v>
      </c>
      <c r="CA19" s="34" t="e">
        <f t="shared" si="43"/>
        <v>#N/A</v>
      </c>
      <c r="CB19" s="34" t="e">
        <f t="shared" si="43"/>
        <v>#N/A</v>
      </c>
      <c r="CC19" s="34" t="e">
        <f t="shared" si="43"/>
        <v>#N/A</v>
      </c>
      <c r="CD19" s="34">
        <f t="shared" si="43"/>
        <v>0</v>
      </c>
      <c r="CE19" s="34">
        <f t="shared" si="43"/>
        <v>0</v>
      </c>
      <c r="CF19" s="34">
        <f t="shared" si="43"/>
        <v>0</v>
      </c>
      <c r="CG19" s="34">
        <f t="shared" si="43"/>
        <v>0</v>
      </c>
      <c r="CH19" s="34">
        <f t="shared" si="43"/>
        <v>0</v>
      </c>
      <c r="CI19" s="34">
        <f t="shared" si="43"/>
        <v>0</v>
      </c>
      <c r="CJ19" s="34">
        <f t="shared" si="43"/>
        <v>0</v>
      </c>
      <c r="CK19" s="34">
        <f t="shared" si="43"/>
        <v>0</v>
      </c>
      <c r="CL19" s="34" t="e">
        <f t="shared" si="51"/>
        <v>#N/A</v>
      </c>
      <c r="CM19" s="34" t="e">
        <f t="shared" si="44"/>
        <v>#N/A</v>
      </c>
      <c r="CN19" s="34">
        <f t="shared" si="44"/>
        <v>0</v>
      </c>
      <c r="CO19" s="34">
        <f t="shared" si="44"/>
        <v>0</v>
      </c>
      <c r="CP19" s="34">
        <f t="shared" si="44"/>
        <v>0</v>
      </c>
      <c r="CQ19" s="34">
        <f t="shared" si="44"/>
        <v>0</v>
      </c>
      <c r="CR19" s="34" t="e">
        <f t="shared" si="44"/>
        <v>#N/A</v>
      </c>
      <c r="CS19" s="34"/>
      <c r="CT19" s="34"/>
      <c r="CU19" s="34"/>
      <c r="CV19">
        <f t="shared" si="45"/>
        <v>17650</v>
      </c>
      <c r="CW19">
        <f t="shared" si="34"/>
        <v>-21</v>
      </c>
      <c r="CX19">
        <f t="shared" si="35"/>
        <v>74</v>
      </c>
      <c r="CY19">
        <f t="shared" si="36"/>
        <v>53</v>
      </c>
      <c r="CZ19">
        <f t="shared" si="37"/>
        <v>2650</v>
      </c>
      <c r="DA19" s="34"/>
      <c r="DB19" s="34">
        <f t="shared" si="38"/>
        <v>-64.02320095451978</v>
      </c>
      <c r="DC19" s="34">
        <f t="shared" si="39"/>
        <v>35.78435962354979</v>
      </c>
      <c r="DD19" s="134">
        <f t="shared" si="40"/>
        <v>-28.23884133096999</v>
      </c>
      <c r="DE19" s="34"/>
      <c r="DF19" s="34"/>
      <c r="DG19" s="34"/>
      <c r="DH19" s="34"/>
      <c r="DI19" s="34"/>
      <c r="DJ19" s="34"/>
      <c r="DK19" s="34"/>
      <c r="DL19" s="34"/>
      <c r="DM19" s="34"/>
      <c r="DN19" s="34"/>
      <c r="DO19" s="34"/>
      <c r="DP19" s="34"/>
      <c r="DQ19" s="34"/>
      <c r="DR19" s="34"/>
      <c r="DS19" s="34"/>
      <c r="DT19" s="34"/>
      <c r="DU19" s="34"/>
      <c r="DV19" s="34"/>
    </row>
    <row r="20" spans="1:126">
      <c r="I20" s="35"/>
      <c r="J20" s="134"/>
      <c r="L20" s="35"/>
      <c r="M20" s="35"/>
      <c r="N20" s="67"/>
      <c r="S20" s="72"/>
      <c r="T20" s="72"/>
      <c r="U20" s="72"/>
      <c r="V20" s="72"/>
      <c r="W20" s="72"/>
      <c r="X20" s="72"/>
      <c r="Y20" s="72"/>
      <c r="Z20" s="72"/>
      <c r="AA20" s="72"/>
      <c r="AB20" s="72"/>
      <c r="AC20" s="72"/>
      <c r="AD20" s="72"/>
      <c r="AE20" s="72"/>
      <c r="AF20" s="72"/>
      <c r="AG20" s="72"/>
      <c r="AI20" s="35">
        <f t="shared" si="10"/>
        <v>1.0823401332987321</v>
      </c>
      <c r="AJ20" t="b">
        <f t="shared" si="9"/>
        <v>0</v>
      </c>
      <c r="AK20" s="158">
        <v>44616</v>
      </c>
      <c r="AL20" s="139">
        <f t="shared" si="11"/>
        <v>17100</v>
      </c>
      <c r="AM20" s="34">
        <v>9150</v>
      </c>
      <c r="AN20" s="137">
        <v>760.05</v>
      </c>
      <c r="AO20" s="34">
        <v>0.72</v>
      </c>
      <c r="AP20" s="139">
        <v>17100</v>
      </c>
      <c r="AQ20" s="34">
        <v>20.04</v>
      </c>
      <c r="AR20" t="s">
        <v>502</v>
      </c>
      <c r="AS20" s="138">
        <v>192.15</v>
      </c>
      <c r="AT20" s="34">
        <v>-0.28000000000000003</v>
      </c>
      <c r="AU20" s="34">
        <v>376500</v>
      </c>
      <c r="AV20" s="34">
        <v>-5.34</v>
      </c>
      <c r="AW20" s="34">
        <v>18.12</v>
      </c>
      <c r="AX20" s="34">
        <v>3.1E-4</v>
      </c>
      <c r="AZ20" s="148">
        <f t="shared" si="52"/>
        <v>16785.714285714286</v>
      </c>
      <c r="BA20" s="34">
        <f t="shared" si="46"/>
        <v>94314.285714285681</v>
      </c>
      <c r="BB20" s="34"/>
      <c r="BC20" s="34">
        <f t="shared" si="47"/>
        <v>0</v>
      </c>
      <c r="BD20" s="34">
        <f t="shared" si="41"/>
        <v>0</v>
      </c>
      <c r="BE20" s="34">
        <f t="shared" si="41"/>
        <v>0</v>
      </c>
      <c r="BF20" s="34">
        <f t="shared" si="41"/>
        <v>0</v>
      </c>
      <c r="BG20" s="34">
        <f t="shared" si="41"/>
        <v>18000</v>
      </c>
      <c r="BH20" s="34">
        <f t="shared" si="41"/>
        <v>25500</v>
      </c>
      <c r="BI20" s="34">
        <f t="shared" si="41"/>
        <v>22014.285714285688</v>
      </c>
      <c r="BJ20" s="34">
        <f t="shared" si="41"/>
        <v>0</v>
      </c>
      <c r="BK20" s="34">
        <f t="shared" si="41"/>
        <v>0</v>
      </c>
      <c r="BL20" s="34">
        <f t="shared" si="41"/>
        <v>0</v>
      </c>
      <c r="BM20" s="34">
        <f t="shared" si="41"/>
        <v>0</v>
      </c>
      <c r="BN20" s="34">
        <f t="shared" si="41"/>
        <v>0</v>
      </c>
      <c r="BO20" s="34">
        <f t="shared" si="48"/>
        <v>0</v>
      </c>
      <c r="BP20" s="34">
        <f t="shared" si="42"/>
        <v>-13200</v>
      </c>
      <c r="BQ20" s="34">
        <f t="shared" si="42"/>
        <v>42000</v>
      </c>
      <c r="BR20" s="34">
        <f t="shared" si="42"/>
        <v>0</v>
      </c>
      <c r="BS20" s="34">
        <f t="shared" si="42"/>
        <v>0</v>
      </c>
      <c r="BT20" s="34">
        <f t="shared" si="42"/>
        <v>0</v>
      </c>
      <c r="BU20" s="34" t="e">
        <f t="shared" si="42"/>
        <v>#N/A</v>
      </c>
      <c r="BW20" s="148">
        <f t="shared" si="53"/>
        <v>39721.428571428572</v>
      </c>
      <c r="BX20" s="34">
        <f t="shared" si="49"/>
        <v>0</v>
      </c>
      <c r="BY20" s="34"/>
      <c r="BZ20" s="34" t="e">
        <f t="shared" si="50"/>
        <v>#N/A</v>
      </c>
      <c r="CA20" s="34" t="e">
        <f t="shared" si="43"/>
        <v>#N/A</v>
      </c>
      <c r="CB20" s="34" t="e">
        <f t="shared" si="43"/>
        <v>#N/A</v>
      </c>
      <c r="CC20" s="34" t="e">
        <f t="shared" si="43"/>
        <v>#N/A</v>
      </c>
      <c r="CD20" s="34">
        <f t="shared" si="43"/>
        <v>0</v>
      </c>
      <c r="CE20" s="34">
        <f t="shared" si="43"/>
        <v>0</v>
      </c>
      <c r="CF20" s="34">
        <f t="shared" si="43"/>
        <v>0</v>
      </c>
      <c r="CG20" s="34">
        <f t="shared" si="43"/>
        <v>0</v>
      </c>
      <c r="CH20" s="34">
        <f t="shared" si="43"/>
        <v>0</v>
      </c>
      <c r="CI20" s="34">
        <f t="shared" si="43"/>
        <v>0</v>
      </c>
      <c r="CJ20" s="34">
        <f t="shared" si="43"/>
        <v>0</v>
      </c>
      <c r="CK20" s="34">
        <f t="shared" si="43"/>
        <v>0</v>
      </c>
      <c r="CL20" s="34" t="e">
        <f t="shared" si="51"/>
        <v>#N/A</v>
      </c>
      <c r="CM20" s="34" t="e">
        <f t="shared" si="44"/>
        <v>#N/A</v>
      </c>
      <c r="CN20" s="34">
        <f t="shared" si="44"/>
        <v>0</v>
      </c>
      <c r="CO20" s="34">
        <f t="shared" si="44"/>
        <v>0</v>
      </c>
      <c r="CP20" s="34">
        <f t="shared" si="44"/>
        <v>0</v>
      </c>
      <c r="CQ20" s="34">
        <f t="shared" si="44"/>
        <v>0</v>
      </c>
      <c r="CR20" s="34" t="e">
        <f t="shared" si="44"/>
        <v>#N/A</v>
      </c>
      <c r="CS20" s="34"/>
      <c r="CT20" s="34"/>
      <c r="CU20" s="34"/>
      <c r="CV20">
        <f t="shared" si="45"/>
        <v>17700</v>
      </c>
      <c r="CW20">
        <f t="shared" si="34"/>
        <v>-71</v>
      </c>
      <c r="CX20">
        <f t="shared" si="35"/>
        <v>74</v>
      </c>
      <c r="CY20">
        <f t="shared" si="36"/>
        <v>3</v>
      </c>
      <c r="CZ20">
        <f t="shared" si="37"/>
        <v>150</v>
      </c>
      <c r="DA20" s="34"/>
      <c r="DB20" s="34">
        <f t="shared" si="38"/>
        <v>-101.15431199855811</v>
      </c>
      <c r="DC20" s="34">
        <f t="shared" si="39"/>
        <v>48.653248579509636</v>
      </c>
      <c r="DD20" s="134">
        <f t="shared" si="40"/>
        <v>-52.501063419048478</v>
      </c>
      <c r="DE20" s="34"/>
      <c r="DF20" s="34"/>
      <c r="DG20" s="34"/>
      <c r="DH20" s="34"/>
      <c r="DI20" s="34"/>
      <c r="DJ20" s="34"/>
      <c r="DK20" s="34"/>
      <c r="DL20" s="34"/>
      <c r="DM20" s="34"/>
      <c r="DN20" s="34"/>
      <c r="DO20" s="34"/>
      <c r="DP20" s="34"/>
      <c r="DQ20" s="34"/>
      <c r="DR20" s="34"/>
      <c r="DS20" s="34"/>
      <c r="DT20" s="34"/>
      <c r="DU20" s="34"/>
      <c r="DV20" s="34"/>
    </row>
    <row r="21" spans="1:126">
      <c r="A21" s="78"/>
      <c r="I21" s="35"/>
      <c r="J21" s="134"/>
      <c r="L21" s="35"/>
      <c r="M21" s="35"/>
      <c r="N21" s="67"/>
      <c r="S21" s="72"/>
      <c r="T21" s="72"/>
      <c r="U21" s="72"/>
      <c r="V21" s="72"/>
      <c r="W21" s="72"/>
      <c r="X21" s="72"/>
      <c r="Y21" s="72"/>
      <c r="Z21" s="72"/>
      <c r="AA21" s="72"/>
      <c r="AB21" s="72"/>
      <c r="AC21" s="72"/>
      <c r="AD21" s="72"/>
      <c r="AE21" s="72"/>
      <c r="AF21" s="72"/>
      <c r="AG21" s="72"/>
      <c r="AI21" s="35">
        <f t="shared" si="10"/>
        <v>1.0855048705305999</v>
      </c>
      <c r="AJ21" t="b">
        <f t="shared" si="9"/>
        <v>0</v>
      </c>
      <c r="AK21" s="158">
        <v>44616</v>
      </c>
      <c r="AL21" s="139">
        <f t="shared" si="11"/>
        <v>17150</v>
      </c>
      <c r="AM21" s="34">
        <v>5400</v>
      </c>
      <c r="AN21" s="137">
        <v>745.7</v>
      </c>
      <c r="AO21" s="34">
        <v>0.71</v>
      </c>
      <c r="AP21" s="139">
        <v>17150</v>
      </c>
      <c r="AQ21" s="34">
        <v>19.559999999999999</v>
      </c>
      <c r="AR21" t="s">
        <v>502</v>
      </c>
      <c r="AS21" s="138">
        <v>198.65</v>
      </c>
      <c r="AT21" s="34">
        <v>-0.28999999999999998</v>
      </c>
      <c r="AU21" s="34">
        <v>7500</v>
      </c>
      <c r="AV21" s="34">
        <v>-5.32</v>
      </c>
      <c r="AW21" s="34">
        <v>18.5</v>
      </c>
      <c r="AX21" s="34">
        <v>3.2000000000000003E-4</v>
      </c>
      <c r="AZ21" s="148">
        <f t="shared" si="52"/>
        <v>16885.714285714286</v>
      </c>
      <c r="BA21" s="34">
        <f t="shared" si="46"/>
        <v>89314.285714285681</v>
      </c>
      <c r="BB21" s="34"/>
      <c r="BC21" s="34">
        <f t="shared" si="47"/>
        <v>0</v>
      </c>
      <c r="BD21" s="34">
        <f t="shared" si="41"/>
        <v>0</v>
      </c>
      <c r="BE21" s="34">
        <f t="shared" si="41"/>
        <v>0</v>
      </c>
      <c r="BF21" s="34">
        <f t="shared" si="41"/>
        <v>0</v>
      </c>
      <c r="BG21" s="34">
        <f t="shared" si="41"/>
        <v>18000</v>
      </c>
      <c r="BH21" s="34">
        <f t="shared" si="41"/>
        <v>25500</v>
      </c>
      <c r="BI21" s="34">
        <f t="shared" si="41"/>
        <v>17014.285714285688</v>
      </c>
      <c r="BJ21" s="34">
        <f t="shared" si="41"/>
        <v>0</v>
      </c>
      <c r="BK21" s="34">
        <f t="shared" si="41"/>
        <v>0</v>
      </c>
      <c r="BL21" s="34">
        <f t="shared" si="41"/>
        <v>0</v>
      </c>
      <c r="BM21" s="34">
        <f t="shared" si="41"/>
        <v>0</v>
      </c>
      <c r="BN21" s="34">
        <f t="shared" si="41"/>
        <v>0</v>
      </c>
      <c r="BO21" s="34">
        <f t="shared" si="48"/>
        <v>0</v>
      </c>
      <c r="BP21" s="34">
        <f t="shared" si="42"/>
        <v>-13200</v>
      </c>
      <c r="BQ21" s="34">
        <f t="shared" si="42"/>
        <v>42000</v>
      </c>
      <c r="BR21" s="34">
        <f t="shared" si="42"/>
        <v>0</v>
      </c>
      <c r="BS21" s="34">
        <f t="shared" si="42"/>
        <v>0</v>
      </c>
      <c r="BT21" s="34">
        <f t="shared" si="42"/>
        <v>0</v>
      </c>
      <c r="BU21" s="34" t="e">
        <f t="shared" si="42"/>
        <v>#N/A</v>
      </c>
      <c r="BW21" s="148">
        <f t="shared" si="53"/>
        <v>39771.428571428572</v>
      </c>
      <c r="BX21" s="34">
        <f t="shared" si="49"/>
        <v>0</v>
      </c>
      <c r="BY21" s="34"/>
      <c r="BZ21" s="34" t="e">
        <f t="shared" si="50"/>
        <v>#N/A</v>
      </c>
      <c r="CA21" s="34" t="e">
        <f t="shared" si="43"/>
        <v>#N/A</v>
      </c>
      <c r="CB21" s="34" t="e">
        <f t="shared" si="43"/>
        <v>#N/A</v>
      </c>
      <c r="CC21" s="34" t="e">
        <f t="shared" si="43"/>
        <v>#N/A</v>
      </c>
      <c r="CD21" s="34">
        <f t="shared" si="43"/>
        <v>0</v>
      </c>
      <c r="CE21" s="34">
        <f t="shared" si="43"/>
        <v>0</v>
      </c>
      <c r="CF21" s="34">
        <f t="shared" si="43"/>
        <v>0</v>
      </c>
      <c r="CG21" s="34">
        <f t="shared" si="43"/>
        <v>0</v>
      </c>
      <c r="CH21" s="34">
        <f t="shared" si="43"/>
        <v>0</v>
      </c>
      <c r="CI21" s="34">
        <f t="shared" si="43"/>
        <v>0</v>
      </c>
      <c r="CJ21" s="34">
        <f t="shared" si="43"/>
        <v>0</v>
      </c>
      <c r="CK21" s="34">
        <f t="shared" si="43"/>
        <v>0</v>
      </c>
      <c r="CL21" s="34" t="e">
        <f t="shared" si="51"/>
        <v>#N/A</v>
      </c>
      <c r="CM21" s="34" t="e">
        <f t="shared" si="44"/>
        <v>#N/A</v>
      </c>
      <c r="CN21" s="34">
        <f t="shared" si="44"/>
        <v>0</v>
      </c>
      <c r="CO21" s="34">
        <f t="shared" si="44"/>
        <v>0</v>
      </c>
      <c r="CP21" s="34">
        <f t="shared" si="44"/>
        <v>0</v>
      </c>
      <c r="CQ21" s="34">
        <f t="shared" si="44"/>
        <v>0</v>
      </c>
      <c r="CR21" s="34" t="e">
        <f t="shared" si="44"/>
        <v>#N/A</v>
      </c>
      <c r="CS21" s="34"/>
      <c r="CT21" s="34"/>
      <c r="CU21" s="34"/>
      <c r="CV21">
        <f t="shared" si="45"/>
        <v>17750</v>
      </c>
      <c r="CW21">
        <f t="shared" si="34"/>
        <v>-121</v>
      </c>
      <c r="CX21">
        <f t="shared" si="35"/>
        <v>74</v>
      </c>
      <c r="CY21">
        <f t="shared" si="36"/>
        <v>-47</v>
      </c>
      <c r="CZ21">
        <f t="shared" si="37"/>
        <v>-2350</v>
      </c>
      <c r="DA21" s="34"/>
      <c r="DB21" s="34">
        <f t="shared" si="38"/>
        <v>-141.93737702996077</v>
      </c>
      <c r="DC21" s="34">
        <f t="shared" si="39"/>
        <v>57.870183548106525</v>
      </c>
      <c r="DD21" s="134">
        <f t="shared" si="40"/>
        <v>-84.067193481854247</v>
      </c>
      <c r="DE21" s="34"/>
      <c r="DF21" s="34"/>
      <c r="DG21" s="34"/>
      <c r="DH21" s="34"/>
      <c r="DI21" s="34"/>
      <c r="DJ21" s="34"/>
      <c r="DK21" s="34"/>
      <c r="DL21" s="34"/>
      <c r="DM21" s="34"/>
      <c r="DN21" s="34"/>
      <c r="DO21" s="34"/>
      <c r="DP21" s="34"/>
      <c r="DQ21" s="34"/>
      <c r="DR21" s="34"/>
      <c r="DS21" s="34"/>
      <c r="DT21" s="34"/>
      <c r="DU21" s="34"/>
      <c r="DV21" s="34"/>
    </row>
    <row r="22" spans="1:126">
      <c r="A22" s="78"/>
      <c r="I22" s="35"/>
      <c r="J22" s="134"/>
      <c r="L22" s="35"/>
      <c r="M22" s="35"/>
      <c r="N22" s="67"/>
      <c r="S22" s="72"/>
      <c r="T22" s="72"/>
      <c r="U22" s="72"/>
      <c r="V22" s="72"/>
      <c r="W22" s="72"/>
      <c r="X22" s="72"/>
      <c r="Y22" s="72"/>
      <c r="Z22" s="72"/>
      <c r="AA22" s="72"/>
      <c r="AB22" s="72"/>
      <c r="AC22" s="72"/>
      <c r="AD22" s="72"/>
      <c r="AE22" s="72"/>
      <c r="AF22" s="72"/>
      <c r="AG22" s="72"/>
      <c r="AI22" s="35">
        <f t="shared" si="10"/>
        <v>1.0886696077624674</v>
      </c>
      <c r="AJ22" t="b">
        <f t="shared" si="9"/>
        <v>0</v>
      </c>
      <c r="AK22" s="158">
        <v>44616</v>
      </c>
      <c r="AL22" s="139">
        <f t="shared" si="11"/>
        <v>17200</v>
      </c>
      <c r="AM22" s="34">
        <v>31050</v>
      </c>
      <c r="AN22" s="137">
        <v>706.75</v>
      </c>
      <c r="AO22" s="34">
        <v>0.7</v>
      </c>
      <c r="AP22" s="139">
        <v>17200</v>
      </c>
      <c r="AQ22" s="34">
        <v>19.22</v>
      </c>
      <c r="AR22" t="s">
        <v>502</v>
      </c>
      <c r="AS22" s="138">
        <v>208.15</v>
      </c>
      <c r="AT22" s="34">
        <v>-0.3</v>
      </c>
      <c r="AU22" s="34">
        <v>626350</v>
      </c>
      <c r="AV22" s="34">
        <v>-5.34</v>
      </c>
      <c r="AW22" s="34">
        <v>18.899999999999999</v>
      </c>
      <c r="AX22" s="34">
        <v>3.4000000000000002E-4</v>
      </c>
      <c r="AZ22" s="148">
        <f t="shared" si="52"/>
        <v>16985.714285714286</v>
      </c>
      <c r="BA22" s="34">
        <f t="shared" si="46"/>
        <v>84314.285714285681</v>
      </c>
      <c r="BB22" s="34"/>
      <c r="BC22" s="34">
        <f t="shared" si="47"/>
        <v>0</v>
      </c>
      <c r="BD22" s="34">
        <f t="shared" si="41"/>
        <v>0</v>
      </c>
      <c r="BE22" s="34">
        <f t="shared" si="41"/>
        <v>0</v>
      </c>
      <c r="BF22" s="34">
        <f t="shared" si="41"/>
        <v>0</v>
      </c>
      <c r="BG22" s="34">
        <f t="shared" si="41"/>
        <v>18000</v>
      </c>
      <c r="BH22" s="34">
        <f t="shared" si="41"/>
        <v>25500</v>
      </c>
      <c r="BI22" s="34">
        <f t="shared" si="41"/>
        <v>12014.285714285688</v>
      </c>
      <c r="BJ22" s="34">
        <f t="shared" si="41"/>
        <v>0</v>
      </c>
      <c r="BK22" s="34">
        <f t="shared" si="41"/>
        <v>0</v>
      </c>
      <c r="BL22" s="34">
        <f t="shared" si="41"/>
        <v>0</v>
      </c>
      <c r="BM22" s="34">
        <f t="shared" si="41"/>
        <v>0</v>
      </c>
      <c r="BN22" s="34">
        <f t="shared" si="41"/>
        <v>0</v>
      </c>
      <c r="BO22" s="34">
        <f t="shared" si="48"/>
        <v>0</v>
      </c>
      <c r="BP22" s="34">
        <f t="shared" si="42"/>
        <v>-13200</v>
      </c>
      <c r="BQ22" s="34">
        <f t="shared" si="42"/>
        <v>42000</v>
      </c>
      <c r="BR22" s="34">
        <f t="shared" si="42"/>
        <v>0</v>
      </c>
      <c r="BS22" s="34">
        <f t="shared" si="42"/>
        <v>0</v>
      </c>
      <c r="BT22" s="34">
        <f t="shared" si="42"/>
        <v>0</v>
      </c>
      <c r="BU22" s="34" t="e">
        <f t="shared" si="42"/>
        <v>#N/A</v>
      </c>
      <c r="BW22" s="148">
        <f t="shared" si="53"/>
        <v>39821.428571428572</v>
      </c>
      <c r="BX22" s="34">
        <f t="shared" si="49"/>
        <v>0</v>
      </c>
      <c r="BY22" s="34"/>
      <c r="BZ22" s="34" t="e">
        <f t="shared" si="50"/>
        <v>#N/A</v>
      </c>
      <c r="CA22" s="34" t="e">
        <f t="shared" si="43"/>
        <v>#N/A</v>
      </c>
      <c r="CB22" s="34" t="e">
        <f t="shared" si="43"/>
        <v>#N/A</v>
      </c>
      <c r="CC22" s="34" t="e">
        <f t="shared" si="43"/>
        <v>#N/A</v>
      </c>
      <c r="CD22" s="34">
        <f t="shared" si="43"/>
        <v>0</v>
      </c>
      <c r="CE22" s="34">
        <f t="shared" si="43"/>
        <v>0</v>
      </c>
      <c r="CF22" s="34">
        <f t="shared" si="43"/>
        <v>0</v>
      </c>
      <c r="CG22" s="34">
        <f t="shared" si="43"/>
        <v>0</v>
      </c>
      <c r="CH22" s="34">
        <f t="shared" si="43"/>
        <v>0</v>
      </c>
      <c r="CI22" s="34">
        <f t="shared" si="43"/>
        <v>0</v>
      </c>
      <c r="CJ22" s="34">
        <f t="shared" si="43"/>
        <v>0</v>
      </c>
      <c r="CK22" s="34">
        <f t="shared" si="43"/>
        <v>0</v>
      </c>
      <c r="CL22" s="34" t="e">
        <f t="shared" si="51"/>
        <v>#N/A</v>
      </c>
      <c r="CM22" s="34" t="e">
        <f t="shared" si="44"/>
        <v>#N/A</v>
      </c>
      <c r="CN22" s="34">
        <f t="shared" si="44"/>
        <v>0</v>
      </c>
      <c r="CO22" s="34">
        <f t="shared" si="44"/>
        <v>0</v>
      </c>
      <c r="CP22" s="34">
        <f t="shared" si="44"/>
        <v>0</v>
      </c>
      <c r="CQ22" s="34">
        <f t="shared" si="44"/>
        <v>0</v>
      </c>
      <c r="CR22" s="34" t="e">
        <f t="shared" si="44"/>
        <v>#N/A</v>
      </c>
      <c r="CS22" s="34"/>
      <c r="CT22" s="34"/>
      <c r="CU22" s="34"/>
      <c r="CV22">
        <f t="shared" si="45"/>
        <v>17800</v>
      </c>
      <c r="CW22">
        <f t="shared" si="34"/>
        <v>-171</v>
      </c>
      <c r="CX22">
        <f t="shared" si="35"/>
        <v>74</v>
      </c>
      <c r="CY22">
        <f t="shared" si="36"/>
        <v>-97</v>
      </c>
      <c r="CZ22">
        <f t="shared" si="37"/>
        <v>-4850</v>
      </c>
      <c r="DA22" s="34"/>
      <c r="DB22" s="34">
        <f t="shared" si="38"/>
        <v>-185.6400836858229</v>
      </c>
      <c r="DC22" s="34">
        <f t="shared" si="39"/>
        <v>64.167476892246668</v>
      </c>
      <c r="DD22" s="134">
        <f t="shared" si="40"/>
        <v>-121.47260679357623</v>
      </c>
      <c r="DE22" s="34"/>
      <c r="DF22" s="34"/>
      <c r="DG22" s="34"/>
      <c r="DH22" s="34"/>
      <c r="DI22" s="34"/>
      <c r="DJ22" s="34"/>
      <c r="DK22" s="34"/>
      <c r="DL22" s="34"/>
      <c r="DM22" s="34"/>
      <c r="DN22" s="34"/>
      <c r="DO22" s="34"/>
      <c r="DP22" s="34"/>
      <c r="DQ22" s="34"/>
      <c r="DR22" s="34"/>
      <c r="DS22" s="34"/>
      <c r="DT22" s="34"/>
      <c r="DU22" s="34"/>
      <c r="DV22" s="34"/>
    </row>
    <row r="23" spans="1:126">
      <c r="A23" s="78" t="s">
        <v>566</v>
      </c>
      <c r="I23" s="35"/>
      <c r="J23" s="134"/>
      <c r="L23" s="35"/>
      <c r="M23" s="35"/>
      <c r="N23" s="67"/>
      <c r="S23" s="72"/>
      <c r="T23" s="72"/>
      <c r="U23" s="72"/>
      <c r="V23" s="72"/>
      <c r="W23" s="72"/>
      <c r="X23" s="72"/>
      <c r="Y23" s="72"/>
      <c r="Z23" s="72"/>
      <c r="AA23" s="72"/>
      <c r="AB23" s="72"/>
      <c r="AC23" s="72"/>
      <c r="AD23" s="72"/>
      <c r="AE23" s="72"/>
      <c r="AF23" s="72"/>
      <c r="AG23" s="72"/>
      <c r="AI23" s="35">
        <f t="shared" si="10"/>
        <v>1.0918343449943351</v>
      </c>
      <c r="AJ23" t="b">
        <f t="shared" si="9"/>
        <v>0</v>
      </c>
      <c r="AK23" s="158">
        <v>44616</v>
      </c>
      <c r="AL23" s="139">
        <f t="shared" si="11"/>
        <v>17250</v>
      </c>
      <c r="AM23" s="34">
        <v>1050</v>
      </c>
      <c r="AN23" s="137">
        <v>649.95000000000005</v>
      </c>
      <c r="AO23" s="34">
        <v>0.68</v>
      </c>
      <c r="AP23" s="139">
        <v>17250</v>
      </c>
      <c r="AQ23" s="34">
        <v>19.100000000000001</v>
      </c>
      <c r="AR23" t="s">
        <v>502</v>
      </c>
      <c r="AS23" s="138">
        <v>222.5</v>
      </c>
      <c r="AT23" s="34">
        <v>-0.32</v>
      </c>
      <c r="AU23" s="34">
        <v>8800</v>
      </c>
      <c r="AV23" s="34">
        <v>-5.43</v>
      </c>
      <c r="AW23" s="34">
        <v>19.34</v>
      </c>
      <c r="AX23" s="34">
        <v>3.5E-4</v>
      </c>
      <c r="AZ23" s="148">
        <f t="shared" si="52"/>
        <v>17085.714285714286</v>
      </c>
      <c r="BA23" s="34">
        <f t="shared" si="46"/>
        <v>79314.285714285681</v>
      </c>
      <c r="BB23" s="34"/>
      <c r="BC23" s="34">
        <f t="shared" si="47"/>
        <v>0</v>
      </c>
      <c r="BD23" s="34">
        <f t="shared" si="41"/>
        <v>0</v>
      </c>
      <c r="BE23" s="34">
        <f t="shared" si="41"/>
        <v>0</v>
      </c>
      <c r="BF23" s="34">
        <f t="shared" si="41"/>
        <v>0</v>
      </c>
      <c r="BG23" s="34">
        <f t="shared" si="41"/>
        <v>18000</v>
      </c>
      <c r="BH23" s="34">
        <f t="shared" si="41"/>
        <v>25500</v>
      </c>
      <c r="BI23" s="34">
        <f t="shared" si="41"/>
        <v>7014.2857142856883</v>
      </c>
      <c r="BJ23" s="34">
        <f t="shared" si="41"/>
        <v>0</v>
      </c>
      <c r="BK23" s="34">
        <f t="shared" si="41"/>
        <v>0</v>
      </c>
      <c r="BL23" s="34">
        <f t="shared" si="41"/>
        <v>0</v>
      </c>
      <c r="BM23" s="34">
        <f t="shared" si="41"/>
        <v>0</v>
      </c>
      <c r="BN23" s="34">
        <f t="shared" si="41"/>
        <v>0</v>
      </c>
      <c r="BO23" s="34">
        <f>IF(ISBLANK(BO$2),0,(MAX($AZ23-BO$2,0)-IF(ISNUMBER(BO$4),BO$4,BO$3))*BO$5)</f>
        <v>0</v>
      </c>
      <c r="BP23" s="34">
        <f t="shared" si="42"/>
        <v>-13200</v>
      </c>
      <c r="BQ23" s="34">
        <f t="shared" si="42"/>
        <v>42000</v>
      </c>
      <c r="BR23" s="34">
        <f t="shared" si="42"/>
        <v>0</v>
      </c>
      <c r="BS23" s="34">
        <f t="shared" si="42"/>
        <v>0</v>
      </c>
      <c r="BT23" s="34">
        <f t="shared" si="42"/>
        <v>0</v>
      </c>
      <c r="BU23" s="34" t="e">
        <f t="shared" si="42"/>
        <v>#N/A</v>
      </c>
      <c r="BW23" s="148">
        <f t="shared" si="53"/>
        <v>39871.428571428572</v>
      </c>
      <c r="BX23" s="34">
        <f t="shared" si="49"/>
        <v>0</v>
      </c>
      <c r="BY23" s="34"/>
      <c r="BZ23" s="34" t="e">
        <f t="shared" si="50"/>
        <v>#N/A</v>
      </c>
      <c r="CA23" s="34" t="e">
        <f t="shared" si="43"/>
        <v>#N/A</v>
      </c>
      <c r="CB23" s="34" t="e">
        <f t="shared" si="43"/>
        <v>#N/A</v>
      </c>
      <c r="CC23" s="34" t="e">
        <f t="shared" si="43"/>
        <v>#N/A</v>
      </c>
      <c r="CD23" s="34">
        <f t="shared" si="43"/>
        <v>0</v>
      </c>
      <c r="CE23" s="34">
        <f t="shared" si="43"/>
        <v>0</v>
      </c>
      <c r="CF23" s="34">
        <f t="shared" si="43"/>
        <v>0</v>
      </c>
      <c r="CG23" s="34">
        <f t="shared" si="43"/>
        <v>0</v>
      </c>
      <c r="CH23" s="34">
        <f t="shared" si="43"/>
        <v>0</v>
      </c>
      <c r="CI23" s="34">
        <f t="shared" si="43"/>
        <v>0</v>
      </c>
      <c r="CJ23" s="34">
        <f t="shared" si="43"/>
        <v>0</v>
      </c>
      <c r="CK23" s="34">
        <f t="shared" si="43"/>
        <v>0</v>
      </c>
      <c r="CL23" s="34" t="e">
        <f t="shared" si="51"/>
        <v>#N/A</v>
      </c>
      <c r="CM23" s="34" t="e">
        <f t="shared" si="44"/>
        <v>#N/A</v>
      </c>
      <c r="CN23" s="34">
        <f t="shared" si="44"/>
        <v>0</v>
      </c>
      <c r="CO23" s="34">
        <f t="shared" si="44"/>
        <v>0</v>
      </c>
      <c r="CP23" s="34">
        <f t="shared" si="44"/>
        <v>0</v>
      </c>
      <c r="CQ23" s="34">
        <f t="shared" si="44"/>
        <v>0</v>
      </c>
      <c r="CR23" s="34" t="e">
        <f t="shared" si="44"/>
        <v>#N/A</v>
      </c>
      <c r="CS23" s="34"/>
      <c r="CT23" s="34"/>
      <c r="CU23" s="34"/>
      <c r="CV23">
        <f t="shared" si="45"/>
        <v>17850</v>
      </c>
      <c r="CW23">
        <f t="shared" si="34"/>
        <v>-221</v>
      </c>
      <c r="CX23">
        <f t="shared" si="35"/>
        <v>74</v>
      </c>
      <c r="CY23">
        <f t="shared" si="36"/>
        <v>-147</v>
      </c>
      <c r="CZ23">
        <f t="shared" si="37"/>
        <v>-7350</v>
      </c>
      <c r="DA23" s="34"/>
      <c r="DB23" s="34">
        <f t="shared" si="38"/>
        <v>-231.54121976206079</v>
      </c>
      <c r="DC23" s="34">
        <f t="shared" si="39"/>
        <v>68.26634081600946</v>
      </c>
      <c r="DD23" s="134">
        <f t="shared" si="40"/>
        <v>-163.27487894605133</v>
      </c>
      <c r="DE23" s="34"/>
      <c r="DF23" s="34"/>
      <c r="DG23" s="34"/>
      <c r="DH23" s="34"/>
      <c r="DI23" s="34"/>
      <c r="DJ23" s="34"/>
      <c r="DK23" s="34"/>
      <c r="DL23" s="34"/>
      <c r="DM23" s="34"/>
      <c r="DN23" s="34"/>
      <c r="DO23" s="34"/>
      <c r="DP23" s="34"/>
      <c r="DQ23" s="34"/>
      <c r="DR23" s="34"/>
      <c r="DS23" s="34"/>
      <c r="DT23" s="34"/>
      <c r="DU23" s="34"/>
      <c r="DV23" s="34"/>
    </row>
    <row r="24" spans="1:126">
      <c r="A24" s="78"/>
      <c r="I24" s="35"/>
      <c r="J24" s="134"/>
      <c r="L24" s="35"/>
      <c r="M24" s="35"/>
      <c r="N24" s="67"/>
      <c r="S24" s="72"/>
      <c r="T24" s="72"/>
      <c r="U24" s="72"/>
      <c r="V24" s="72"/>
      <c r="W24" s="72"/>
      <c r="X24" s="72"/>
      <c r="Y24" s="72"/>
      <c r="Z24" s="72"/>
      <c r="AA24" s="72"/>
      <c r="AB24" s="72"/>
      <c r="AC24" s="72"/>
      <c r="AD24" s="72"/>
      <c r="AE24" s="72"/>
      <c r="AF24" s="72"/>
      <c r="AG24" s="72"/>
      <c r="AI24" s="35">
        <f t="shared" si="10"/>
        <v>1.0949990822262028</v>
      </c>
      <c r="AJ24" t="b">
        <f t="shared" si="9"/>
        <v>0</v>
      </c>
      <c r="AK24" s="158">
        <v>44616</v>
      </c>
      <c r="AL24" s="139">
        <f t="shared" si="11"/>
        <v>17300</v>
      </c>
      <c r="AM24" s="34">
        <v>28800</v>
      </c>
      <c r="AN24" s="137">
        <v>632</v>
      </c>
      <c r="AO24" s="34">
        <v>0.66</v>
      </c>
      <c r="AP24" s="139">
        <v>17300</v>
      </c>
      <c r="AQ24" s="34">
        <v>18.920000000000002</v>
      </c>
      <c r="AR24" t="s">
        <v>502</v>
      </c>
      <c r="AS24" s="138">
        <v>236.7</v>
      </c>
      <c r="AT24" s="34">
        <v>-0.34</v>
      </c>
      <c r="AU24" s="34">
        <v>573300</v>
      </c>
      <c r="AV24" s="34">
        <v>-5.49</v>
      </c>
      <c r="AW24" s="34">
        <v>19.739999999999998</v>
      </c>
      <c r="AX24" s="34">
        <v>3.6000000000000002E-4</v>
      </c>
      <c r="AZ24" s="148">
        <f t="shared" si="52"/>
        <v>17185.714285714286</v>
      </c>
      <c r="BA24" s="34">
        <f t="shared" si="46"/>
        <v>74314.285714285681</v>
      </c>
      <c r="BB24" s="34"/>
      <c r="BC24" s="34">
        <f t="shared" si="47"/>
        <v>0</v>
      </c>
      <c r="BD24" s="34">
        <f t="shared" si="41"/>
        <v>0</v>
      </c>
      <c r="BE24" s="34">
        <f t="shared" si="41"/>
        <v>0</v>
      </c>
      <c r="BF24" s="34">
        <f t="shared" si="41"/>
        <v>0</v>
      </c>
      <c r="BG24" s="34">
        <f t="shared" si="41"/>
        <v>18000</v>
      </c>
      <c r="BH24" s="34">
        <f t="shared" si="41"/>
        <v>25500</v>
      </c>
      <c r="BI24" s="34">
        <f t="shared" si="41"/>
        <v>2014.2857142856883</v>
      </c>
      <c r="BJ24" s="34">
        <f t="shared" si="41"/>
        <v>0</v>
      </c>
      <c r="BK24" s="34">
        <f t="shared" si="41"/>
        <v>0</v>
      </c>
      <c r="BL24" s="34">
        <f t="shared" si="41"/>
        <v>0</v>
      </c>
      <c r="BM24" s="34">
        <f t="shared" si="41"/>
        <v>0</v>
      </c>
      <c r="BN24" s="34">
        <f t="shared" si="41"/>
        <v>0</v>
      </c>
      <c r="BO24" s="34">
        <f t="shared" si="48"/>
        <v>0</v>
      </c>
      <c r="BP24" s="34">
        <f t="shared" si="42"/>
        <v>-13200</v>
      </c>
      <c r="BQ24" s="34">
        <f t="shared" si="42"/>
        <v>42000</v>
      </c>
      <c r="BR24" s="34">
        <f t="shared" si="42"/>
        <v>0</v>
      </c>
      <c r="BS24" s="34">
        <f t="shared" si="42"/>
        <v>0</v>
      </c>
      <c r="BT24" s="34">
        <f t="shared" si="42"/>
        <v>0</v>
      </c>
      <c r="BU24" s="34" t="e">
        <f t="shared" si="42"/>
        <v>#N/A</v>
      </c>
      <c r="BW24" s="148">
        <f t="shared" si="53"/>
        <v>39921.428571428572</v>
      </c>
      <c r="BX24" s="34">
        <f t="shared" si="49"/>
        <v>0</v>
      </c>
      <c r="BY24" s="34"/>
      <c r="BZ24" s="34" t="e">
        <f t="shared" si="50"/>
        <v>#N/A</v>
      </c>
      <c r="CA24" s="34" t="e">
        <f t="shared" si="43"/>
        <v>#N/A</v>
      </c>
      <c r="CB24" s="34" t="e">
        <f t="shared" si="43"/>
        <v>#N/A</v>
      </c>
      <c r="CC24" s="34" t="e">
        <f t="shared" si="43"/>
        <v>#N/A</v>
      </c>
      <c r="CD24" s="34">
        <f t="shared" si="43"/>
        <v>0</v>
      </c>
      <c r="CE24" s="34">
        <f t="shared" si="43"/>
        <v>0</v>
      </c>
      <c r="CF24" s="34">
        <f t="shared" si="43"/>
        <v>0</v>
      </c>
      <c r="CG24" s="34">
        <f t="shared" si="43"/>
        <v>0</v>
      </c>
      <c r="CH24" s="34">
        <f t="shared" si="43"/>
        <v>0</v>
      </c>
      <c r="CI24" s="34">
        <f t="shared" si="43"/>
        <v>0</v>
      </c>
      <c r="CJ24" s="34">
        <f t="shared" si="43"/>
        <v>0</v>
      </c>
      <c r="CK24" s="34">
        <f t="shared" si="43"/>
        <v>0</v>
      </c>
      <c r="CL24" s="34" t="e">
        <f t="shared" si="51"/>
        <v>#N/A</v>
      </c>
      <c r="CM24" s="34" t="e">
        <f t="shared" si="44"/>
        <v>#N/A</v>
      </c>
      <c r="CN24" s="34">
        <f t="shared" si="44"/>
        <v>0</v>
      </c>
      <c r="CO24" s="34">
        <f t="shared" si="44"/>
        <v>0</v>
      </c>
      <c r="CP24" s="34">
        <f t="shared" si="44"/>
        <v>0</v>
      </c>
      <c r="CQ24" s="34">
        <f t="shared" si="44"/>
        <v>0</v>
      </c>
      <c r="CR24" s="34" t="e">
        <f t="shared" si="44"/>
        <v>#N/A</v>
      </c>
      <c r="CS24" s="34"/>
      <c r="CT24" s="34"/>
      <c r="CU24" s="34"/>
      <c r="CV24">
        <f t="shared" si="45"/>
        <v>17900</v>
      </c>
      <c r="CW24">
        <f t="shared" si="34"/>
        <v>-271</v>
      </c>
      <c r="CX24">
        <f t="shared" si="35"/>
        <v>74</v>
      </c>
      <c r="CY24">
        <f t="shared" si="36"/>
        <v>-197</v>
      </c>
      <c r="CZ24">
        <f t="shared" si="37"/>
        <v>-9850</v>
      </c>
      <c r="DA24" s="34"/>
      <c r="DB24" s="34">
        <f t="shared" si="38"/>
        <v>-279.00222839285198</v>
      </c>
      <c r="DC24" s="34">
        <f t="shared" si="39"/>
        <v>70.805332185216457</v>
      </c>
      <c r="DD24" s="134">
        <f t="shared" si="40"/>
        <v>-208.19689620763552</v>
      </c>
      <c r="DE24" s="34"/>
      <c r="DF24" s="34"/>
      <c r="DG24" s="34"/>
      <c r="DH24" s="34"/>
      <c r="DI24" s="34"/>
      <c r="DJ24" s="34"/>
      <c r="DK24" s="34"/>
      <c r="DL24" s="34"/>
      <c r="DM24" s="34"/>
      <c r="DN24" s="34"/>
      <c r="DO24" s="34"/>
      <c r="DP24" s="34"/>
      <c r="DQ24" s="34"/>
      <c r="DR24" s="34"/>
      <c r="DS24" s="34"/>
      <c r="DT24" s="34"/>
      <c r="DU24" s="34"/>
      <c r="DV24" s="34"/>
    </row>
    <row r="25" spans="1:126">
      <c r="I25" s="35"/>
      <c r="J25" s="134"/>
      <c r="L25" s="35"/>
      <c r="M25" s="35"/>
      <c r="N25" s="67"/>
      <c r="S25" s="72"/>
      <c r="T25" s="72"/>
      <c r="U25" s="72"/>
      <c r="V25" s="72"/>
      <c r="W25" s="72"/>
      <c r="X25" s="72"/>
      <c r="Y25" s="72"/>
      <c r="Z25" s="72"/>
      <c r="AA25" s="72"/>
      <c r="AB25" s="72"/>
      <c r="AC25" s="72"/>
      <c r="AD25" s="72"/>
      <c r="AE25" s="72"/>
      <c r="AF25" s="72"/>
      <c r="AG25" s="72"/>
      <c r="AI25" s="35">
        <f t="shared" si="10"/>
        <v>1.0981638194580703</v>
      </c>
      <c r="AJ25" t="b">
        <f t="shared" si="9"/>
        <v>0</v>
      </c>
      <c r="AK25" s="158">
        <v>44616</v>
      </c>
      <c r="AL25" s="139">
        <f t="shared" si="11"/>
        <v>17350</v>
      </c>
      <c r="AM25" s="34">
        <v>2250</v>
      </c>
      <c r="AN25" s="137">
        <v>599.15</v>
      </c>
      <c r="AO25" s="34">
        <v>0.64</v>
      </c>
      <c r="AP25" s="139">
        <v>17350</v>
      </c>
      <c r="AQ25" s="34">
        <v>18.96</v>
      </c>
      <c r="AR25" t="s">
        <v>502</v>
      </c>
      <c r="AS25" s="138">
        <v>255.8</v>
      </c>
      <c r="AT25" s="34">
        <v>-0.36</v>
      </c>
      <c r="AU25" s="34">
        <v>9400</v>
      </c>
      <c r="AV25" s="34">
        <v>-5.61</v>
      </c>
      <c r="AW25" s="34">
        <v>20.14</v>
      </c>
      <c r="AX25" s="34">
        <v>3.6000000000000002E-4</v>
      </c>
      <c r="AZ25" s="148">
        <f t="shared" si="52"/>
        <v>17285.714285714286</v>
      </c>
      <c r="BA25" s="34">
        <f t="shared" si="46"/>
        <v>69314.285714285681</v>
      </c>
      <c r="BB25" s="34"/>
      <c r="BC25" s="34">
        <f t="shared" si="47"/>
        <v>0</v>
      </c>
      <c r="BD25" s="34">
        <f t="shared" si="47"/>
        <v>0</v>
      </c>
      <c r="BE25" s="34">
        <f t="shared" si="47"/>
        <v>0</v>
      </c>
      <c r="BF25" s="34">
        <f t="shared" si="47"/>
        <v>0</v>
      </c>
      <c r="BG25" s="34">
        <f t="shared" si="47"/>
        <v>18000</v>
      </c>
      <c r="BH25" s="34">
        <f t="shared" si="47"/>
        <v>25500</v>
      </c>
      <c r="BI25" s="34">
        <f t="shared" si="47"/>
        <v>-2985.7142857143117</v>
      </c>
      <c r="BJ25" s="34">
        <f t="shared" si="47"/>
        <v>0</v>
      </c>
      <c r="BK25" s="34">
        <f t="shared" si="47"/>
        <v>0</v>
      </c>
      <c r="BL25" s="34">
        <f t="shared" si="47"/>
        <v>0</v>
      </c>
      <c r="BM25" s="34">
        <f t="shared" si="47"/>
        <v>0</v>
      </c>
      <c r="BN25" s="34">
        <f t="shared" si="47"/>
        <v>0</v>
      </c>
      <c r="BO25" s="34">
        <f t="shared" si="48"/>
        <v>0</v>
      </c>
      <c r="BP25" s="34">
        <f t="shared" si="48"/>
        <v>-13200</v>
      </c>
      <c r="BQ25" s="34">
        <f t="shared" si="48"/>
        <v>42000</v>
      </c>
      <c r="BR25" s="34">
        <f t="shared" si="48"/>
        <v>0</v>
      </c>
      <c r="BS25" s="34">
        <f t="shared" si="48"/>
        <v>0</v>
      </c>
      <c r="BT25" s="34">
        <f t="shared" si="48"/>
        <v>0</v>
      </c>
      <c r="BU25" s="34" t="e">
        <f t="shared" si="48"/>
        <v>#N/A</v>
      </c>
      <c r="BW25" s="148">
        <f t="shared" si="53"/>
        <v>39971.428571428572</v>
      </c>
      <c r="BX25" s="34">
        <f t="shared" si="49"/>
        <v>0</v>
      </c>
      <c r="BY25" s="34"/>
      <c r="BZ25" s="34" t="e">
        <f t="shared" si="50"/>
        <v>#N/A</v>
      </c>
      <c r="CA25" s="34" t="e">
        <f t="shared" si="50"/>
        <v>#N/A</v>
      </c>
      <c r="CB25" s="34" t="e">
        <f t="shared" si="50"/>
        <v>#N/A</v>
      </c>
      <c r="CC25" s="34" t="e">
        <f t="shared" si="50"/>
        <v>#N/A</v>
      </c>
      <c r="CD25" s="34">
        <f t="shared" si="50"/>
        <v>0</v>
      </c>
      <c r="CE25" s="34">
        <f t="shared" si="50"/>
        <v>0</v>
      </c>
      <c r="CF25" s="34">
        <f t="shared" si="50"/>
        <v>0</v>
      </c>
      <c r="CG25" s="34">
        <f t="shared" si="50"/>
        <v>0</v>
      </c>
      <c r="CH25" s="34">
        <f t="shared" si="50"/>
        <v>0</v>
      </c>
      <c r="CI25" s="34">
        <f t="shared" si="50"/>
        <v>0</v>
      </c>
      <c r="CJ25" s="34">
        <f t="shared" si="50"/>
        <v>0</v>
      </c>
      <c r="CK25" s="34">
        <f t="shared" si="50"/>
        <v>0</v>
      </c>
      <c r="CL25" s="34" t="e">
        <f t="shared" si="51"/>
        <v>#N/A</v>
      </c>
      <c r="CM25" s="34" t="e">
        <f t="shared" si="51"/>
        <v>#N/A</v>
      </c>
      <c r="CN25" s="34">
        <f t="shared" si="51"/>
        <v>0</v>
      </c>
      <c r="CO25" s="34">
        <f t="shared" si="51"/>
        <v>0</v>
      </c>
      <c r="CP25" s="34">
        <f t="shared" si="51"/>
        <v>0</v>
      </c>
      <c r="CQ25" s="34">
        <f t="shared" si="51"/>
        <v>0</v>
      </c>
      <c r="CR25" s="34" t="e">
        <f t="shared" si="51"/>
        <v>#N/A</v>
      </c>
      <c r="CS25" s="34"/>
      <c r="CT25" s="34"/>
      <c r="CU25" s="34"/>
      <c r="CV25" s="34"/>
      <c r="CW25" s="34"/>
      <c r="CX25" s="34"/>
      <c r="CY25" s="34"/>
      <c r="CZ25" s="34"/>
      <c r="DA25" s="34"/>
      <c r="DD25" s="34"/>
      <c r="DE25" s="34"/>
      <c r="DF25" s="34"/>
      <c r="DG25" s="34"/>
      <c r="DH25" s="34"/>
      <c r="DI25" s="34"/>
      <c r="DJ25" s="34"/>
      <c r="DK25" s="34"/>
      <c r="DL25" s="34"/>
      <c r="DM25" s="34"/>
      <c r="DN25" s="34"/>
      <c r="DO25" s="34"/>
      <c r="DP25" s="34"/>
      <c r="DQ25" s="34"/>
      <c r="DR25" s="34"/>
      <c r="DS25" s="34"/>
      <c r="DT25" s="34"/>
      <c r="DU25" s="34"/>
      <c r="DV25" s="34"/>
    </row>
    <row r="26" spans="1:126">
      <c r="I26" s="35"/>
      <c r="J26" s="134"/>
      <c r="L26" s="35"/>
      <c r="M26" s="35"/>
      <c r="N26" s="67"/>
      <c r="S26" s="72"/>
      <c r="T26" s="72"/>
      <c r="U26" s="72"/>
      <c r="V26" s="72"/>
      <c r="W26" s="72"/>
      <c r="X26" s="72"/>
      <c r="Y26" s="72"/>
      <c r="Z26" s="72"/>
      <c r="AA26" s="72"/>
      <c r="AB26" s="72"/>
      <c r="AC26" s="72"/>
      <c r="AD26" s="72"/>
      <c r="AE26" s="72"/>
      <c r="AF26" s="72"/>
      <c r="AG26" s="72"/>
      <c r="AI26" s="35">
        <f t="shared" si="10"/>
        <v>1.101328556689938</v>
      </c>
      <c r="AJ26" t="b">
        <f t="shared" si="9"/>
        <v>0</v>
      </c>
      <c r="AK26" s="158">
        <v>44616</v>
      </c>
      <c r="AL26" s="139">
        <f t="shared" si="11"/>
        <v>17400</v>
      </c>
      <c r="AM26" s="34">
        <v>33300</v>
      </c>
      <c r="AN26" s="137">
        <v>571</v>
      </c>
      <c r="AO26" s="34">
        <v>0.62</v>
      </c>
      <c r="AP26" s="139">
        <v>17400</v>
      </c>
      <c r="AQ26" s="34">
        <v>18.940000000000001</v>
      </c>
      <c r="AR26" t="s">
        <v>502</v>
      </c>
      <c r="AS26" s="138">
        <v>274.85000000000002</v>
      </c>
      <c r="AT26" s="34">
        <v>-0.38</v>
      </c>
      <c r="AU26" s="34">
        <v>169350</v>
      </c>
      <c r="AV26" s="34">
        <v>-5.7</v>
      </c>
      <c r="AW26" s="34">
        <v>20.48</v>
      </c>
      <c r="AX26" s="34">
        <v>3.6999999999999999E-4</v>
      </c>
      <c r="AZ26" s="148">
        <f t="shared" si="52"/>
        <v>17385.714285714286</v>
      </c>
      <c r="BA26" s="34">
        <f t="shared" si="46"/>
        <v>64314.285714285688</v>
      </c>
      <c r="BB26" s="34"/>
      <c r="BC26" s="34">
        <f t="shared" si="47"/>
        <v>0</v>
      </c>
      <c r="BD26" s="34">
        <f t="shared" si="47"/>
        <v>0</v>
      </c>
      <c r="BE26" s="34">
        <f t="shared" si="47"/>
        <v>0</v>
      </c>
      <c r="BF26" s="34">
        <f t="shared" si="47"/>
        <v>0</v>
      </c>
      <c r="BG26" s="34">
        <f t="shared" si="47"/>
        <v>18000</v>
      </c>
      <c r="BH26" s="34">
        <f t="shared" si="47"/>
        <v>25500</v>
      </c>
      <c r="BI26" s="34">
        <f t="shared" si="47"/>
        <v>-7985.7142857143117</v>
      </c>
      <c r="BJ26" s="34">
        <f t="shared" si="47"/>
        <v>0</v>
      </c>
      <c r="BK26" s="34">
        <f t="shared" si="47"/>
        <v>0</v>
      </c>
      <c r="BL26" s="34">
        <f t="shared" si="47"/>
        <v>0</v>
      </c>
      <c r="BM26" s="34">
        <f t="shared" si="47"/>
        <v>0</v>
      </c>
      <c r="BN26" s="34">
        <f t="shared" si="47"/>
        <v>0</v>
      </c>
      <c r="BO26" s="34">
        <f t="shared" si="48"/>
        <v>0</v>
      </c>
      <c r="BP26" s="34">
        <f t="shared" si="48"/>
        <v>-13200</v>
      </c>
      <c r="BQ26" s="34">
        <f t="shared" si="48"/>
        <v>42000</v>
      </c>
      <c r="BR26" s="34">
        <f t="shared" si="48"/>
        <v>0</v>
      </c>
      <c r="BS26" s="34">
        <f t="shared" si="48"/>
        <v>0</v>
      </c>
      <c r="BT26" s="34">
        <f t="shared" si="48"/>
        <v>0</v>
      </c>
      <c r="BU26" s="34" t="e">
        <f t="shared" si="48"/>
        <v>#N/A</v>
      </c>
      <c r="BW26" s="148">
        <f t="shared" si="53"/>
        <v>40021.428571428572</v>
      </c>
      <c r="BX26" s="34">
        <f t="shared" si="49"/>
        <v>0</v>
      </c>
      <c r="BY26" s="34"/>
      <c r="BZ26" s="34" t="e">
        <f t="shared" ref="BZ26:CK41" si="54">IF(ISBLANK(BZ$2),0,(MAX(BZ$2-$BW26,0)-IF(ISNUMBER(BZ$4),BZ$4,BZ$3))*BZ$5)</f>
        <v>#N/A</v>
      </c>
      <c r="CA26" s="34" t="e">
        <f t="shared" si="54"/>
        <v>#N/A</v>
      </c>
      <c r="CB26" s="34" t="e">
        <f t="shared" si="54"/>
        <v>#N/A</v>
      </c>
      <c r="CC26" s="34" t="e">
        <f t="shared" si="54"/>
        <v>#N/A</v>
      </c>
      <c r="CD26" s="34">
        <f t="shared" si="54"/>
        <v>0</v>
      </c>
      <c r="CE26" s="34">
        <f t="shared" si="54"/>
        <v>0</v>
      </c>
      <c r="CF26" s="34">
        <f t="shared" si="54"/>
        <v>0</v>
      </c>
      <c r="CG26" s="34">
        <f t="shared" si="54"/>
        <v>0</v>
      </c>
      <c r="CH26" s="34">
        <f t="shared" si="54"/>
        <v>0</v>
      </c>
      <c r="CI26" s="34">
        <f t="shared" si="54"/>
        <v>0</v>
      </c>
      <c r="CJ26" s="34">
        <f t="shared" si="54"/>
        <v>0</v>
      </c>
      <c r="CK26" s="34">
        <f t="shared" si="54"/>
        <v>0</v>
      </c>
      <c r="CL26" s="34" t="e">
        <f t="shared" ref="CL26:CR41" si="55">IF(ISBLANK(CL$2),0,(MAX($BW26-CL$2,0)-IF(ISNUMBER(CL$4),CL$4,CL$3))*CL$5)</f>
        <v>#N/A</v>
      </c>
      <c r="CM26" s="34" t="e">
        <f t="shared" si="55"/>
        <v>#N/A</v>
      </c>
      <c r="CN26" s="34">
        <f t="shared" si="55"/>
        <v>0</v>
      </c>
      <c r="CO26" s="34">
        <f t="shared" si="55"/>
        <v>0</v>
      </c>
      <c r="CP26" s="34">
        <f t="shared" si="55"/>
        <v>0</v>
      </c>
      <c r="CQ26" s="34">
        <f t="shared" si="55"/>
        <v>0</v>
      </c>
      <c r="CR26" s="34" t="e">
        <f t="shared" si="55"/>
        <v>#N/A</v>
      </c>
      <c r="CS26" s="34"/>
      <c r="CT26" s="34"/>
      <c r="CU26" s="34"/>
      <c r="CV26" s="34"/>
      <c r="CW26" s="34"/>
      <c r="CX26" s="34"/>
      <c r="CY26" s="34"/>
      <c r="CZ26" s="34"/>
      <c r="DA26" s="34"/>
      <c r="DD26" s="34"/>
      <c r="DE26" s="34"/>
      <c r="DF26" s="34"/>
      <c r="DG26" s="34"/>
      <c r="DH26" s="34"/>
      <c r="DI26" s="34"/>
      <c r="DJ26" s="34"/>
      <c r="DK26" s="34"/>
      <c r="DL26" s="34"/>
      <c r="DM26" s="34"/>
      <c r="DN26" s="34"/>
      <c r="DO26" s="34"/>
      <c r="DP26" s="34"/>
      <c r="DQ26" s="34"/>
      <c r="DR26" s="34"/>
      <c r="DS26" s="34"/>
      <c r="DT26" s="34"/>
      <c r="DU26" s="34"/>
      <c r="DV26" s="34"/>
    </row>
    <row r="27" spans="1:126">
      <c r="I27" s="35"/>
      <c r="J27" s="134"/>
      <c r="L27" s="35"/>
      <c r="M27" s="35"/>
      <c r="N27" s="67"/>
      <c r="S27" s="72"/>
      <c r="T27" s="72"/>
      <c r="U27" s="72"/>
      <c r="V27" s="72"/>
      <c r="W27" s="72"/>
      <c r="X27" s="72"/>
      <c r="Y27" s="72"/>
      <c r="Z27" s="72"/>
      <c r="AA27" s="72"/>
      <c r="AB27" s="72"/>
      <c r="AC27" s="72"/>
      <c r="AD27" s="72"/>
      <c r="AE27" s="72"/>
      <c r="AF27" s="72"/>
      <c r="AG27" s="72"/>
      <c r="AI27" s="35">
        <f t="shared" si="10"/>
        <v>1.1044932939218057</v>
      </c>
      <c r="AJ27" t="b">
        <f t="shared" si="9"/>
        <v>0</v>
      </c>
      <c r="AK27" s="158">
        <v>44616</v>
      </c>
      <c r="AL27" s="139">
        <f t="shared" si="11"/>
        <v>17450</v>
      </c>
      <c r="AM27" s="34">
        <v>2300</v>
      </c>
      <c r="AN27" s="137">
        <v>522.5</v>
      </c>
      <c r="AO27" s="34">
        <v>0.61</v>
      </c>
      <c r="AP27" s="139">
        <v>17450</v>
      </c>
      <c r="AQ27" s="34">
        <v>18.52</v>
      </c>
      <c r="AR27" t="s">
        <v>502</v>
      </c>
      <c r="AS27" s="138">
        <v>286.55</v>
      </c>
      <c r="AT27" s="34">
        <v>-0.39</v>
      </c>
      <c r="AU27" s="34">
        <v>5300</v>
      </c>
      <c r="AV27" s="34">
        <v>-5.65</v>
      </c>
      <c r="AW27" s="34">
        <v>20.76</v>
      </c>
      <c r="AX27" s="34">
        <v>3.8000000000000002E-4</v>
      </c>
      <c r="AZ27" s="148">
        <f t="shared" si="52"/>
        <v>17485.714285714286</v>
      </c>
      <c r="BA27" s="34">
        <f t="shared" si="46"/>
        <v>59314.285714285688</v>
      </c>
      <c r="BB27" s="34"/>
      <c r="BC27" s="34">
        <f t="shared" si="47"/>
        <v>0</v>
      </c>
      <c r="BD27" s="34">
        <f t="shared" si="47"/>
        <v>0</v>
      </c>
      <c r="BE27" s="34">
        <f t="shared" si="47"/>
        <v>0</v>
      </c>
      <c r="BF27" s="34">
        <f t="shared" si="47"/>
        <v>0</v>
      </c>
      <c r="BG27" s="34">
        <f t="shared" si="47"/>
        <v>18000</v>
      </c>
      <c r="BH27" s="34">
        <f t="shared" si="47"/>
        <v>25500</v>
      </c>
      <c r="BI27" s="34">
        <f t="shared" si="47"/>
        <v>-12985.714285714312</v>
      </c>
      <c r="BJ27" s="34">
        <f t="shared" si="47"/>
        <v>0</v>
      </c>
      <c r="BK27" s="34">
        <f t="shared" si="47"/>
        <v>0</v>
      </c>
      <c r="BL27" s="34">
        <f t="shared" si="47"/>
        <v>0</v>
      </c>
      <c r="BM27" s="34">
        <f t="shared" si="47"/>
        <v>0</v>
      </c>
      <c r="BN27" s="34">
        <f t="shared" si="47"/>
        <v>0</v>
      </c>
      <c r="BO27" s="34">
        <f t="shared" si="48"/>
        <v>0</v>
      </c>
      <c r="BP27" s="34">
        <f t="shared" si="48"/>
        <v>-13200</v>
      </c>
      <c r="BQ27" s="34">
        <f t="shared" si="48"/>
        <v>42000</v>
      </c>
      <c r="BR27" s="34">
        <f t="shared" si="48"/>
        <v>0</v>
      </c>
      <c r="BS27" s="34">
        <f t="shared" si="48"/>
        <v>0</v>
      </c>
      <c r="BT27" s="34">
        <f t="shared" si="48"/>
        <v>0</v>
      </c>
      <c r="BU27" s="34" t="e">
        <f t="shared" si="48"/>
        <v>#N/A</v>
      </c>
      <c r="BW27" s="148">
        <f t="shared" si="53"/>
        <v>40071.428571428572</v>
      </c>
      <c r="BX27" s="34">
        <f t="shared" si="49"/>
        <v>0</v>
      </c>
      <c r="BY27" s="34"/>
      <c r="BZ27" s="34" t="e">
        <f t="shared" si="54"/>
        <v>#N/A</v>
      </c>
      <c r="CA27" s="34" t="e">
        <f t="shared" si="54"/>
        <v>#N/A</v>
      </c>
      <c r="CB27" s="34" t="e">
        <f t="shared" si="54"/>
        <v>#N/A</v>
      </c>
      <c r="CC27" s="34" t="e">
        <f t="shared" si="54"/>
        <v>#N/A</v>
      </c>
      <c r="CD27" s="34">
        <f t="shared" si="54"/>
        <v>0</v>
      </c>
      <c r="CE27" s="34">
        <f t="shared" si="54"/>
        <v>0</v>
      </c>
      <c r="CF27" s="34">
        <f t="shared" si="54"/>
        <v>0</v>
      </c>
      <c r="CG27" s="34">
        <f t="shared" si="54"/>
        <v>0</v>
      </c>
      <c r="CH27" s="34">
        <f t="shared" si="54"/>
        <v>0</v>
      </c>
      <c r="CI27" s="34">
        <f t="shared" si="54"/>
        <v>0</v>
      </c>
      <c r="CJ27" s="34">
        <f t="shared" si="54"/>
        <v>0</v>
      </c>
      <c r="CK27" s="34">
        <f t="shared" si="54"/>
        <v>0</v>
      </c>
      <c r="CL27" s="34" t="e">
        <f t="shared" si="55"/>
        <v>#N/A</v>
      </c>
      <c r="CM27" s="34" t="e">
        <f t="shared" si="55"/>
        <v>#N/A</v>
      </c>
      <c r="CN27" s="34">
        <f t="shared" si="55"/>
        <v>0</v>
      </c>
      <c r="CO27" s="34">
        <f t="shared" si="55"/>
        <v>0</v>
      </c>
      <c r="CP27" s="34">
        <f t="shared" si="55"/>
        <v>0</v>
      </c>
      <c r="CQ27" s="34">
        <f t="shared" si="55"/>
        <v>0</v>
      </c>
      <c r="CR27" s="34" t="e">
        <f t="shared" si="55"/>
        <v>#N/A</v>
      </c>
      <c r="CS27" s="34"/>
      <c r="CT27" s="34"/>
      <c r="CU27" s="34"/>
      <c r="CV27" s="34"/>
      <c r="CW27" s="34"/>
      <c r="CX27" s="34"/>
      <c r="CY27" s="34"/>
      <c r="CZ27" s="34"/>
      <c r="DA27" s="34"/>
      <c r="DD27" s="34"/>
      <c r="DE27" s="34"/>
      <c r="DF27" s="34"/>
      <c r="DG27" s="34"/>
      <c r="DH27" s="34"/>
      <c r="DI27" s="34"/>
      <c r="DJ27" s="34"/>
      <c r="DK27" s="34"/>
      <c r="DL27" s="34"/>
      <c r="DM27" s="34"/>
      <c r="DN27" s="34"/>
      <c r="DO27" s="34"/>
      <c r="DP27" s="34"/>
      <c r="DQ27" s="34"/>
      <c r="DR27" s="34"/>
      <c r="DS27" s="34"/>
      <c r="DT27" s="34"/>
      <c r="DU27" s="34"/>
      <c r="DV27" s="34"/>
    </row>
    <row r="28" spans="1:126">
      <c r="I28" s="35"/>
      <c r="J28" s="134"/>
      <c r="L28" s="35"/>
      <c r="M28" s="35"/>
      <c r="N28" s="67"/>
      <c r="S28" s="72"/>
      <c r="T28" s="72"/>
      <c r="U28" s="72"/>
      <c r="V28" s="72"/>
      <c r="W28" s="72"/>
      <c r="X28" s="72"/>
      <c r="Y28" s="72"/>
      <c r="Z28" s="72"/>
      <c r="AA28" s="72"/>
      <c r="AB28" s="72"/>
      <c r="AC28" s="72"/>
      <c r="AD28" s="72"/>
      <c r="AE28" s="72"/>
      <c r="AF28" s="72"/>
      <c r="AG28" s="72"/>
      <c r="AI28" s="35">
        <f t="shared" si="10"/>
        <v>1.1076580311536732</v>
      </c>
      <c r="AJ28" t="b">
        <f t="shared" si="9"/>
        <v>0</v>
      </c>
      <c r="AK28" s="158">
        <v>44616</v>
      </c>
      <c r="AL28" s="139">
        <f t="shared" si="11"/>
        <v>17500</v>
      </c>
      <c r="AM28" s="34">
        <v>270900</v>
      </c>
      <c r="AN28" s="137">
        <v>503</v>
      </c>
      <c r="AO28" s="34">
        <v>0.59</v>
      </c>
      <c r="AP28" s="139">
        <v>17500</v>
      </c>
      <c r="AQ28" s="34">
        <v>18.73</v>
      </c>
      <c r="AR28" t="s">
        <v>502</v>
      </c>
      <c r="AS28" s="138">
        <v>312</v>
      </c>
      <c r="AT28" s="34">
        <v>-0.41</v>
      </c>
      <c r="AU28" s="34">
        <v>1548000</v>
      </c>
      <c r="AV28" s="34">
        <v>-5.79</v>
      </c>
      <c r="AW28" s="34">
        <v>21.03</v>
      </c>
      <c r="AX28" s="34">
        <v>3.8999999999999999E-4</v>
      </c>
      <c r="AZ28" s="148">
        <f t="shared" si="52"/>
        <v>17585.714285714286</v>
      </c>
      <c r="BA28" s="34">
        <f t="shared" si="46"/>
        <v>58600</v>
      </c>
      <c r="BB28" s="34"/>
      <c r="BC28" s="34">
        <f t="shared" si="47"/>
        <v>0</v>
      </c>
      <c r="BD28" s="34">
        <f t="shared" si="47"/>
        <v>0</v>
      </c>
      <c r="BE28" s="34">
        <f t="shared" si="47"/>
        <v>0</v>
      </c>
      <c r="BF28" s="34">
        <f t="shared" si="47"/>
        <v>0</v>
      </c>
      <c r="BG28" s="34">
        <f t="shared" si="47"/>
        <v>18000</v>
      </c>
      <c r="BH28" s="34">
        <f t="shared" si="47"/>
        <v>25500</v>
      </c>
      <c r="BI28" s="34">
        <f t="shared" si="47"/>
        <v>-13700</v>
      </c>
      <c r="BJ28" s="34">
        <f t="shared" si="47"/>
        <v>0</v>
      </c>
      <c r="BK28" s="34">
        <f t="shared" si="47"/>
        <v>0</v>
      </c>
      <c r="BL28" s="34">
        <f t="shared" si="47"/>
        <v>0</v>
      </c>
      <c r="BM28" s="34">
        <f t="shared" si="47"/>
        <v>0</v>
      </c>
      <c r="BN28" s="34">
        <f t="shared" si="47"/>
        <v>0</v>
      </c>
      <c r="BO28" s="34">
        <f t="shared" si="48"/>
        <v>0</v>
      </c>
      <c r="BP28" s="34">
        <f t="shared" si="48"/>
        <v>-13200</v>
      </c>
      <c r="BQ28" s="34">
        <f t="shared" si="48"/>
        <v>42000</v>
      </c>
      <c r="BR28" s="34">
        <f t="shared" si="48"/>
        <v>0</v>
      </c>
      <c r="BS28" s="34">
        <f t="shared" si="48"/>
        <v>0</v>
      </c>
      <c r="BT28" s="34">
        <f t="shared" si="48"/>
        <v>0</v>
      </c>
      <c r="BU28" s="34" t="e">
        <f t="shared" si="48"/>
        <v>#N/A</v>
      </c>
      <c r="BW28" s="148">
        <f t="shared" si="53"/>
        <v>40121.428571428572</v>
      </c>
      <c r="BX28" s="34">
        <f t="shared" si="49"/>
        <v>0</v>
      </c>
      <c r="BY28" s="34"/>
      <c r="BZ28" s="34" t="e">
        <f t="shared" si="54"/>
        <v>#N/A</v>
      </c>
      <c r="CA28" s="34" t="e">
        <f t="shared" si="54"/>
        <v>#N/A</v>
      </c>
      <c r="CB28" s="34" t="e">
        <f t="shared" si="54"/>
        <v>#N/A</v>
      </c>
      <c r="CC28" s="34" t="e">
        <f t="shared" si="54"/>
        <v>#N/A</v>
      </c>
      <c r="CD28" s="34">
        <f t="shared" si="54"/>
        <v>0</v>
      </c>
      <c r="CE28" s="34">
        <f t="shared" si="54"/>
        <v>0</v>
      </c>
      <c r="CF28" s="34">
        <f t="shared" si="54"/>
        <v>0</v>
      </c>
      <c r="CG28" s="34">
        <f t="shared" si="54"/>
        <v>0</v>
      </c>
      <c r="CH28" s="34">
        <f t="shared" si="54"/>
        <v>0</v>
      </c>
      <c r="CI28" s="34">
        <f t="shared" si="54"/>
        <v>0</v>
      </c>
      <c r="CJ28" s="34">
        <f t="shared" si="54"/>
        <v>0</v>
      </c>
      <c r="CK28" s="34">
        <f t="shared" si="54"/>
        <v>0</v>
      </c>
      <c r="CL28" s="34" t="e">
        <f t="shared" si="55"/>
        <v>#N/A</v>
      </c>
      <c r="CM28" s="34" t="e">
        <f t="shared" si="55"/>
        <v>#N/A</v>
      </c>
      <c r="CN28" s="34">
        <f t="shared" si="55"/>
        <v>0</v>
      </c>
      <c r="CO28" s="34">
        <f t="shared" si="55"/>
        <v>0</v>
      </c>
      <c r="CP28" s="34">
        <f t="shared" si="55"/>
        <v>0</v>
      </c>
      <c r="CQ28" s="34">
        <f t="shared" si="55"/>
        <v>0</v>
      </c>
      <c r="CR28" s="34" t="e">
        <f t="shared" si="55"/>
        <v>#N/A</v>
      </c>
      <c r="CS28" s="34"/>
      <c r="CT28" s="34"/>
      <c r="CU28" s="34"/>
      <c r="CV28" s="34"/>
      <c r="CW28" s="34"/>
      <c r="CX28" s="34"/>
      <c r="CY28" s="34"/>
      <c r="CZ28" s="34">
        <v>72.55</v>
      </c>
      <c r="DA28" s="34">
        <f>CZ28*20%</f>
        <v>14.51</v>
      </c>
      <c r="DB28" s="34">
        <f>DA28*-50</f>
        <v>-725.5</v>
      </c>
      <c r="DD28" s="34"/>
      <c r="DE28" s="34"/>
      <c r="DF28" s="34"/>
      <c r="DG28" s="34"/>
      <c r="DH28" s="34"/>
      <c r="DI28" s="34"/>
      <c r="DJ28" s="34"/>
      <c r="DK28" s="34"/>
      <c r="DL28" s="34"/>
      <c r="DM28" s="34"/>
      <c r="DN28" s="34"/>
      <c r="DO28" s="34"/>
      <c r="DP28" s="34"/>
      <c r="DQ28" s="34"/>
      <c r="DR28" s="34"/>
      <c r="DS28" s="34"/>
      <c r="DT28" s="34"/>
      <c r="DU28" s="34"/>
      <c r="DV28" s="34"/>
    </row>
    <row r="29" spans="1:126">
      <c r="I29" s="35"/>
      <c r="J29" s="134"/>
      <c r="L29" s="35"/>
      <c r="M29" s="35"/>
      <c r="N29" s="67"/>
      <c r="S29" s="72"/>
      <c r="T29" s="72"/>
      <c r="U29" s="72"/>
      <c r="V29" s="72"/>
      <c r="W29" s="72"/>
      <c r="X29" s="72"/>
      <c r="Y29" s="72"/>
      <c r="Z29" s="72"/>
      <c r="AA29" s="72"/>
      <c r="AB29" s="72"/>
      <c r="AC29" s="72"/>
      <c r="AD29" s="72"/>
      <c r="AE29" s="72"/>
      <c r="AF29" s="72"/>
      <c r="AG29" s="72"/>
      <c r="AI29" s="35">
        <f t="shared" si="10"/>
        <v>1.1108227683855409</v>
      </c>
      <c r="AJ29" t="b">
        <f t="shared" si="9"/>
        <v>0</v>
      </c>
      <c r="AK29" s="158">
        <v>44616</v>
      </c>
      <c r="AL29" s="139">
        <f t="shared" si="11"/>
        <v>17550</v>
      </c>
      <c r="AM29" s="34">
        <v>7650</v>
      </c>
      <c r="AN29" s="137">
        <v>489.75</v>
      </c>
      <c r="AO29" s="34">
        <v>0.56999999999999995</v>
      </c>
      <c r="AP29" s="139">
        <v>17550</v>
      </c>
      <c r="AQ29" s="34">
        <v>18.71</v>
      </c>
      <c r="AR29" t="s">
        <v>502</v>
      </c>
      <c r="AS29" s="138">
        <v>333.85</v>
      </c>
      <c r="AT29" s="34">
        <v>-0.43</v>
      </c>
      <c r="AU29" s="34">
        <v>20900</v>
      </c>
      <c r="AV29" s="34">
        <v>-5.84</v>
      </c>
      <c r="AW29" s="34">
        <v>21.23</v>
      </c>
      <c r="AX29" s="34">
        <v>3.8999999999999999E-4</v>
      </c>
      <c r="AZ29" s="148">
        <f t="shared" si="52"/>
        <v>17685.714285714286</v>
      </c>
      <c r="BA29" s="34">
        <f t="shared" si="46"/>
        <v>58600</v>
      </c>
      <c r="BB29" s="34"/>
      <c r="BC29" s="34">
        <f t="shared" si="47"/>
        <v>0</v>
      </c>
      <c r="BD29" s="34">
        <f t="shared" si="47"/>
        <v>0</v>
      </c>
      <c r="BE29" s="34">
        <f t="shared" si="47"/>
        <v>0</v>
      </c>
      <c r="BF29" s="34">
        <f t="shared" si="47"/>
        <v>0</v>
      </c>
      <c r="BG29" s="34">
        <f t="shared" si="47"/>
        <v>18000</v>
      </c>
      <c r="BH29" s="34">
        <f t="shared" si="47"/>
        <v>25500</v>
      </c>
      <c r="BI29" s="34">
        <f t="shared" si="47"/>
        <v>-13700</v>
      </c>
      <c r="BJ29" s="34">
        <f t="shared" si="47"/>
        <v>0</v>
      </c>
      <c r="BK29" s="34">
        <f t="shared" si="47"/>
        <v>0</v>
      </c>
      <c r="BL29" s="34">
        <f t="shared" si="47"/>
        <v>0</v>
      </c>
      <c r="BM29" s="34">
        <f t="shared" si="47"/>
        <v>0</v>
      </c>
      <c r="BN29" s="34">
        <f t="shared" si="47"/>
        <v>0</v>
      </c>
      <c r="BO29" s="34">
        <f t="shared" si="48"/>
        <v>0</v>
      </c>
      <c r="BP29" s="34">
        <f t="shared" si="48"/>
        <v>-13200</v>
      </c>
      <c r="BQ29" s="34">
        <f t="shared" si="48"/>
        <v>42000</v>
      </c>
      <c r="BR29" s="34">
        <f t="shared" si="48"/>
        <v>0</v>
      </c>
      <c r="BS29" s="34">
        <f t="shared" si="48"/>
        <v>0</v>
      </c>
      <c r="BT29" s="34">
        <f t="shared" si="48"/>
        <v>0</v>
      </c>
      <c r="BU29" s="34" t="e">
        <f t="shared" si="48"/>
        <v>#N/A</v>
      </c>
      <c r="BW29" s="148">
        <f t="shared" si="53"/>
        <v>40171.428571428572</v>
      </c>
      <c r="BX29" s="34">
        <f t="shared" si="49"/>
        <v>0</v>
      </c>
      <c r="BY29" s="34"/>
      <c r="BZ29" s="34" t="e">
        <f t="shared" si="54"/>
        <v>#N/A</v>
      </c>
      <c r="CA29" s="34" t="e">
        <f t="shared" si="54"/>
        <v>#N/A</v>
      </c>
      <c r="CB29" s="34" t="e">
        <f t="shared" si="54"/>
        <v>#N/A</v>
      </c>
      <c r="CC29" s="34" t="e">
        <f t="shared" si="54"/>
        <v>#N/A</v>
      </c>
      <c r="CD29" s="34">
        <f t="shared" si="54"/>
        <v>0</v>
      </c>
      <c r="CE29" s="34">
        <f t="shared" si="54"/>
        <v>0</v>
      </c>
      <c r="CF29" s="34">
        <f t="shared" si="54"/>
        <v>0</v>
      </c>
      <c r="CG29" s="34">
        <f t="shared" si="54"/>
        <v>0</v>
      </c>
      <c r="CH29" s="34">
        <f t="shared" si="54"/>
        <v>0</v>
      </c>
      <c r="CI29" s="34">
        <f t="shared" si="54"/>
        <v>0</v>
      </c>
      <c r="CJ29" s="34">
        <f t="shared" si="54"/>
        <v>0</v>
      </c>
      <c r="CK29" s="34">
        <f t="shared" si="54"/>
        <v>0</v>
      </c>
      <c r="CL29" s="34" t="e">
        <f t="shared" si="55"/>
        <v>#N/A</v>
      </c>
      <c r="CM29" s="34" t="e">
        <f t="shared" si="55"/>
        <v>#N/A</v>
      </c>
      <c r="CN29" s="34">
        <f t="shared" si="55"/>
        <v>0</v>
      </c>
      <c r="CO29" s="34">
        <f t="shared" si="55"/>
        <v>0</v>
      </c>
      <c r="CP29" s="34">
        <f t="shared" si="55"/>
        <v>0</v>
      </c>
      <c r="CQ29" s="34">
        <f t="shared" si="55"/>
        <v>0</v>
      </c>
      <c r="CR29" s="34" t="e">
        <f t="shared" si="55"/>
        <v>#N/A</v>
      </c>
      <c r="CS29" s="34"/>
      <c r="CT29" s="34"/>
      <c r="CU29" s="34"/>
      <c r="CV29" s="34"/>
      <c r="CW29" s="34"/>
      <c r="CX29" s="34"/>
      <c r="CY29" s="34"/>
      <c r="CZ29" s="34">
        <v>79.5</v>
      </c>
      <c r="DA29" s="34">
        <f>CZ29*20%</f>
        <v>15.9</v>
      </c>
      <c r="DB29" s="34">
        <f t="shared" ref="DB29" si="56">DA29*-50</f>
        <v>-795</v>
      </c>
      <c r="DD29" s="34"/>
      <c r="DE29" s="34"/>
      <c r="DF29" s="34"/>
      <c r="DG29" s="34"/>
      <c r="DH29" s="34"/>
      <c r="DI29" s="34"/>
      <c r="DJ29" s="34"/>
      <c r="DK29" s="34"/>
      <c r="DL29" s="34"/>
      <c r="DM29" s="34"/>
      <c r="DN29" s="34"/>
      <c r="DO29" s="34"/>
      <c r="DP29" s="34"/>
      <c r="DQ29" s="34"/>
      <c r="DR29" s="34"/>
      <c r="DS29" s="34"/>
      <c r="DT29" s="34"/>
      <c r="DU29" s="34"/>
      <c r="DV29" s="34"/>
    </row>
    <row r="30" spans="1:126">
      <c r="I30" s="35"/>
      <c r="J30" s="134"/>
      <c r="L30" s="35"/>
      <c r="M30" s="35"/>
      <c r="N30" s="67"/>
      <c r="S30" s="72"/>
      <c r="T30" s="72"/>
      <c r="U30" s="72"/>
      <c r="V30" s="72"/>
      <c r="W30" s="72"/>
      <c r="X30" s="72"/>
      <c r="Y30" s="72"/>
      <c r="Z30" s="72"/>
      <c r="AA30" s="72"/>
      <c r="AB30" s="72"/>
      <c r="AC30" s="72"/>
      <c r="AD30" s="72"/>
      <c r="AE30" s="72"/>
      <c r="AF30" s="72"/>
      <c r="AG30" s="72"/>
      <c r="AI30" s="35">
        <f t="shared" si="10"/>
        <v>1.1139875056174087</v>
      </c>
      <c r="AJ30" t="b">
        <f t="shared" si="9"/>
        <v>0</v>
      </c>
      <c r="AK30" s="158">
        <v>44616</v>
      </c>
      <c r="AL30" s="139">
        <f t="shared" si="11"/>
        <v>17600</v>
      </c>
      <c r="AM30" s="34">
        <v>169250</v>
      </c>
      <c r="AN30" s="137">
        <v>452</v>
      </c>
      <c r="AO30" s="34">
        <v>0.55000000000000004</v>
      </c>
      <c r="AP30" s="139">
        <v>17600</v>
      </c>
      <c r="AQ30" s="34">
        <v>18.52</v>
      </c>
      <c r="AR30" t="s">
        <v>502</v>
      </c>
      <c r="AS30" s="138">
        <v>353.2</v>
      </c>
      <c r="AT30" s="34">
        <v>-0.45</v>
      </c>
      <c r="AU30" s="34">
        <v>305250</v>
      </c>
      <c r="AV30" s="34">
        <v>-5.83</v>
      </c>
      <c r="AW30" s="34">
        <v>21.38</v>
      </c>
      <c r="AX30" s="34">
        <v>4.0000000000000002E-4</v>
      </c>
      <c r="AZ30" s="148">
        <f t="shared" si="52"/>
        <v>17785.714285714286</v>
      </c>
      <c r="BA30" s="34">
        <f t="shared" si="46"/>
        <v>58600</v>
      </c>
      <c r="BB30" s="34"/>
      <c r="BC30" s="34">
        <f t="shared" si="47"/>
        <v>0</v>
      </c>
      <c r="BD30" s="34">
        <f t="shared" si="47"/>
        <v>0</v>
      </c>
      <c r="BE30" s="34">
        <f t="shared" si="47"/>
        <v>0</v>
      </c>
      <c r="BF30" s="34">
        <f t="shared" si="47"/>
        <v>0</v>
      </c>
      <c r="BG30" s="34">
        <f t="shared" si="47"/>
        <v>18000</v>
      </c>
      <c r="BH30" s="34">
        <f t="shared" si="47"/>
        <v>25500</v>
      </c>
      <c r="BI30" s="34">
        <f t="shared" si="47"/>
        <v>-13700</v>
      </c>
      <c r="BJ30" s="34">
        <f t="shared" si="47"/>
        <v>0</v>
      </c>
      <c r="BK30" s="34">
        <f t="shared" si="47"/>
        <v>0</v>
      </c>
      <c r="BL30" s="34">
        <f t="shared" si="47"/>
        <v>0</v>
      </c>
      <c r="BM30" s="34">
        <f t="shared" si="47"/>
        <v>0</v>
      </c>
      <c r="BN30" s="34">
        <f t="shared" si="47"/>
        <v>0</v>
      </c>
      <c r="BO30" s="34">
        <f t="shared" si="48"/>
        <v>0</v>
      </c>
      <c r="BP30" s="34">
        <f t="shared" si="48"/>
        <v>-13200</v>
      </c>
      <c r="BQ30" s="34">
        <f t="shared" si="48"/>
        <v>42000</v>
      </c>
      <c r="BR30" s="34">
        <f t="shared" si="48"/>
        <v>0</v>
      </c>
      <c r="BS30" s="34">
        <f t="shared" si="48"/>
        <v>0</v>
      </c>
      <c r="BT30" s="34">
        <f t="shared" si="48"/>
        <v>0</v>
      </c>
      <c r="BU30" s="34" t="e">
        <f t="shared" si="48"/>
        <v>#N/A</v>
      </c>
      <c r="BW30" s="148">
        <f t="shared" si="53"/>
        <v>40221.428571428572</v>
      </c>
      <c r="BX30" s="34">
        <f t="shared" si="49"/>
        <v>0</v>
      </c>
      <c r="BY30" s="34"/>
      <c r="BZ30" s="34" t="e">
        <f t="shared" si="54"/>
        <v>#N/A</v>
      </c>
      <c r="CA30" s="34" t="e">
        <f t="shared" si="54"/>
        <v>#N/A</v>
      </c>
      <c r="CB30" s="34" t="e">
        <f t="shared" si="54"/>
        <v>#N/A</v>
      </c>
      <c r="CC30" s="34" t="e">
        <f t="shared" si="54"/>
        <v>#N/A</v>
      </c>
      <c r="CD30" s="34">
        <f t="shared" si="54"/>
        <v>0</v>
      </c>
      <c r="CE30" s="34">
        <f t="shared" si="54"/>
        <v>0</v>
      </c>
      <c r="CF30" s="34">
        <f t="shared" si="54"/>
        <v>0</v>
      </c>
      <c r="CG30" s="34">
        <f t="shared" si="54"/>
        <v>0</v>
      </c>
      <c r="CH30" s="34">
        <f t="shared" si="54"/>
        <v>0</v>
      </c>
      <c r="CI30" s="34">
        <f t="shared" si="54"/>
        <v>0</v>
      </c>
      <c r="CJ30" s="34">
        <f t="shared" si="54"/>
        <v>0</v>
      </c>
      <c r="CK30" s="34">
        <f t="shared" si="54"/>
        <v>0</v>
      </c>
      <c r="CL30" s="34" t="e">
        <f t="shared" si="55"/>
        <v>#N/A</v>
      </c>
      <c r="CM30" s="34" t="e">
        <f t="shared" si="55"/>
        <v>#N/A</v>
      </c>
      <c r="CN30" s="34">
        <f t="shared" si="55"/>
        <v>0</v>
      </c>
      <c r="CO30" s="34">
        <f t="shared" si="55"/>
        <v>0</v>
      </c>
      <c r="CP30" s="34">
        <f t="shared" si="55"/>
        <v>0</v>
      </c>
      <c r="CQ30" s="34">
        <f t="shared" si="55"/>
        <v>0</v>
      </c>
      <c r="CR30" s="34" t="e">
        <f t="shared" si="55"/>
        <v>#N/A</v>
      </c>
      <c r="CS30" s="34"/>
      <c r="CT30" s="34"/>
      <c r="CU30" s="34"/>
      <c r="CV30" s="34"/>
      <c r="CW30" s="34"/>
      <c r="CX30" s="34"/>
      <c r="CY30" s="34"/>
      <c r="CZ30" s="34"/>
      <c r="DA30" s="34"/>
      <c r="DD30" s="34"/>
      <c r="DE30" s="34"/>
      <c r="DF30" s="34"/>
      <c r="DG30" s="34"/>
      <c r="DH30" s="34"/>
      <c r="DI30" s="34"/>
      <c r="DJ30" s="34"/>
      <c r="DK30" s="34"/>
      <c r="DL30" s="34"/>
      <c r="DM30" s="34"/>
      <c r="DN30" s="34"/>
      <c r="DO30" s="34"/>
      <c r="DP30" s="34"/>
      <c r="DQ30" s="34"/>
      <c r="DR30" s="34"/>
      <c r="DS30" s="34"/>
      <c r="DT30" s="34"/>
      <c r="DU30" s="34"/>
      <c r="DV30" s="34"/>
    </row>
    <row r="31" spans="1:126">
      <c r="I31" s="35"/>
      <c r="J31" s="134"/>
      <c r="L31" s="35"/>
      <c r="M31" s="35"/>
      <c r="N31" s="67"/>
      <c r="S31" s="72"/>
      <c r="T31" s="72"/>
      <c r="U31" s="72"/>
      <c r="V31" s="72"/>
      <c r="W31" s="72"/>
      <c r="X31" s="72"/>
      <c r="Y31" s="72"/>
      <c r="Z31" s="72"/>
      <c r="AA31" s="72"/>
      <c r="AB31" s="72"/>
      <c r="AC31" s="72"/>
      <c r="AD31" s="72"/>
      <c r="AE31" s="72"/>
      <c r="AF31" s="72"/>
      <c r="AG31" s="72"/>
      <c r="AI31" s="35">
        <f t="shared" si="10"/>
        <v>1.1171522428492762</v>
      </c>
      <c r="AJ31" t="b">
        <f t="shared" si="9"/>
        <v>0</v>
      </c>
      <c r="AK31" s="158">
        <v>44616</v>
      </c>
      <c r="AL31" s="139">
        <f t="shared" si="11"/>
        <v>17650</v>
      </c>
      <c r="AM31" s="34">
        <v>9500</v>
      </c>
      <c r="AN31" s="137">
        <v>421</v>
      </c>
      <c r="AO31" s="34">
        <v>0.53</v>
      </c>
      <c r="AP31" s="139">
        <v>17650</v>
      </c>
      <c r="AQ31" s="34">
        <v>18.34</v>
      </c>
      <c r="AR31" t="s">
        <v>502</v>
      </c>
      <c r="AS31" s="138">
        <v>373.5</v>
      </c>
      <c r="AT31" s="34">
        <v>-0.47</v>
      </c>
      <c r="AU31" s="34">
        <v>11150</v>
      </c>
      <c r="AV31" s="34">
        <v>-5.8</v>
      </c>
      <c r="AW31" s="34">
        <v>21.49</v>
      </c>
      <c r="AX31" s="34">
        <v>4.0000000000000002E-4</v>
      </c>
      <c r="AZ31" s="148">
        <f t="shared" si="52"/>
        <v>17885.714285714286</v>
      </c>
      <c r="BA31" s="34">
        <f t="shared" si="46"/>
        <v>58600</v>
      </c>
      <c r="BB31" s="34"/>
      <c r="BC31" s="34">
        <f t="shared" si="47"/>
        <v>0</v>
      </c>
      <c r="BD31" s="34">
        <f t="shared" si="47"/>
        <v>0</v>
      </c>
      <c r="BE31" s="34">
        <f t="shared" si="47"/>
        <v>0</v>
      </c>
      <c r="BF31" s="34">
        <f t="shared" si="47"/>
        <v>0</v>
      </c>
      <c r="BG31" s="34">
        <f t="shared" si="47"/>
        <v>18000</v>
      </c>
      <c r="BH31" s="34">
        <f t="shared" si="47"/>
        <v>25500</v>
      </c>
      <c r="BI31" s="34">
        <f t="shared" si="47"/>
        <v>-13700</v>
      </c>
      <c r="BJ31" s="34">
        <f t="shared" ref="BJ31:BN54" si="57">IF(ISBLANK(BJ$2),0,(MAX(BJ$2-$AZ31,0)-IF(ISNUMBER(BJ$4),BJ$4,BJ$3))*BJ$5)</f>
        <v>0</v>
      </c>
      <c r="BK31" s="34">
        <f t="shared" si="57"/>
        <v>0</v>
      </c>
      <c r="BL31" s="34">
        <f t="shared" si="57"/>
        <v>0</v>
      </c>
      <c r="BM31" s="34">
        <f t="shared" si="57"/>
        <v>0</v>
      </c>
      <c r="BN31" s="34">
        <f t="shared" si="57"/>
        <v>0</v>
      </c>
      <c r="BO31" s="34">
        <f t="shared" si="48"/>
        <v>0</v>
      </c>
      <c r="BP31" s="34">
        <f t="shared" si="48"/>
        <v>-13200</v>
      </c>
      <c r="BQ31" s="34">
        <f t="shared" si="48"/>
        <v>42000</v>
      </c>
      <c r="BR31" s="34">
        <f t="shared" si="48"/>
        <v>0</v>
      </c>
      <c r="BS31" s="34">
        <f t="shared" si="48"/>
        <v>0</v>
      </c>
      <c r="BT31" s="34">
        <f t="shared" si="48"/>
        <v>0</v>
      </c>
      <c r="BU31" s="34" t="e">
        <f t="shared" si="48"/>
        <v>#N/A</v>
      </c>
      <c r="BW31" s="148">
        <f t="shared" si="53"/>
        <v>40271.428571428572</v>
      </c>
      <c r="BX31" s="34">
        <f t="shared" si="49"/>
        <v>0</v>
      </c>
      <c r="BY31" s="34"/>
      <c r="BZ31" s="34" t="e">
        <f t="shared" si="54"/>
        <v>#N/A</v>
      </c>
      <c r="CA31" s="34" t="e">
        <f t="shared" si="54"/>
        <v>#N/A</v>
      </c>
      <c r="CB31" s="34" t="e">
        <f t="shared" si="54"/>
        <v>#N/A</v>
      </c>
      <c r="CC31" s="34" t="e">
        <f t="shared" si="54"/>
        <v>#N/A</v>
      </c>
      <c r="CD31" s="34">
        <f t="shared" si="54"/>
        <v>0</v>
      </c>
      <c r="CE31" s="34">
        <f t="shared" si="54"/>
        <v>0</v>
      </c>
      <c r="CF31" s="34">
        <f t="shared" si="54"/>
        <v>0</v>
      </c>
      <c r="CG31" s="34">
        <f t="shared" si="54"/>
        <v>0</v>
      </c>
      <c r="CH31" s="34">
        <f t="shared" si="54"/>
        <v>0</v>
      </c>
      <c r="CI31" s="34">
        <f t="shared" si="54"/>
        <v>0</v>
      </c>
      <c r="CJ31" s="34">
        <f t="shared" si="54"/>
        <v>0</v>
      </c>
      <c r="CK31" s="34">
        <f t="shared" si="54"/>
        <v>0</v>
      </c>
      <c r="CL31" s="34" t="e">
        <f t="shared" si="55"/>
        <v>#N/A</v>
      </c>
      <c r="CM31" s="34" t="e">
        <f t="shared" si="55"/>
        <v>#N/A</v>
      </c>
      <c r="CN31" s="34">
        <f t="shared" si="55"/>
        <v>0</v>
      </c>
      <c r="CO31" s="34">
        <f t="shared" si="55"/>
        <v>0</v>
      </c>
      <c r="CP31" s="34">
        <f t="shared" si="55"/>
        <v>0</v>
      </c>
      <c r="CQ31" s="34">
        <f t="shared" si="55"/>
        <v>0</v>
      </c>
      <c r="CR31" s="34" t="e">
        <f t="shared" si="55"/>
        <v>#N/A</v>
      </c>
      <c r="CS31" s="34"/>
      <c r="CT31" s="34"/>
      <c r="CU31" s="34"/>
      <c r="CV31" s="34"/>
      <c r="CW31" s="34"/>
      <c r="CX31" s="34"/>
      <c r="CY31" s="34"/>
      <c r="CZ31" s="34"/>
      <c r="DA31" s="34"/>
      <c r="DD31" s="34"/>
      <c r="DE31" s="34"/>
      <c r="DF31" s="34"/>
      <c r="DG31" s="34"/>
      <c r="DH31" s="34"/>
      <c r="DI31" s="34"/>
      <c r="DJ31" s="34"/>
      <c r="DK31" s="34"/>
      <c r="DL31" s="34"/>
      <c r="DM31" s="34"/>
      <c r="DN31" s="34"/>
      <c r="DO31" s="34"/>
      <c r="DP31" s="34"/>
      <c r="DQ31" s="34"/>
      <c r="DR31" s="34"/>
      <c r="DS31" s="34"/>
      <c r="DT31" s="34"/>
      <c r="DU31" s="34"/>
      <c r="DV31" s="34"/>
    </row>
    <row r="32" spans="1:126">
      <c r="I32" s="35"/>
      <c r="J32" s="134"/>
      <c r="L32" s="35"/>
      <c r="M32" s="35"/>
      <c r="N32" s="67"/>
      <c r="S32" s="72"/>
      <c r="T32" s="72"/>
      <c r="U32" s="72"/>
      <c r="V32" s="72"/>
      <c r="W32" s="72"/>
      <c r="X32" s="72"/>
      <c r="Y32" s="72"/>
      <c r="Z32" s="72"/>
      <c r="AA32" s="72"/>
      <c r="AB32" s="72"/>
      <c r="AC32" s="72"/>
      <c r="AD32" s="72"/>
      <c r="AE32" s="72"/>
      <c r="AF32" s="72"/>
      <c r="AG32" s="72"/>
      <c r="AI32" s="35">
        <f t="shared" si="10"/>
        <v>1.1203169800811439</v>
      </c>
      <c r="AJ32" t="b">
        <f t="shared" si="9"/>
        <v>0</v>
      </c>
      <c r="AK32" s="158">
        <v>44616</v>
      </c>
      <c r="AL32" s="139">
        <f t="shared" si="11"/>
        <v>17700</v>
      </c>
      <c r="AM32" s="34">
        <v>209950</v>
      </c>
      <c r="AN32" s="137">
        <v>399</v>
      </c>
      <c r="AO32" s="34">
        <v>0.51</v>
      </c>
      <c r="AP32" s="139">
        <v>17700</v>
      </c>
      <c r="AQ32" s="34">
        <v>18.68</v>
      </c>
      <c r="AR32" t="s">
        <v>502</v>
      </c>
      <c r="AS32" s="138">
        <v>399</v>
      </c>
      <c r="AT32" s="34">
        <v>-0.49</v>
      </c>
      <c r="AU32" s="34">
        <v>242700</v>
      </c>
      <c r="AV32" s="34">
        <v>-5.92</v>
      </c>
      <c r="AW32" s="34">
        <v>21.54</v>
      </c>
      <c r="AX32" s="34">
        <v>4.0000000000000002E-4</v>
      </c>
      <c r="AZ32" s="148">
        <f t="shared" si="52"/>
        <v>17985.714285714286</v>
      </c>
      <c r="BA32" s="34">
        <f t="shared" si="46"/>
        <v>58600</v>
      </c>
      <c r="BB32" s="34"/>
      <c r="BC32" s="34">
        <f t="shared" si="47"/>
        <v>0</v>
      </c>
      <c r="BD32" s="34">
        <f t="shared" si="47"/>
        <v>0</v>
      </c>
      <c r="BE32" s="34">
        <f t="shared" si="47"/>
        <v>0</v>
      </c>
      <c r="BF32" s="34">
        <f t="shared" si="47"/>
        <v>0</v>
      </c>
      <c r="BG32" s="34">
        <f t="shared" si="47"/>
        <v>18000</v>
      </c>
      <c r="BH32" s="34">
        <f t="shared" si="47"/>
        <v>25500</v>
      </c>
      <c r="BI32" s="34">
        <f t="shared" si="47"/>
        <v>-13700</v>
      </c>
      <c r="BJ32" s="34">
        <f t="shared" si="57"/>
        <v>0</v>
      </c>
      <c r="BK32" s="34">
        <f t="shared" si="57"/>
        <v>0</v>
      </c>
      <c r="BL32" s="34">
        <f t="shared" si="57"/>
        <v>0</v>
      </c>
      <c r="BM32" s="34">
        <f t="shared" si="57"/>
        <v>0</v>
      </c>
      <c r="BN32" s="34">
        <f t="shared" si="57"/>
        <v>0</v>
      </c>
      <c r="BO32" s="34">
        <f t="shared" si="48"/>
        <v>0</v>
      </c>
      <c r="BP32" s="34">
        <f t="shared" si="48"/>
        <v>-13200</v>
      </c>
      <c r="BQ32" s="34">
        <f t="shared" si="48"/>
        <v>42000</v>
      </c>
      <c r="BR32" s="34">
        <f t="shared" si="48"/>
        <v>0</v>
      </c>
      <c r="BS32" s="34">
        <f t="shared" si="48"/>
        <v>0</v>
      </c>
      <c r="BT32" s="34">
        <f t="shared" si="48"/>
        <v>0</v>
      </c>
      <c r="BU32" s="34" t="e">
        <f t="shared" si="48"/>
        <v>#N/A</v>
      </c>
      <c r="BW32" s="148">
        <f t="shared" si="53"/>
        <v>40321.428571428572</v>
      </c>
      <c r="BX32" s="34">
        <f t="shared" si="49"/>
        <v>0</v>
      </c>
      <c r="BY32" s="34"/>
      <c r="BZ32" s="34" t="e">
        <f t="shared" si="54"/>
        <v>#N/A</v>
      </c>
      <c r="CA32" s="34" t="e">
        <f t="shared" si="54"/>
        <v>#N/A</v>
      </c>
      <c r="CB32" s="34" t="e">
        <f t="shared" si="54"/>
        <v>#N/A</v>
      </c>
      <c r="CC32" s="34" t="e">
        <f t="shared" si="54"/>
        <v>#N/A</v>
      </c>
      <c r="CD32" s="34">
        <f t="shared" si="54"/>
        <v>0</v>
      </c>
      <c r="CE32" s="34">
        <f t="shared" si="54"/>
        <v>0</v>
      </c>
      <c r="CF32" s="34">
        <f t="shared" si="54"/>
        <v>0</v>
      </c>
      <c r="CG32" s="34">
        <f t="shared" si="54"/>
        <v>0</v>
      </c>
      <c r="CH32" s="34">
        <f t="shared" si="54"/>
        <v>0</v>
      </c>
      <c r="CI32" s="34">
        <f t="shared" si="54"/>
        <v>0</v>
      </c>
      <c r="CJ32" s="34">
        <f t="shared" si="54"/>
        <v>0</v>
      </c>
      <c r="CK32" s="34">
        <f t="shared" si="54"/>
        <v>0</v>
      </c>
      <c r="CL32" s="34" t="e">
        <f t="shared" si="55"/>
        <v>#N/A</v>
      </c>
      <c r="CM32" s="34" t="e">
        <f t="shared" si="55"/>
        <v>#N/A</v>
      </c>
      <c r="CN32" s="34">
        <f t="shared" si="55"/>
        <v>0</v>
      </c>
      <c r="CO32" s="34">
        <f t="shared" si="55"/>
        <v>0</v>
      </c>
      <c r="CP32" s="34">
        <f t="shared" si="55"/>
        <v>0</v>
      </c>
      <c r="CQ32" s="34">
        <f t="shared" si="55"/>
        <v>0</v>
      </c>
      <c r="CR32" s="34" t="e">
        <f t="shared" si="55"/>
        <v>#N/A</v>
      </c>
      <c r="CS32" s="34"/>
      <c r="CT32" s="34"/>
      <c r="CU32" s="34"/>
      <c r="CV32" s="34"/>
      <c r="CW32" s="34"/>
      <c r="CX32" s="34"/>
      <c r="CY32" s="34"/>
      <c r="CZ32" s="34"/>
      <c r="DA32" s="34"/>
      <c r="DD32" s="34"/>
      <c r="DE32" s="34"/>
      <c r="DF32" s="34"/>
      <c r="DG32" s="34"/>
      <c r="DH32" s="34"/>
      <c r="DI32" s="34"/>
      <c r="DJ32" s="34"/>
      <c r="DK32" s="34"/>
      <c r="DL32" s="34"/>
      <c r="DM32" s="34"/>
      <c r="DN32" s="34"/>
      <c r="DO32" s="34"/>
      <c r="DP32" s="34"/>
      <c r="DQ32" s="34"/>
      <c r="DR32" s="34"/>
      <c r="DS32" s="34"/>
      <c r="DT32" s="34"/>
      <c r="DU32" s="34"/>
      <c r="DV32" s="34"/>
    </row>
    <row r="33" spans="9:126">
      <c r="I33" s="35"/>
      <c r="J33" s="134"/>
      <c r="L33" s="35"/>
      <c r="M33" s="35"/>
      <c r="N33" s="67"/>
      <c r="S33" s="72"/>
      <c r="T33" s="72"/>
      <c r="U33" s="72"/>
      <c r="V33" s="72"/>
      <c r="W33" s="72"/>
      <c r="X33" s="72"/>
      <c r="Y33" s="72"/>
      <c r="Z33" s="72"/>
      <c r="AA33" s="72"/>
      <c r="AB33" s="72"/>
      <c r="AC33" s="72"/>
      <c r="AD33" s="72"/>
      <c r="AE33" s="72"/>
      <c r="AF33" s="72"/>
      <c r="AG33" s="72"/>
      <c r="AI33" s="35">
        <f t="shared" si="10"/>
        <v>1.1234817173130114</v>
      </c>
      <c r="AJ33" t="b">
        <f t="shared" si="9"/>
        <v>0</v>
      </c>
      <c r="AK33" s="158">
        <v>44616</v>
      </c>
      <c r="AL33" s="139">
        <f t="shared" si="11"/>
        <v>17750</v>
      </c>
      <c r="AM33" s="34">
        <v>9350</v>
      </c>
      <c r="AN33" s="137">
        <v>370.9</v>
      </c>
      <c r="AO33" s="34">
        <v>0.49</v>
      </c>
      <c r="AP33" s="139">
        <v>17750</v>
      </c>
      <c r="AQ33" s="34">
        <v>18.48</v>
      </c>
      <c r="AR33" t="s">
        <v>502</v>
      </c>
      <c r="AS33" s="138">
        <v>424</v>
      </c>
      <c r="AT33" s="34">
        <v>-0.51</v>
      </c>
      <c r="AU33" s="34">
        <v>12750</v>
      </c>
      <c r="AV33" s="34">
        <v>-5.85</v>
      </c>
      <c r="AW33" s="34">
        <v>21.53</v>
      </c>
      <c r="AX33" s="34">
        <v>4.0000000000000002E-4</v>
      </c>
      <c r="AZ33" s="148">
        <f t="shared" si="52"/>
        <v>18085.714285714286</v>
      </c>
      <c r="BA33" s="34">
        <f t="shared" si="46"/>
        <v>62885.714285714312</v>
      </c>
      <c r="BB33" s="34"/>
      <c r="BC33" s="34">
        <f t="shared" si="47"/>
        <v>0</v>
      </c>
      <c r="BD33" s="34">
        <f t="shared" si="47"/>
        <v>0</v>
      </c>
      <c r="BE33" s="34">
        <f t="shared" si="47"/>
        <v>0</v>
      </c>
      <c r="BF33" s="34">
        <f t="shared" si="47"/>
        <v>0</v>
      </c>
      <c r="BG33" s="34">
        <f t="shared" si="47"/>
        <v>18000</v>
      </c>
      <c r="BH33" s="34">
        <f t="shared" si="47"/>
        <v>25500</v>
      </c>
      <c r="BI33" s="34">
        <f t="shared" si="47"/>
        <v>-13700</v>
      </c>
      <c r="BJ33" s="34">
        <f t="shared" si="57"/>
        <v>0</v>
      </c>
      <c r="BK33" s="34">
        <f t="shared" si="57"/>
        <v>0</v>
      </c>
      <c r="BL33" s="34">
        <f t="shared" si="57"/>
        <v>0</v>
      </c>
      <c r="BM33" s="34">
        <f t="shared" si="57"/>
        <v>0</v>
      </c>
      <c r="BN33" s="34">
        <f t="shared" si="57"/>
        <v>0</v>
      </c>
      <c r="BO33" s="34">
        <f t="shared" si="48"/>
        <v>0</v>
      </c>
      <c r="BP33" s="34">
        <f t="shared" si="48"/>
        <v>-8914.2857142856883</v>
      </c>
      <c r="BQ33" s="34">
        <f t="shared" si="48"/>
        <v>42000</v>
      </c>
      <c r="BR33" s="34">
        <f t="shared" si="48"/>
        <v>0</v>
      </c>
      <c r="BS33" s="34">
        <f t="shared" si="48"/>
        <v>0</v>
      </c>
      <c r="BT33" s="34">
        <f t="shared" si="48"/>
        <v>0</v>
      </c>
      <c r="BU33" s="34" t="e">
        <f t="shared" si="48"/>
        <v>#N/A</v>
      </c>
      <c r="BW33" s="148">
        <f t="shared" si="53"/>
        <v>40371.428571428572</v>
      </c>
      <c r="BX33" s="34">
        <f t="shared" si="49"/>
        <v>0</v>
      </c>
      <c r="BY33" s="34"/>
      <c r="BZ33" s="34" t="e">
        <f t="shared" si="54"/>
        <v>#N/A</v>
      </c>
      <c r="CA33" s="34" t="e">
        <f t="shared" si="54"/>
        <v>#N/A</v>
      </c>
      <c r="CB33" s="34" t="e">
        <f t="shared" si="54"/>
        <v>#N/A</v>
      </c>
      <c r="CC33" s="34" t="e">
        <f t="shared" si="54"/>
        <v>#N/A</v>
      </c>
      <c r="CD33" s="34">
        <f t="shared" si="54"/>
        <v>0</v>
      </c>
      <c r="CE33" s="34">
        <f t="shared" si="54"/>
        <v>0</v>
      </c>
      <c r="CF33" s="34">
        <f t="shared" si="54"/>
        <v>0</v>
      </c>
      <c r="CG33" s="34">
        <f t="shared" si="54"/>
        <v>0</v>
      </c>
      <c r="CH33" s="34">
        <f t="shared" si="54"/>
        <v>0</v>
      </c>
      <c r="CI33" s="34">
        <f t="shared" si="54"/>
        <v>0</v>
      </c>
      <c r="CJ33" s="34">
        <f t="shared" si="54"/>
        <v>0</v>
      </c>
      <c r="CK33" s="34">
        <f t="shared" si="54"/>
        <v>0</v>
      </c>
      <c r="CL33" s="34" t="e">
        <f t="shared" si="55"/>
        <v>#N/A</v>
      </c>
      <c r="CM33" s="34" t="e">
        <f t="shared" si="55"/>
        <v>#N/A</v>
      </c>
      <c r="CN33" s="34">
        <f t="shared" si="55"/>
        <v>0</v>
      </c>
      <c r="CO33" s="34">
        <f t="shared" si="55"/>
        <v>0</v>
      </c>
      <c r="CP33" s="34">
        <f t="shared" si="55"/>
        <v>0</v>
      </c>
      <c r="CQ33" s="34">
        <f t="shared" si="55"/>
        <v>0</v>
      </c>
      <c r="CR33" s="34" t="e">
        <f t="shared" si="55"/>
        <v>#N/A</v>
      </c>
      <c r="CS33" s="34"/>
      <c r="CT33" s="34"/>
      <c r="CU33" s="34"/>
      <c r="CV33" s="34"/>
      <c r="CW33" s="34"/>
      <c r="CX33" s="34"/>
      <c r="CY33" s="34"/>
      <c r="CZ33" s="34"/>
      <c r="DA33" s="34"/>
      <c r="DD33" s="34"/>
      <c r="DE33" s="34"/>
      <c r="DF33" s="34"/>
      <c r="DG33" s="34"/>
      <c r="DH33" s="34"/>
      <c r="DI33" s="34"/>
      <c r="DJ33" s="34"/>
      <c r="DK33" s="34"/>
      <c r="DL33" s="34"/>
      <c r="DM33" s="34"/>
      <c r="DN33" s="34"/>
      <c r="DO33" s="34"/>
      <c r="DP33" s="34"/>
      <c r="DQ33" s="34"/>
      <c r="DR33" s="34"/>
      <c r="DS33" s="34"/>
      <c r="DT33" s="34"/>
      <c r="DU33" s="34"/>
      <c r="DV33" s="34"/>
    </row>
    <row r="34" spans="9:126">
      <c r="I34" s="35"/>
      <c r="J34" s="134"/>
      <c r="L34" s="35"/>
      <c r="M34" s="35"/>
      <c r="N34" s="67"/>
      <c r="S34" s="72"/>
      <c r="T34" s="72"/>
      <c r="U34" s="72"/>
      <c r="V34" s="72"/>
      <c r="W34" s="72"/>
      <c r="X34" s="72"/>
      <c r="Y34" s="72"/>
      <c r="Z34" s="72"/>
      <c r="AA34" s="72"/>
      <c r="AB34" s="72"/>
      <c r="AC34" s="72"/>
      <c r="AD34" s="72"/>
      <c r="AE34" s="72"/>
      <c r="AF34" s="72"/>
      <c r="AG34" s="72"/>
      <c r="AI34" s="35">
        <f t="shared" si="10"/>
        <v>1.1266464545448791</v>
      </c>
      <c r="AJ34" t="b">
        <f t="shared" si="9"/>
        <v>0</v>
      </c>
      <c r="AK34" s="158">
        <v>44616</v>
      </c>
      <c r="AL34" s="139">
        <f t="shared" si="11"/>
        <v>17800</v>
      </c>
      <c r="AM34" s="34">
        <v>244400</v>
      </c>
      <c r="AN34" s="137">
        <v>349</v>
      </c>
      <c r="AO34" s="34">
        <v>0.47</v>
      </c>
      <c r="AP34" s="139">
        <v>17800</v>
      </c>
      <c r="AQ34" s="34">
        <v>18.52</v>
      </c>
      <c r="AR34" t="s">
        <v>502</v>
      </c>
      <c r="AS34" s="138">
        <v>446.7</v>
      </c>
      <c r="AT34" s="34">
        <v>-0.53</v>
      </c>
      <c r="AU34" s="34">
        <v>247500</v>
      </c>
      <c r="AV34" s="34">
        <v>-5.85</v>
      </c>
      <c r="AW34" s="34">
        <v>21.48</v>
      </c>
      <c r="AX34" s="34">
        <v>4.0000000000000002E-4</v>
      </c>
      <c r="AZ34" s="148">
        <f t="shared" si="52"/>
        <v>18185.714285714286</v>
      </c>
      <c r="BA34" s="34">
        <f t="shared" si="46"/>
        <v>67885.714285714319</v>
      </c>
      <c r="BB34" s="34"/>
      <c r="BC34" s="34">
        <f t="shared" si="47"/>
        <v>0</v>
      </c>
      <c r="BD34" s="34">
        <f t="shared" si="47"/>
        <v>0</v>
      </c>
      <c r="BE34" s="34">
        <f t="shared" si="47"/>
        <v>0</v>
      </c>
      <c r="BF34" s="34">
        <f t="shared" si="47"/>
        <v>0</v>
      </c>
      <c r="BG34" s="34">
        <f t="shared" si="47"/>
        <v>18000</v>
      </c>
      <c r="BH34" s="34">
        <f t="shared" si="47"/>
        <v>25500</v>
      </c>
      <c r="BI34" s="34">
        <f t="shared" si="47"/>
        <v>-13700</v>
      </c>
      <c r="BJ34" s="34">
        <f t="shared" si="57"/>
        <v>0</v>
      </c>
      <c r="BK34" s="34">
        <f t="shared" si="57"/>
        <v>0</v>
      </c>
      <c r="BL34" s="34">
        <f t="shared" si="57"/>
        <v>0</v>
      </c>
      <c r="BM34" s="34">
        <f t="shared" si="57"/>
        <v>0</v>
      </c>
      <c r="BN34" s="34">
        <f t="shared" si="57"/>
        <v>0</v>
      </c>
      <c r="BO34" s="34">
        <f t="shared" si="48"/>
        <v>0</v>
      </c>
      <c r="BP34" s="34">
        <f t="shared" si="48"/>
        <v>-3914.2857142856883</v>
      </c>
      <c r="BQ34" s="34">
        <f t="shared" si="48"/>
        <v>42000</v>
      </c>
      <c r="BR34" s="34">
        <f t="shared" si="48"/>
        <v>0</v>
      </c>
      <c r="BS34" s="34">
        <f t="shared" si="48"/>
        <v>0</v>
      </c>
      <c r="BT34" s="34">
        <f t="shared" si="48"/>
        <v>0</v>
      </c>
      <c r="BU34" s="34" t="e">
        <f t="shared" si="48"/>
        <v>#N/A</v>
      </c>
      <c r="BW34" s="148">
        <f t="shared" si="53"/>
        <v>40421.428571428572</v>
      </c>
      <c r="BX34" s="34">
        <f t="shared" si="49"/>
        <v>0</v>
      </c>
      <c r="BY34" s="34"/>
      <c r="BZ34" s="34" t="e">
        <f t="shared" si="54"/>
        <v>#N/A</v>
      </c>
      <c r="CA34" s="34" t="e">
        <f t="shared" si="54"/>
        <v>#N/A</v>
      </c>
      <c r="CB34" s="34" t="e">
        <f t="shared" si="54"/>
        <v>#N/A</v>
      </c>
      <c r="CC34" s="34" t="e">
        <f t="shared" si="54"/>
        <v>#N/A</v>
      </c>
      <c r="CD34" s="34">
        <f t="shared" si="54"/>
        <v>0</v>
      </c>
      <c r="CE34" s="34">
        <f t="shared" si="54"/>
        <v>0</v>
      </c>
      <c r="CF34" s="34">
        <f t="shared" si="54"/>
        <v>0</v>
      </c>
      <c r="CG34" s="34">
        <f t="shared" si="54"/>
        <v>0</v>
      </c>
      <c r="CH34" s="34">
        <f t="shared" si="54"/>
        <v>0</v>
      </c>
      <c r="CI34" s="34">
        <f t="shared" si="54"/>
        <v>0</v>
      </c>
      <c r="CJ34" s="34">
        <f t="shared" si="54"/>
        <v>0</v>
      </c>
      <c r="CK34" s="34">
        <f t="shared" si="54"/>
        <v>0</v>
      </c>
      <c r="CL34" s="34" t="e">
        <f t="shared" si="55"/>
        <v>#N/A</v>
      </c>
      <c r="CM34" s="34" t="e">
        <f t="shared" si="55"/>
        <v>#N/A</v>
      </c>
      <c r="CN34" s="34">
        <f t="shared" si="55"/>
        <v>0</v>
      </c>
      <c r="CO34" s="34">
        <f t="shared" si="55"/>
        <v>0</v>
      </c>
      <c r="CP34" s="34">
        <f t="shared" si="55"/>
        <v>0</v>
      </c>
      <c r="CQ34" s="34">
        <f t="shared" si="55"/>
        <v>0</v>
      </c>
      <c r="CR34" s="34" t="e">
        <f t="shared" si="55"/>
        <v>#N/A</v>
      </c>
      <c r="CS34" s="34"/>
      <c r="CT34" s="34"/>
      <c r="CU34" s="34"/>
      <c r="CV34" s="34"/>
      <c r="CW34" s="34"/>
      <c r="CX34" s="34"/>
      <c r="CY34" s="34"/>
      <c r="CZ34" s="34"/>
      <c r="DA34" s="34"/>
      <c r="DD34" s="34"/>
      <c r="DE34" s="34"/>
      <c r="DF34" s="34"/>
      <c r="DG34" s="34"/>
      <c r="DH34" s="34"/>
      <c r="DI34" s="34"/>
      <c r="DJ34" s="34"/>
      <c r="DK34" s="34"/>
      <c r="DL34" s="34"/>
      <c r="DM34" s="34"/>
      <c r="DN34" s="34"/>
      <c r="DO34" s="34"/>
      <c r="DP34" s="34"/>
      <c r="DQ34" s="34"/>
      <c r="DR34" s="34"/>
      <c r="DS34" s="34"/>
      <c r="DT34" s="34"/>
      <c r="DU34" s="34"/>
      <c r="DV34" s="34"/>
    </row>
    <row r="35" spans="9:126">
      <c r="I35" s="35"/>
      <c r="J35" s="134"/>
      <c r="L35" s="35"/>
      <c r="M35" s="35"/>
      <c r="N35" s="67"/>
      <c r="S35" s="72"/>
      <c r="T35" s="72"/>
      <c r="U35" s="72"/>
      <c r="V35" s="72"/>
      <c r="W35" s="72"/>
      <c r="X35" s="72"/>
      <c r="Y35" s="72"/>
      <c r="Z35" s="72"/>
      <c r="AA35" s="72"/>
      <c r="AB35" s="72"/>
      <c r="AC35" s="72"/>
      <c r="AD35" s="72"/>
      <c r="AE35" s="72"/>
      <c r="AF35" s="72"/>
      <c r="AG35" s="72"/>
      <c r="AI35" s="35">
        <f t="shared" si="10"/>
        <v>1.1298111917767468</v>
      </c>
      <c r="AJ35" t="b">
        <f t="shared" si="9"/>
        <v>0</v>
      </c>
      <c r="AK35" s="158">
        <v>44616</v>
      </c>
      <c r="AL35" s="139">
        <f t="shared" si="11"/>
        <v>17850</v>
      </c>
      <c r="AM35" s="34">
        <v>14800</v>
      </c>
      <c r="AN35" s="137">
        <v>315.45</v>
      </c>
      <c r="AO35" s="34">
        <v>0.45</v>
      </c>
      <c r="AP35" s="139">
        <v>17850</v>
      </c>
      <c r="AQ35" s="34">
        <v>17.98</v>
      </c>
      <c r="AR35" t="s">
        <v>502</v>
      </c>
      <c r="AS35" s="138">
        <v>476</v>
      </c>
      <c r="AT35" s="34">
        <v>-0.55000000000000004</v>
      </c>
      <c r="AU35" s="34">
        <v>9250</v>
      </c>
      <c r="AV35" s="34">
        <v>-5.64</v>
      </c>
      <c r="AW35" s="34">
        <v>21.35</v>
      </c>
      <c r="AX35" s="34">
        <v>4.0999999999999999E-4</v>
      </c>
      <c r="AZ35" s="148">
        <f t="shared" si="52"/>
        <v>18285.714285714286</v>
      </c>
      <c r="BA35" s="34">
        <f t="shared" si="46"/>
        <v>72885.714285714319</v>
      </c>
      <c r="BB35" s="34"/>
      <c r="BC35" s="34">
        <f t="shared" si="47"/>
        <v>0</v>
      </c>
      <c r="BD35" s="34">
        <f t="shared" si="47"/>
        <v>0</v>
      </c>
      <c r="BE35" s="34">
        <f t="shared" si="47"/>
        <v>0</v>
      </c>
      <c r="BF35" s="34">
        <f t="shared" si="47"/>
        <v>0</v>
      </c>
      <c r="BG35" s="34">
        <f t="shared" si="47"/>
        <v>18000</v>
      </c>
      <c r="BH35" s="34">
        <f t="shared" si="47"/>
        <v>25500</v>
      </c>
      <c r="BI35" s="34">
        <f t="shared" si="47"/>
        <v>-13700</v>
      </c>
      <c r="BJ35" s="34">
        <f t="shared" si="57"/>
        <v>0</v>
      </c>
      <c r="BK35" s="34">
        <f t="shared" si="57"/>
        <v>0</v>
      </c>
      <c r="BL35" s="34">
        <f t="shared" si="57"/>
        <v>0</v>
      </c>
      <c r="BM35" s="34">
        <f t="shared" si="57"/>
        <v>0</v>
      </c>
      <c r="BN35" s="34">
        <f t="shared" si="57"/>
        <v>0</v>
      </c>
      <c r="BO35" s="34">
        <f t="shared" si="48"/>
        <v>0</v>
      </c>
      <c r="BP35" s="34">
        <f t="shared" si="48"/>
        <v>1085.7142857143117</v>
      </c>
      <c r="BQ35" s="34">
        <f t="shared" si="48"/>
        <v>42000</v>
      </c>
      <c r="BR35" s="34">
        <f t="shared" si="48"/>
        <v>0</v>
      </c>
      <c r="BS35" s="34">
        <f t="shared" si="48"/>
        <v>0</v>
      </c>
      <c r="BT35" s="34">
        <f t="shared" si="48"/>
        <v>0</v>
      </c>
      <c r="BU35" s="34" t="e">
        <f t="shared" si="48"/>
        <v>#N/A</v>
      </c>
      <c r="BW35" s="148">
        <f t="shared" si="53"/>
        <v>40471.428571428572</v>
      </c>
      <c r="BX35" s="34">
        <f t="shared" si="49"/>
        <v>0</v>
      </c>
      <c r="BY35" s="34"/>
      <c r="BZ35" s="34" t="e">
        <f t="shared" si="54"/>
        <v>#N/A</v>
      </c>
      <c r="CA35" s="34" t="e">
        <f t="shared" si="54"/>
        <v>#N/A</v>
      </c>
      <c r="CB35" s="34" t="e">
        <f t="shared" si="54"/>
        <v>#N/A</v>
      </c>
      <c r="CC35" s="34" t="e">
        <f t="shared" si="54"/>
        <v>#N/A</v>
      </c>
      <c r="CD35" s="34">
        <f t="shared" si="54"/>
        <v>0</v>
      </c>
      <c r="CE35" s="34">
        <f t="shared" si="54"/>
        <v>0</v>
      </c>
      <c r="CF35" s="34">
        <f t="shared" si="54"/>
        <v>0</v>
      </c>
      <c r="CG35" s="34">
        <f t="shared" si="54"/>
        <v>0</v>
      </c>
      <c r="CH35" s="34">
        <f t="shared" si="54"/>
        <v>0</v>
      </c>
      <c r="CI35" s="34">
        <f t="shared" si="54"/>
        <v>0</v>
      </c>
      <c r="CJ35" s="34">
        <f t="shared" si="54"/>
        <v>0</v>
      </c>
      <c r="CK35" s="34">
        <f t="shared" si="54"/>
        <v>0</v>
      </c>
      <c r="CL35" s="34" t="e">
        <f t="shared" si="55"/>
        <v>#N/A</v>
      </c>
      <c r="CM35" s="34" t="e">
        <f t="shared" si="55"/>
        <v>#N/A</v>
      </c>
      <c r="CN35" s="34">
        <f t="shared" si="55"/>
        <v>0</v>
      </c>
      <c r="CO35" s="34">
        <f t="shared" si="55"/>
        <v>0</v>
      </c>
      <c r="CP35" s="34">
        <f t="shared" si="55"/>
        <v>0</v>
      </c>
      <c r="CQ35" s="34">
        <f t="shared" si="55"/>
        <v>0</v>
      </c>
      <c r="CR35" s="34" t="e">
        <f t="shared" si="55"/>
        <v>#N/A</v>
      </c>
      <c r="CS35" s="34"/>
      <c r="CT35" s="34"/>
      <c r="CU35" s="34"/>
      <c r="CV35" s="34"/>
      <c r="CW35" s="34"/>
      <c r="CX35" s="34"/>
      <c r="CY35" s="34"/>
      <c r="CZ35" s="34"/>
      <c r="DA35" s="34"/>
      <c r="DD35" s="34"/>
      <c r="DE35" s="34"/>
      <c r="DF35" s="34"/>
      <c r="DG35" s="34"/>
      <c r="DH35" s="34"/>
      <c r="DI35" s="34"/>
      <c r="DJ35" s="34"/>
      <c r="DK35" s="34"/>
      <c r="DL35" s="34"/>
      <c r="DM35" s="34"/>
      <c r="DN35" s="34"/>
      <c r="DO35" s="34"/>
      <c r="DP35" s="34"/>
      <c r="DQ35" s="34"/>
      <c r="DR35" s="34"/>
      <c r="DS35" s="34"/>
      <c r="DT35" s="34"/>
      <c r="DU35" s="34"/>
      <c r="DV35" s="34"/>
    </row>
    <row r="36" spans="9:126">
      <c r="I36" s="35"/>
      <c r="J36" s="134"/>
      <c r="L36" s="35"/>
      <c r="M36" s="35"/>
      <c r="N36" s="67"/>
      <c r="S36" s="72"/>
      <c r="T36" s="72"/>
      <c r="U36" s="72"/>
      <c r="V36" s="72"/>
      <c r="W36" s="72"/>
      <c r="X36" s="72"/>
      <c r="Y36" s="72"/>
      <c r="Z36" s="72"/>
      <c r="AA36" s="72"/>
      <c r="AB36" s="72"/>
      <c r="AC36" s="72"/>
      <c r="AD36" s="72"/>
      <c r="AE36" s="72"/>
      <c r="AF36" s="72"/>
      <c r="AG36" s="72"/>
      <c r="AI36" s="35">
        <f t="shared" si="10"/>
        <v>1.1329759290086143</v>
      </c>
      <c r="AJ36" t="b">
        <f t="shared" si="9"/>
        <v>0</v>
      </c>
      <c r="AK36" s="158">
        <v>44616</v>
      </c>
      <c r="AL36" s="139">
        <f t="shared" si="11"/>
        <v>17900</v>
      </c>
      <c r="AM36" s="34">
        <v>147000</v>
      </c>
      <c r="AN36" s="137">
        <v>302</v>
      </c>
      <c r="AO36" s="34">
        <v>0.43</v>
      </c>
      <c r="AP36" s="139">
        <v>17900</v>
      </c>
      <c r="AQ36" s="34">
        <v>18.32</v>
      </c>
      <c r="AR36" t="s">
        <v>502</v>
      </c>
      <c r="AS36" s="138">
        <v>504.4</v>
      </c>
      <c r="AT36" s="34">
        <v>-0.56999999999999995</v>
      </c>
      <c r="AU36" s="34">
        <v>150000</v>
      </c>
      <c r="AV36" s="34">
        <v>-5.71</v>
      </c>
      <c r="AW36" s="34">
        <v>21.2</v>
      </c>
      <c r="AX36" s="34">
        <v>4.0000000000000002E-4</v>
      </c>
      <c r="AZ36" s="148">
        <f t="shared" si="52"/>
        <v>18385.714285714286</v>
      </c>
      <c r="BA36" s="34">
        <f t="shared" si="46"/>
        <v>77885.714285714319</v>
      </c>
      <c r="BB36" s="34"/>
      <c r="BC36" s="34">
        <f t="shared" si="47"/>
        <v>0</v>
      </c>
      <c r="BD36" s="34">
        <f t="shared" si="47"/>
        <v>0</v>
      </c>
      <c r="BE36" s="34">
        <f t="shared" si="47"/>
        <v>0</v>
      </c>
      <c r="BF36" s="34">
        <f t="shared" si="47"/>
        <v>0</v>
      </c>
      <c r="BG36" s="34">
        <f t="shared" si="47"/>
        <v>18000</v>
      </c>
      <c r="BH36" s="34">
        <f t="shared" si="47"/>
        <v>25500</v>
      </c>
      <c r="BI36" s="34">
        <f t="shared" si="47"/>
        <v>-13700</v>
      </c>
      <c r="BJ36" s="34">
        <f t="shared" si="57"/>
        <v>0</v>
      </c>
      <c r="BK36" s="34">
        <f t="shared" si="57"/>
        <v>0</v>
      </c>
      <c r="BL36" s="34">
        <f t="shared" si="57"/>
        <v>0</v>
      </c>
      <c r="BM36" s="34">
        <f t="shared" si="57"/>
        <v>0</v>
      </c>
      <c r="BN36" s="34">
        <f t="shared" si="57"/>
        <v>0</v>
      </c>
      <c r="BO36" s="34">
        <f t="shared" si="48"/>
        <v>0</v>
      </c>
      <c r="BP36" s="34">
        <f t="shared" si="48"/>
        <v>6085.7142857143117</v>
      </c>
      <c r="BQ36" s="34">
        <f t="shared" si="48"/>
        <v>42000</v>
      </c>
      <c r="BR36" s="34">
        <f t="shared" si="48"/>
        <v>0</v>
      </c>
      <c r="BS36" s="34">
        <f t="shared" si="48"/>
        <v>0</v>
      </c>
      <c r="BT36" s="34">
        <f t="shared" si="48"/>
        <v>0</v>
      </c>
      <c r="BU36" s="34" t="e">
        <f t="shared" si="48"/>
        <v>#N/A</v>
      </c>
      <c r="BW36" s="148">
        <f t="shared" si="53"/>
        <v>40521.428571428572</v>
      </c>
      <c r="BX36" s="34">
        <f t="shared" si="49"/>
        <v>0</v>
      </c>
      <c r="BY36" s="34"/>
      <c r="BZ36" s="34" t="e">
        <f t="shared" si="54"/>
        <v>#N/A</v>
      </c>
      <c r="CA36" s="34" t="e">
        <f t="shared" si="54"/>
        <v>#N/A</v>
      </c>
      <c r="CB36" s="34" t="e">
        <f t="shared" si="54"/>
        <v>#N/A</v>
      </c>
      <c r="CC36" s="34" t="e">
        <f t="shared" si="54"/>
        <v>#N/A</v>
      </c>
      <c r="CD36" s="34">
        <f t="shared" si="54"/>
        <v>0</v>
      </c>
      <c r="CE36" s="34">
        <f t="shared" si="54"/>
        <v>0</v>
      </c>
      <c r="CF36" s="34">
        <f t="shared" si="54"/>
        <v>0</v>
      </c>
      <c r="CG36" s="34">
        <f t="shared" si="54"/>
        <v>0</v>
      </c>
      <c r="CH36" s="34">
        <f t="shared" si="54"/>
        <v>0</v>
      </c>
      <c r="CI36" s="34">
        <f t="shared" si="54"/>
        <v>0</v>
      </c>
      <c r="CJ36" s="34">
        <f t="shared" si="54"/>
        <v>0</v>
      </c>
      <c r="CK36" s="34">
        <f t="shared" si="54"/>
        <v>0</v>
      </c>
      <c r="CL36" s="34" t="e">
        <f t="shared" si="55"/>
        <v>#N/A</v>
      </c>
      <c r="CM36" s="34" t="e">
        <f t="shared" si="55"/>
        <v>#N/A</v>
      </c>
      <c r="CN36" s="34">
        <f t="shared" si="55"/>
        <v>0</v>
      </c>
      <c r="CO36" s="34">
        <f t="shared" si="55"/>
        <v>0</v>
      </c>
      <c r="CP36" s="34">
        <f t="shared" si="55"/>
        <v>0</v>
      </c>
      <c r="CQ36" s="34">
        <f t="shared" si="55"/>
        <v>0</v>
      </c>
      <c r="CR36" s="34" t="e">
        <f t="shared" si="55"/>
        <v>#N/A</v>
      </c>
      <c r="CS36" s="34"/>
      <c r="CT36" s="34"/>
      <c r="CU36" s="34"/>
      <c r="CV36" s="34"/>
      <c r="CW36" s="34"/>
      <c r="CX36" s="34"/>
      <c r="CY36" s="34"/>
      <c r="CZ36" s="34"/>
      <c r="DA36" s="34"/>
      <c r="DD36" s="34"/>
      <c r="DE36" s="34"/>
      <c r="DF36" s="34"/>
      <c r="DG36" s="34"/>
      <c r="DH36" s="34"/>
      <c r="DI36" s="34"/>
      <c r="DJ36" s="34"/>
      <c r="DK36" s="34"/>
      <c r="DL36" s="34"/>
      <c r="DM36" s="34"/>
      <c r="DN36" s="34"/>
      <c r="DO36" s="34"/>
      <c r="DP36" s="34"/>
      <c r="DQ36" s="34"/>
      <c r="DR36" s="34"/>
      <c r="DS36" s="34"/>
      <c r="DT36" s="34"/>
      <c r="DU36" s="34"/>
      <c r="DV36" s="34"/>
    </row>
    <row r="37" spans="9:126">
      <c r="I37" s="35"/>
      <c r="J37" s="134"/>
      <c r="L37" s="35"/>
      <c r="M37" s="35"/>
      <c r="N37" s="67"/>
      <c r="S37" s="72"/>
      <c r="T37" s="72"/>
      <c r="U37" s="72"/>
      <c r="V37" s="72"/>
      <c r="W37" s="72"/>
      <c r="X37" s="72"/>
      <c r="Y37" s="72"/>
      <c r="Z37" s="72"/>
      <c r="AA37" s="72"/>
      <c r="AB37" s="72"/>
      <c r="AC37" s="72"/>
      <c r="AD37" s="72"/>
      <c r="AE37" s="72"/>
      <c r="AF37" s="72"/>
      <c r="AG37" s="72"/>
      <c r="AI37" s="35">
        <f t="shared" si="10"/>
        <v>1.136140666240482</v>
      </c>
      <c r="AJ37" t="b">
        <f t="shared" si="9"/>
        <v>0</v>
      </c>
      <c r="AK37" s="158">
        <v>44616</v>
      </c>
      <c r="AL37" s="139">
        <f t="shared" si="11"/>
        <v>17950</v>
      </c>
      <c r="AM37" s="34">
        <v>18050</v>
      </c>
      <c r="AN37" s="137">
        <v>284.89999999999998</v>
      </c>
      <c r="AO37" s="34">
        <v>0.41</v>
      </c>
      <c r="AP37" s="139">
        <v>17950</v>
      </c>
      <c r="AQ37" s="34">
        <v>18.45</v>
      </c>
      <c r="AR37" t="s">
        <v>502</v>
      </c>
      <c r="AS37" s="138">
        <v>531.4</v>
      </c>
      <c r="AT37" s="34">
        <v>-0.59</v>
      </c>
      <c r="AU37" s="34">
        <v>4850</v>
      </c>
      <c r="AV37" s="34">
        <v>-5.7</v>
      </c>
      <c r="AW37" s="34">
        <v>20.99</v>
      </c>
      <c r="AX37" s="34">
        <v>3.8999999999999999E-4</v>
      </c>
      <c r="AZ37" s="148">
        <f t="shared" si="52"/>
        <v>18485.714285714286</v>
      </c>
      <c r="BA37" s="34">
        <f t="shared" si="46"/>
        <v>82885.714285714319</v>
      </c>
      <c r="BB37" s="34"/>
      <c r="BC37" s="34">
        <f t="shared" si="47"/>
        <v>0</v>
      </c>
      <c r="BD37" s="34">
        <f t="shared" si="47"/>
        <v>0</v>
      </c>
      <c r="BE37" s="34">
        <f t="shared" si="47"/>
        <v>0</v>
      </c>
      <c r="BF37" s="34">
        <f t="shared" si="47"/>
        <v>0</v>
      </c>
      <c r="BG37" s="34">
        <f t="shared" si="47"/>
        <v>18000</v>
      </c>
      <c r="BH37" s="34">
        <f t="shared" si="47"/>
        <v>25500</v>
      </c>
      <c r="BI37" s="34">
        <f t="shared" si="47"/>
        <v>-13700</v>
      </c>
      <c r="BJ37" s="34">
        <f t="shared" si="57"/>
        <v>0</v>
      </c>
      <c r="BK37" s="34">
        <f t="shared" si="57"/>
        <v>0</v>
      </c>
      <c r="BL37" s="34">
        <f t="shared" si="57"/>
        <v>0</v>
      </c>
      <c r="BM37" s="34">
        <f t="shared" si="57"/>
        <v>0</v>
      </c>
      <c r="BN37" s="34">
        <f t="shared" si="57"/>
        <v>0</v>
      </c>
      <c r="BO37" s="34">
        <f t="shared" si="48"/>
        <v>0</v>
      </c>
      <c r="BP37" s="34">
        <f t="shared" si="48"/>
        <v>11085.714285714312</v>
      </c>
      <c r="BQ37" s="34">
        <f t="shared" si="48"/>
        <v>42000</v>
      </c>
      <c r="BR37" s="34">
        <f t="shared" si="48"/>
        <v>0</v>
      </c>
      <c r="BS37" s="34">
        <f t="shared" si="48"/>
        <v>0</v>
      </c>
      <c r="BT37" s="34">
        <f t="shared" si="48"/>
        <v>0</v>
      </c>
      <c r="BU37" s="34" t="e">
        <f t="shared" si="48"/>
        <v>#N/A</v>
      </c>
      <c r="BW37" s="148">
        <f t="shared" si="53"/>
        <v>40571.428571428572</v>
      </c>
      <c r="BX37" s="34">
        <f t="shared" si="49"/>
        <v>0</v>
      </c>
      <c r="BY37" s="34"/>
      <c r="BZ37" s="34" t="e">
        <f t="shared" si="54"/>
        <v>#N/A</v>
      </c>
      <c r="CA37" s="34" t="e">
        <f t="shared" si="54"/>
        <v>#N/A</v>
      </c>
      <c r="CB37" s="34" t="e">
        <f t="shared" si="54"/>
        <v>#N/A</v>
      </c>
      <c r="CC37" s="34" t="e">
        <f t="shared" si="54"/>
        <v>#N/A</v>
      </c>
      <c r="CD37" s="34">
        <f t="shared" si="54"/>
        <v>0</v>
      </c>
      <c r="CE37" s="34">
        <f t="shared" si="54"/>
        <v>0</v>
      </c>
      <c r="CF37" s="34">
        <f t="shared" si="54"/>
        <v>0</v>
      </c>
      <c r="CG37" s="34">
        <f t="shared" si="54"/>
        <v>0</v>
      </c>
      <c r="CH37" s="34">
        <f t="shared" si="54"/>
        <v>0</v>
      </c>
      <c r="CI37" s="34">
        <f t="shared" si="54"/>
        <v>0</v>
      </c>
      <c r="CJ37" s="34">
        <f t="shared" si="54"/>
        <v>0</v>
      </c>
      <c r="CK37" s="34">
        <f t="shared" si="54"/>
        <v>0</v>
      </c>
      <c r="CL37" s="34" t="e">
        <f t="shared" si="55"/>
        <v>#N/A</v>
      </c>
      <c r="CM37" s="34" t="e">
        <f t="shared" si="55"/>
        <v>#N/A</v>
      </c>
      <c r="CN37" s="34">
        <f t="shared" si="55"/>
        <v>0</v>
      </c>
      <c r="CO37" s="34">
        <f t="shared" si="55"/>
        <v>0</v>
      </c>
      <c r="CP37" s="34">
        <f t="shared" si="55"/>
        <v>0</v>
      </c>
      <c r="CQ37" s="34">
        <f t="shared" si="55"/>
        <v>0</v>
      </c>
      <c r="CR37" s="34" t="e">
        <f t="shared" si="55"/>
        <v>#N/A</v>
      </c>
      <c r="CS37" s="34"/>
      <c r="CT37" s="34"/>
      <c r="CU37" s="34"/>
      <c r="CV37" s="34"/>
      <c r="CW37" s="34"/>
      <c r="CX37" s="34"/>
      <c r="CY37" s="34"/>
      <c r="CZ37" s="34"/>
      <c r="DA37" s="34"/>
      <c r="DD37" s="34"/>
      <c r="DE37" s="34"/>
      <c r="DF37" s="34"/>
      <c r="DG37" s="34"/>
      <c r="DH37" s="34"/>
      <c r="DI37" s="34"/>
      <c r="DJ37" s="34"/>
      <c r="DK37" s="34"/>
      <c r="DL37" s="34"/>
      <c r="DM37" s="34"/>
      <c r="DN37" s="34"/>
      <c r="DO37" s="34"/>
      <c r="DP37" s="34"/>
      <c r="DQ37" s="34"/>
      <c r="DR37" s="34"/>
      <c r="DS37" s="34"/>
      <c r="DT37" s="34"/>
      <c r="DU37" s="34"/>
      <c r="DV37" s="34"/>
    </row>
    <row r="38" spans="9:126">
      <c r="I38" s="35"/>
      <c r="J38" s="134"/>
      <c r="L38" s="35"/>
      <c r="M38" s="35"/>
      <c r="N38" s="67"/>
      <c r="S38" s="72"/>
      <c r="T38" s="72"/>
      <c r="U38" s="72"/>
      <c r="V38" s="72"/>
      <c r="W38" s="72"/>
      <c r="X38" s="72"/>
      <c r="Y38" s="72"/>
      <c r="Z38" s="72"/>
      <c r="AA38" s="72"/>
      <c r="AB38" s="72"/>
      <c r="AC38" s="72"/>
      <c r="AD38" s="72"/>
      <c r="AE38" s="72"/>
      <c r="AF38" s="72"/>
      <c r="AG38" s="72"/>
      <c r="AI38" s="35">
        <f t="shared" si="10"/>
        <v>1.1393054034723498</v>
      </c>
      <c r="AJ38" t="b">
        <f t="shared" si="9"/>
        <v>0</v>
      </c>
      <c r="AK38" s="158">
        <v>44616</v>
      </c>
      <c r="AL38" s="139">
        <f t="shared" si="11"/>
        <v>18000</v>
      </c>
      <c r="AM38" s="34">
        <v>1074350</v>
      </c>
      <c r="AN38" s="137">
        <v>264</v>
      </c>
      <c r="AO38" s="34">
        <v>0.39</v>
      </c>
      <c r="AP38" s="139">
        <v>18000</v>
      </c>
      <c r="AQ38" s="34">
        <v>18.36</v>
      </c>
      <c r="AR38" t="s">
        <v>502</v>
      </c>
      <c r="AS38" s="138">
        <v>558.4</v>
      </c>
      <c r="AT38" s="34">
        <v>-0.61</v>
      </c>
      <c r="AU38" s="34">
        <v>963550</v>
      </c>
      <c r="AV38" s="34">
        <v>-5.59</v>
      </c>
      <c r="AW38" s="34">
        <v>20.72</v>
      </c>
      <c r="AX38" s="34">
        <v>3.8999999999999999E-4</v>
      </c>
      <c r="AZ38" s="148">
        <f t="shared" si="52"/>
        <v>18585.714285714286</v>
      </c>
      <c r="BA38" s="34">
        <f t="shared" si="46"/>
        <v>87885.714285714319</v>
      </c>
      <c r="BB38" s="34"/>
      <c r="BC38" s="34">
        <f t="shared" si="47"/>
        <v>0</v>
      </c>
      <c r="BD38" s="34">
        <f t="shared" si="47"/>
        <v>0</v>
      </c>
      <c r="BE38" s="34">
        <f t="shared" si="47"/>
        <v>0</v>
      </c>
      <c r="BF38" s="34">
        <f t="shared" si="47"/>
        <v>0</v>
      </c>
      <c r="BG38" s="34">
        <f t="shared" si="47"/>
        <v>18000</v>
      </c>
      <c r="BH38" s="34">
        <f t="shared" si="47"/>
        <v>25500</v>
      </c>
      <c r="BI38" s="34">
        <f t="shared" si="47"/>
        <v>-13700</v>
      </c>
      <c r="BJ38" s="34">
        <f t="shared" si="57"/>
        <v>0</v>
      </c>
      <c r="BK38" s="34">
        <f t="shared" si="57"/>
        <v>0</v>
      </c>
      <c r="BL38" s="34">
        <f t="shared" si="57"/>
        <v>0</v>
      </c>
      <c r="BM38" s="34">
        <f t="shared" si="57"/>
        <v>0</v>
      </c>
      <c r="BN38" s="34">
        <f t="shared" si="57"/>
        <v>0</v>
      </c>
      <c r="BO38" s="34">
        <f t="shared" si="48"/>
        <v>0</v>
      </c>
      <c r="BP38" s="34">
        <f t="shared" si="48"/>
        <v>16085.714285714312</v>
      </c>
      <c r="BQ38" s="34">
        <f t="shared" si="48"/>
        <v>42000</v>
      </c>
      <c r="BR38" s="34">
        <f t="shared" si="48"/>
        <v>0</v>
      </c>
      <c r="BS38" s="34">
        <f t="shared" si="48"/>
        <v>0</v>
      </c>
      <c r="BT38" s="34">
        <f t="shared" si="48"/>
        <v>0</v>
      </c>
      <c r="BU38" s="34" t="e">
        <f t="shared" si="48"/>
        <v>#N/A</v>
      </c>
      <c r="BW38" s="148">
        <f t="shared" si="53"/>
        <v>40621.428571428572</v>
      </c>
      <c r="BX38" s="34">
        <f t="shared" si="49"/>
        <v>0</v>
      </c>
      <c r="BY38" s="34"/>
      <c r="BZ38" s="34" t="e">
        <f t="shared" si="54"/>
        <v>#N/A</v>
      </c>
      <c r="CA38" s="34" t="e">
        <f t="shared" si="54"/>
        <v>#N/A</v>
      </c>
      <c r="CB38" s="34" t="e">
        <f t="shared" si="54"/>
        <v>#N/A</v>
      </c>
      <c r="CC38" s="34" t="e">
        <f t="shared" si="54"/>
        <v>#N/A</v>
      </c>
      <c r="CD38" s="34">
        <f t="shared" si="54"/>
        <v>0</v>
      </c>
      <c r="CE38" s="34">
        <f t="shared" si="54"/>
        <v>0</v>
      </c>
      <c r="CF38" s="34">
        <f t="shared" si="54"/>
        <v>0</v>
      </c>
      <c r="CG38" s="34">
        <f t="shared" si="54"/>
        <v>0</v>
      </c>
      <c r="CH38" s="34">
        <f t="shared" si="54"/>
        <v>0</v>
      </c>
      <c r="CI38" s="34">
        <f t="shared" si="54"/>
        <v>0</v>
      </c>
      <c r="CJ38" s="34">
        <f t="shared" si="54"/>
        <v>0</v>
      </c>
      <c r="CK38" s="34">
        <f t="shared" si="54"/>
        <v>0</v>
      </c>
      <c r="CL38" s="34" t="e">
        <f t="shared" si="55"/>
        <v>#N/A</v>
      </c>
      <c r="CM38" s="34" t="e">
        <f t="shared" si="55"/>
        <v>#N/A</v>
      </c>
      <c r="CN38" s="34">
        <f t="shared" si="55"/>
        <v>0</v>
      </c>
      <c r="CO38" s="34">
        <f t="shared" si="55"/>
        <v>0</v>
      </c>
      <c r="CP38" s="34">
        <f t="shared" si="55"/>
        <v>0</v>
      </c>
      <c r="CQ38" s="34">
        <f t="shared" si="55"/>
        <v>0</v>
      </c>
      <c r="CR38" s="34" t="e">
        <f t="shared" si="55"/>
        <v>#N/A</v>
      </c>
      <c r="CS38" s="34"/>
      <c r="CT38" s="34"/>
      <c r="CU38" s="34"/>
      <c r="CV38" s="34"/>
      <c r="CW38" s="34"/>
      <c r="CX38" s="34"/>
      <c r="CY38" s="34"/>
      <c r="CZ38" s="34"/>
      <c r="DA38" s="34"/>
      <c r="DD38" s="34"/>
      <c r="DE38" s="34"/>
      <c r="DF38" s="34"/>
      <c r="DG38" s="34"/>
      <c r="DH38" s="34"/>
      <c r="DI38" s="34"/>
      <c r="DJ38" s="34"/>
      <c r="DK38" s="34"/>
      <c r="DL38" s="34"/>
      <c r="DM38" s="34"/>
      <c r="DN38" s="34"/>
      <c r="DO38" s="34"/>
      <c r="DP38" s="34"/>
      <c r="DQ38" s="34"/>
      <c r="DR38" s="34"/>
      <c r="DS38" s="34"/>
      <c r="DT38" s="34"/>
      <c r="DU38" s="34"/>
      <c r="DV38" s="34"/>
    </row>
    <row r="39" spans="9:126">
      <c r="I39" s="35"/>
      <c r="J39" s="134"/>
      <c r="L39" s="35"/>
      <c r="M39" s="35"/>
      <c r="N39" s="67"/>
      <c r="S39" s="72"/>
      <c r="T39" s="72"/>
      <c r="U39" s="72"/>
      <c r="V39" s="72"/>
      <c r="W39" s="72"/>
      <c r="X39" s="72"/>
      <c r="Y39" s="72"/>
      <c r="Z39" s="72"/>
      <c r="AA39" s="72"/>
      <c r="AB39" s="72"/>
      <c r="AC39" s="72"/>
      <c r="AD39" s="72"/>
      <c r="AE39" s="72"/>
      <c r="AF39" s="72"/>
      <c r="AG39" s="72"/>
      <c r="AI39" s="35">
        <f t="shared" si="10"/>
        <v>1.1424701407042173</v>
      </c>
      <c r="AJ39" t="b">
        <f t="shared" si="9"/>
        <v>0</v>
      </c>
      <c r="AK39" s="158">
        <v>44616</v>
      </c>
      <c r="AL39" s="139">
        <f t="shared" si="11"/>
        <v>18050</v>
      </c>
      <c r="AM39" s="34">
        <v>11500</v>
      </c>
      <c r="AN39" s="137">
        <v>241.95</v>
      </c>
      <c r="AO39" s="34">
        <v>0.37</v>
      </c>
      <c r="AP39" s="139">
        <v>18050</v>
      </c>
      <c r="AQ39" s="34">
        <v>18.16</v>
      </c>
      <c r="AR39" t="s">
        <v>502</v>
      </c>
      <c r="AS39" s="138">
        <v>597</v>
      </c>
      <c r="AT39" s="34">
        <v>-0.63</v>
      </c>
      <c r="AU39" s="34">
        <v>2650</v>
      </c>
      <c r="AV39" s="34">
        <v>-5.44</v>
      </c>
      <c r="AW39" s="34">
        <v>20.38</v>
      </c>
      <c r="AX39" s="34">
        <v>3.8000000000000002E-4</v>
      </c>
      <c r="AZ39" s="148">
        <f t="shared" si="52"/>
        <v>18685.714285714286</v>
      </c>
      <c r="BA39" s="34">
        <f t="shared" si="46"/>
        <v>92885.714285714319</v>
      </c>
      <c r="BB39" s="34"/>
      <c r="BC39" s="34">
        <f t="shared" si="47"/>
        <v>0</v>
      </c>
      <c r="BD39" s="34">
        <f t="shared" si="47"/>
        <v>0</v>
      </c>
      <c r="BE39" s="34">
        <f t="shared" si="47"/>
        <v>0</v>
      </c>
      <c r="BF39" s="34">
        <f t="shared" si="47"/>
        <v>0</v>
      </c>
      <c r="BG39" s="34">
        <f t="shared" si="47"/>
        <v>18000</v>
      </c>
      <c r="BH39" s="34">
        <f t="shared" si="47"/>
        <v>25500</v>
      </c>
      <c r="BI39" s="34">
        <f t="shared" si="47"/>
        <v>-13700</v>
      </c>
      <c r="BJ39" s="34">
        <f t="shared" si="57"/>
        <v>0</v>
      </c>
      <c r="BK39" s="34">
        <f t="shared" si="57"/>
        <v>0</v>
      </c>
      <c r="BL39" s="34">
        <f t="shared" si="57"/>
        <v>0</v>
      </c>
      <c r="BM39" s="34">
        <f t="shared" si="57"/>
        <v>0</v>
      </c>
      <c r="BN39" s="34">
        <f t="shared" si="57"/>
        <v>0</v>
      </c>
      <c r="BO39" s="34">
        <f t="shared" si="48"/>
        <v>0</v>
      </c>
      <c r="BP39" s="34">
        <f t="shared" si="48"/>
        <v>21085.714285714312</v>
      </c>
      <c r="BQ39" s="34">
        <f t="shared" si="48"/>
        <v>42000</v>
      </c>
      <c r="BR39" s="34">
        <f t="shared" si="48"/>
        <v>0</v>
      </c>
      <c r="BS39" s="34">
        <f t="shared" si="48"/>
        <v>0</v>
      </c>
      <c r="BT39" s="34">
        <f t="shared" si="48"/>
        <v>0</v>
      </c>
      <c r="BU39" s="34" t="e">
        <f t="shared" si="48"/>
        <v>#N/A</v>
      </c>
      <c r="BW39" s="148">
        <f t="shared" si="53"/>
        <v>40671.428571428572</v>
      </c>
      <c r="BX39" s="34">
        <f t="shared" si="49"/>
        <v>0</v>
      </c>
      <c r="BY39" s="34"/>
      <c r="BZ39" s="34" t="e">
        <f t="shared" si="54"/>
        <v>#N/A</v>
      </c>
      <c r="CA39" s="34" t="e">
        <f t="shared" si="54"/>
        <v>#N/A</v>
      </c>
      <c r="CB39" s="34" t="e">
        <f t="shared" si="54"/>
        <v>#N/A</v>
      </c>
      <c r="CC39" s="34" t="e">
        <f t="shared" si="54"/>
        <v>#N/A</v>
      </c>
      <c r="CD39" s="34">
        <f t="shared" si="54"/>
        <v>0</v>
      </c>
      <c r="CE39" s="34">
        <f t="shared" si="54"/>
        <v>0</v>
      </c>
      <c r="CF39" s="34">
        <f t="shared" si="54"/>
        <v>0</v>
      </c>
      <c r="CG39" s="34">
        <f t="shared" si="54"/>
        <v>0</v>
      </c>
      <c r="CH39" s="34">
        <f t="shared" si="54"/>
        <v>0</v>
      </c>
      <c r="CI39" s="34">
        <f t="shared" si="54"/>
        <v>0</v>
      </c>
      <c r="CJ39" s="34">
        <f t="shared" si="54"/>
        <v>0</v>
      </c>
      <c r="CK39" s="34">
        <f t="shared" si="54"/>
        <v>0</v>
      </c>
      <c r="CL39" s="34" t="e">
        <f t="shared" si="55"/>
        <v>#N/A</v>
      </c>
      <c r="CM39" s="34" t="e">
        <f t="shared" si="55"/>
        <v>#N/A</v>
      </c>
      <c r="CN39" s="34">
        <f t="shared" si="55"/>
        <v>0</v>
      </c>
      <c r="CO39" s="34">
        <f t="shared" si="55"/>
        <v>0</v>
      </c>
      <c r="CP39" s="34">
        <f t="shared" si="55"/>
        <v>0</v>
      </c>
      <c r="CQ39" s="34">
        <f t="shared" si="55"/>
        <v>0</v>
      </c>
      <c r="CR39" s="34" t="e">
        <f t="shared" si="55"/>
        <v>#N/A</v>
      </c>
      <c r="CS39" s="34"/>
      <c r="CT39" s="34"/>
      <c r="CU39" s="34"/>
      <c r="CV39" s="34"/>
      <c r="CW39" s="34"/>
      <c r="CX39" s="34"/>
      <c r="CY39" s="34"/>
      <c r="CZ39" s="34"/>
      <c r="DA39" s="34"/>
      <c r="DD39" s="34"/>
      <c r="DE39" s="34"/>
      <c r="DF39" s="34"/>
      <c r="DG39" s="34"/>
      <c r="DH39" s="34"/>
      <c r="DI39" s="34"/>
      <c r="DJ39" s="34"/>
      <c r="DK39" s="34"/>
      <c r="DL39" s="34"/>
      <c r="DM39" s="34"/>
      <c r="DN39" s="34"/>
      <c r="DO39" s="34"/>
      <c r="DP39" s="34"/>
      <c r="DQ39" s="34"/>
      <c r="DR39" s="34"/>
      <c r="DS39" s="34"/>
      <c r="DT39" s="34"/>
      <c r="DU39" s="34"/>
      <c r="DV39" s="34"/>
    </row>
    <row r="40" spans="9:126">
      <c r="I40" s="35"/>
      <c r="J40" s="134"/>
      <c r="L40" s="35"/>
      <c r="M40" s="35"/>
      <c r="N40" s="67"/>
      <c r="S40" s="72"/>
      <c r="T40" s="72"/>
      <c r="U40" s="72"/>
      <c r="V40" s="72"/>
      <c r="W40" s="72"/>
      <c r="X40" s="72"/>
      <c r="Y40" s="72"/>
      <c r="Z40" s="72"/>
      <c r="AA40" s="72"/>
      <c r="AB40" s="72"/>
      <c r="AC40" s="72"/>
      <c r="AD40" s="72"/>
      <c r="AE40" s="72"/>
      <c r="AF40" s="72"/>
      <c r="AG40" s="72"/>
      <c r="AI40" s="35">
        <f t="shared" si="10"/>
        <v>1.145634877936085</v>
      </c>
      <c r="AJ40" t="b">
        <f t="shared" si="9"/>
        <v>0</v>
      </c>
      <c r="AK40" s="158">
        <v>44616</v>
      </c>
      <c r="AL40" s="139">
        <f t="shared" si="11"/>
        <v>18100</v>
      </c>
      <c r="AM40" s="34">
        <v>142200</v>
      </c>
      <c r="AN40" s="137">
        <v>229</v>
      </c>
      <c r="AO40" s="34">
        <v>0.35</v>
      </c>
      <c r="AP40" s="139">
        <v>18100</v>
      </c>
      <c r="AQ40" s="34">
        <v>18.36</v>
      </c>
      <c r="AR40" t="s">
        <v>502</v>
      </c>
      <c r="AS40" s="138">
        <v>622.65</v>
      </c>
      <c r="AT40" s="34">
        <v>-0.65</v>
      </c>
      <c r="AU40" s="34">
        <v>62800</v>
      </c>
      <c r="AV40" s="34">
        <v>-5.42</v>
      </c>
      <c r="AW40" s="34">
        <v>20.059999999999999</v>
      </c>
      <c r="AX40" s="34">
        <v>3.6999999999999999E-4</v>
      </c>
      <c r="AZ40" s="148">
        <f t="shared" si="52"/>
        <v>18785.714285714286</v>
      </c>
      <c r="BA40" s="34">
        <f t="shared" si="46"/>
        <v>97885.714285714319</v>
      </c>
      <c r="BB40" s="34"/>
      <c r="BC40" s="34">
        <f t="shared" si="47"/>
        <v>0</v>
      </c>
      <c r="BD40" s="34">
        <f t="shared" si="47"/>
        <v>0</v>
      </c>
      <c r="BE40" s="34">
        <f t="shared" si="47"/>
        <v>0</v>
      </c>
      <c r="BF40" s="34">
        <f t="shared" si="47"/>
        <v>0</v>
      </c>
      <c r="BG40" s="34">
        <f t="shared" si="47"/>
        <v>18000</v>
      </c>
      <c r="BH40" s="34">
        <f t="shared" si="47"/>
        <v>25500</v>
      </c>
      <c r="BI40" s="34">
        <f t="shared" si="47"/>
        <v>-13700</v>
      </c>
      <c r="BJ40" s="34">
        <f t="shared" si="57"/>
        <v>0</v>
      </c>
      <c r="BK40" s="34">
        <f t="shared" si="57"/>
        <v>0</v>
      </c>
      <c r="BL40" s="34">
        <f t="shared" si="57"/>
        <v>0</v>
      </c>
      <c r="BM40" s="34">
        <f t="shared" si="57"/>
        <v>0</v>
      </c>
      <c r="BN40" s="34">
        <f t="shared" si="57"/>
        <v>0</v>
      </c>
      <c r="BO40" s="34">
        <f t="shared" si="48"/>
        <v>0</v>
      </c>
      <c r="BP40" s="34">
        <f t="shared" si="48"/>
        <v>26085.714285714312</v>
      </c>
      <c r="BQ40" s="34">
        <f t="shared" si="48"/>
        <v>42000</v>
      </c>
      <c r="BR40" s="34">
        <f t="shared" si="48"/>
        <v>0</v>
      </c>
      <c r="BS40" s="34">
        <f t="shared" si="48"/>
        <v>0</v>
      </c>
      <c r="BT40" s="34">
        <f t="shared" si="48"/>
        <v>0</v>
      </c>
      <c r="BU40" s="34" t="e">
        <f t="shared" si="48"/>
        <v>#N/A</v>
      </c>
      <c r="BW40" s="148">
        <f t="shared" si="53"/>
        <v>40721.428571428572</v>
      </c>
      <c r="BX40" s="34">
        <f t="shared" si="49"/>
        <v>0</v>
      </c>
      <c r="BY40" s="34"/>
      <c r="BZ40" s="34" t="e">
        <f t="shared" si="54"/>
        <v>#N/A</v>
      </c>
      <c r="CA40" s="34" t="e">
        <f t="shared" si="54"/>
        <v>#N/A</v>
      </c>
      <c r="CB40" s="34" t="e">
        <f t="shared" si="54"/>
        <v>#N/A</v>
      </c>
      <c r="CC40" s="34" t="e">
        <f t="shared" si="54"/>
        <v>#N/A</v>
      </c>
      <c r="CD40" s="34">
        <f t="shared" si="54"/>
        <v>0</v>
      </c>
      <c r="CE40" s="34">
        <f t="shared" si="54"/>
        <v>0</v>
      </c>
      <c r="CF40" s="34">
        <f t="shared" si="54"/>
        <v>0</v>
      </c>
      <c r="CG40" s="34">
        <f t="shared" si="54"/>
        <v>0</v>
      </c>
      <c r="CH40" s="34">
        <f t="shared" si="54"/>
        <v>0</v>
      </c>
      <c r="CI40" s="34">
        <f t="shared" si="54"/>
        <v>0</v>
      </c>
      <c r="CJ40" s="34">
        <f t="shared" si="54"/>
        <v>0</v>
      </c>
      <c r="CK40" s="34">
        <f t="shared" si="54"/>
        <v>0</v>
      </c>
      <c r="CL40" s="34" t="e">
        <f t="shared" si="55"/>
        <v>#N/A</v>
      </c>
      <c r="CM40" s="34" t="e">
        <f t="shared" si="55"/>
        <v>#N/A</v>
      </c>
      <c r="CN40" s="34">
        <f t="shared" si="55"/>
        <v>0</v>
      </c>
      <c r="CO40" s="34">
        <f t="shared" si="55"/>
        <v>0</v>
      </c>
      <c r="CP40" s="34">
        <f t="shared" si="55"/>
        <v>0</v>
      </c>
      <c r="CQ40" s="34">
        <f t="shared" si="55"/>
        <v>0</v>
      </c>
      <c r="CR40" s="34" t="e">
        <f t="shared" si="55"/>
        <v>#N/A</v>
      </c>
      <c r="CS40" s="34"/>
      <c r="CT40" s="34"/>
      <c r="CU40" s="34"/>
      <c r="CV40" s="34"/>
      <c r="CW40" s="34"/>
      <c r="CX40" s="34"/>
      <c r="CY40" s="34"/>
      <c r="CZ40" s="34"/>
      <c r="DA40" s="34"/>
      <c r="DD40" s="34"/>
      <c r="DE40" s="34"/>
      <c r="DF40" s="34"/>
      <c r="DG40" s="34"/>
      <c r="DH40" s="34"/>
      <c r="DI40" s="34"/>
      <c r="DJ40" s="34"/>
      <c r="DK40" s="34"/>
      <c r="DL40" s="34"/>
      <c r="DM40" s="34"/>
      <c r="DN40" s="34"/>
      <c r="DO40" s="34"/>
      <c r="DP40" s="34"/>
      <c r="DQ40" s="34"/>
      <c r="DR40" s="34"/>
      <c r="DS40" s="34"/>
      <c r="DT40" s="34"/>
      <c r="DU40" s="34"/>
      <c r="DV40" s="34"/>
    </row>
    <row r="41" spans="9:126">
      <c r="I41" s="35"/>
      <c r="J41" s="134"/>
      <c r="L41" s="35"/>
      <c r="M41" s="35"/>
      <c r="N41" s="67"/>
      <c r="S41" s="72"/>
      <c r="T41" s="72"/>
      <c r="U41" s="72"/>
      <c r="V41" s="72"/>
      <c r="W41" s="72"/>
      <c r="X41" s="72"/>
      <c r="Y41" s="72"/>
      <c r="Z41" s="72"/>
      <c r="AA41" s="72"/>
      <c r="AB41" s="72"/>
      <c r="AC41" s="72"/>
      <c r="AD41" s="72"/>
      <c r="AE41" s="72"/>
      <c r="AF41" s="72"/>
      <c r="AG41" s="72"/>
      <c r="AI41" s="35">
        <f t="shared" si="10"/>
        <v>1.1487996151679525</v>
      </c>
      <c r="AJ41" t="b">
        <f t="shared" si="9"/>
        <v>0</v>
      </c>
      <c r="AK41" s="158">
        <v>44616</v>
      </c>
      <c r="AL41" s="139">
        <f t="shared" si="11"/>
        <v>18150</v>
      </c>
      <c r="AM41" s="34">
        <v>7600</v>
      </c>
      <c r="AN41" s="137">
        <v>206</v>
      </c>
      <c r="AO41" s="34">
        <v>0.33</v>
      </c>
      <c r="AP41" s="139">
        <v>18150</v>
      </c>
      <c r="AQ41" s="34">
        <v>18.010000000000002</v>
      </c>
      <c r="AR41" t="s">
        <v>502</v>
      </c>
      <c r="AS41" s="138">
        <v>627.15</v>
      </c>
      <c r="AT41" s="34">
        <v>-0.67</v>
      </c>
      <c r="AU41" s="34">
        <v>6300</v>
      </c>
      <c r="AV41" s="34">
        <v>-5.19</v>
      </c>
      <c r="AW41" s="34">
        <v>19.59</v>
      </c>
      <c r="AX41" s="34">
        <v>3.6999999999999999E-4</v>
      </c>
      <c r="AZ41" s="148">
        <f t="shared" si="52"/>
        <v>18885.714285714286</v>
      </c>
      <c r="BA41" s="34">
        <f t="shared" si="46"/>
        <v>102885.71428571432</v>
      </c>
      <c r="BB41" s="34"/>
      <c r="BC41" s="34">
        <f t="shared" si="47"/>
        <v>0</v>
      </c>
      <c r="BD41" s="34">
        <f t="shared" si="47"/>
        <v>0</v>
      </c>
      <c r="BE41" s="34">
        <f t="shared" si="47"/>
        <v>0</v>
      </c>
      <c r="BF41" s="34">
        <f t="shared" si="47"/>
        <v>0</v>
      </c>
      <c r="BG41" s="34">
        <f t="shared" si="47"/>
        <v>18000</v>
      </c>
      <c r="BH41" s="34">
        <f t="shared" si="47"/>
        <v>25500</v>
      </c>
      <c r="BI41" s="34">
        <f t="shared" si="47"/>
        <v>-13700</v>
      </c>
      <c r="BJ41" s="34">
        <f t="shared" si="57"/>
        <v>0</v>
      </c>
      <c r="BK41" s="34">
        <f t="shared" si="57"/>
        <v>0</v>
      </c>
      <c r="BL41" s="34">
        <f t="shared" si="57"/>
        <v>0</v>
      </c>
      <c r="BM41" s="34">
        <f t="shared" si="57"/>
        <v>0</v>
      </c>
      <c r="BN41" s="34">
        <f t="shared" si="57"/>
        <v>0</v>
      </c>
      <c r="BO41" s="34">
        <f t="shared" si="48"/>
        <v>0</v>
      </c>
      <c r="BP41" s="34">
        <f t="shared" si="48"/>
        <v>31085.714285714312</v>
      </c>
      <c r="BQ41" s="34">
        <f t="shared" si="48"/>
        <v>42000</v>
      </c>
      <c r="BR41" s="34">
        <f t="shared" si="48"/>
        <v>0</v>
      </c>
      <c r="BS41" s="34">
        <f t="shared" si="48"/>
        <v>0</v>
      </c>
      <c r="BT41" s="34">
        <f t="shared" si="48"/>
        <v>0</v>
      </c>
      <c r="BU41" s="34" t="e">
        <f t="shared" si="48"/>
        <v>#N/A</v>
      </c>
      <c r="BW41" s="148">
        <f t="shared" si="53"/>
        <v>40771.428571428572</v>
      </c>
      <c r="BX41" s="34">
        <f t="shared" si="49"/>
        <v>0</v>
      </c>
      <c r="BY41" s="34"/>
      <c r="BZ41" s="34" t="e">
        <f t="shared" si="54"/>
        <v>#N/A</v>
      </c>
      <c r="CA41" s="34" t="e">
        <f t="shared" si="54"/>
        <v>#N/A</v>
      </c>
      <c r="CB41" s="34" t="e">
        <f t="shared" si="54"/>
        <v>#N/A</v>
      </c>
      <c r="CC41" s="34" t="e">
        <f t="shared" si="54"/>
        <v>#N/A</v>
      </c>
      <c r="CD41" s="34">
        <f t="shared" si="54"/>
        <v>0</v>
      </c>
      <c r="CE41" s="34">
        <f t="shared" si="54"/>
        <v>0</v>
      </c>
      <c r="CF41" s="34">
        <f t="shared" si="54"/>
        <v>0</v>
      </c>
      <c r="CG41" s="34">
        <f t="shared" si="54"/>
        <v>0</v>
      </c>
      <c r="CH41" s="34">
        <f t="shared" si="54"/>
        <v>0</v>
      </c>
      <c r="CI41" s="34">
        <f t="shared" si="54"/>
        <v>0</v>
      </c>
      <c r="CJ41" s="34">
        <f t="shared" si="54"/>
        <v>0</v>
      </c>
      <c r="CK41" s="34">
        <f t="shared" si="54"/>
        <v>0</v>
      </c>
      <c r="CL41" s="34" t="e">
        <f t="shared" si="55"/>
        <v>#N/A</v>
      </c>
      <c r="CM41" s="34" t="e">
        <f t="shared" si="55"/>
        <v>#N/A</v>
      </c>
      <c r="CN41" s="34">
        <f t="shared" si="55"/>
        <v>0</v>
      </c>
      <c r="CO41" s="34">
        <f t="shared" si="55"/>
        <v>0</v>
      </c>
      <c r="CP41" s="34">
        <f t="shared" si="55"/>
        <v>0</v>
      </c>
      <c r="CQ41" s="34">
        <f t="shared" si="55"/>
        <v>0</v>
      </c>
      <c r="CR41" s="34" t="e">
        <f t="shared" si="55"/>
        <v>#N/A</v>
      </c>
      <c r="CS41" s="34"/>
      <c r="CT41" s="34"/>
      <c r="CU41" s="34"/>
      <c r="CV41" s="34"/>
      <c r="CW41" s="34"/>
      <c r="CX41" s="34"/>
      <c r="CY41" s="34"/>
      <c r="CZ41" s="34"/>
      <c r="DA41" s="34"/>
      <c r="DD41" s="34"/>
      <c r="DE41" s="34"/>
      <c r="DF41" s="34"/>
      <c r="DG41" s="34"/>
      <c r="DH41" s="34"/>
      <c r="DI41" s="34"/>
      <c r="DJ41" s="34"/>
      <c r="DK41" s="34"/>
      <c r="DL41" s="34"/>
      <c r="DM41" s="34"/>
      <c r="DN41" s="34"/>
      <c r="DO41" s="34"/>
      <c r="DP41" s="34"/>
      <c r="DQ41" s="34"/>
      <c r="DR41" s="34"/>
      <c r="DS41" s="34"/>
      <c r="DT41" s="34"/>
      <c r="DU41" s="34"/>
      <c r="DV41" s="34"/>
    </row>
    <row r="42" spans="9:126">
      <c r="I42" s="35"/>
      <c r="J42" s="134"/>
      <c r="L42" s="35"/>
      <c r="M42" s="35"/>
      <c r="N42" s="67"/>
      <c r="S42" s="72"/>
      <c r="T42" s="72"/>
      <c r="U42" s="72"/>
      <c r="V42" s="72"/>
      <c r="W42" s="72"/>
      <c r="X42" s="72"/>
      <c r="Y42" s="72"/>
      <c r="Z42" s="72"/>
      <c r="AA42" s="72"/>
      <c r="AB42" s="72"/>
      <c r="AC42" s="72"/>
      <c r="AD42" s="72"/>
      <c r="AE42" s="72"/>
      <c r="AF42" s="72"/>
      <c r="AG42" s="72"/>
      <c r="AI42" s="35">
        <f t="shared" si="10"/>
        <v>1.1519643523998202</v>
      </c>
      <c r="AJ42" t="b">
        <f t="shared" si="9"/>
        <v>0</v>
      </c>
      <c r="AK42" s="158">
        <v>44616</v>
      </c>
      <c r="AL42" s="139">
        <f t="shared" si="11"/>
        <v>18200</v>
      </c>
      <c r="AM42" s="34">
        <v>279600</v>
      </c>
      <c r="AN42" s="137">
        <v>192</v>
      </c>
      <c r="AO42" s="34">
        <v>0.31</v>
      </c>
      <c r="AP42" s="139">
        <v>18200</v>
      </c>
      <c r="AQ42" s="34">
        <v>18.07</v>
      </c>
      <c r="AR42" t="s">
        <v>502</v>
      </c>
      <c r="AS42" s="138">
        <v>691</v>
      </c>
      <c r="AT42" s="34">
        <v>-0.69</v>
      </c>
      <c r="AU42" s="34">
        <v>160350</v>
      </c>
      <c r="AV42" s="34">
        <v>-5.09</v>
      </c>
      <c r="AW42" s="34">
        <v>19.16</v>
      </c>
      <c r="AX42" s="34">
        <v>3.6000000000000002E-4</v>
      </c>
      <c r="AZ42" s="148">
        <f t="shared" si="52"/>
        <v>18985.714285714286</v>
      </c>
      <c r="BA42" s="34">
        <f t="shared" si="46"/>
        <v>107885.71428571432</v>
      </c>
      <c r="BB42" s="34"/>
      <c r="BC42" s="34">
        <f t="shared" si="47"/>
        <v>0</v>
      </c>
      <c r="BD42" s="34">
        <f t="shared" si="47"/>
        <v>0</v>
      </c>
      <c r="BE42" s="34">
        <f t="shared" si="47"/>
        <v>0</v>
      </c>
      <c r="BF42" s="34">
        <f t="shared" si="47"/>
        <v>0</v>
      </c>
      <c r="BG42" s="34">
        <f t="shared" si="47"/>
        <v>18000</v>
      </c>
      <c r="BH42" s="34">
        <f t="shared" si="47"/>
        <v>25500</v>
      </c>
      <c r="BI42" s="34">
        <f t="shared" si="47"/>
        <v>-13700</v>
      </c>
      <c r="BJ42" s="34">
        <f t="shared" si="57"/>
        <v>0</v>
      </c>
      <c r="BK42" s="34">
        <f t="shared" si="57"/>
        <v>0</v>
      </c>
      <c r="BL42" s="34">
        <f t="shared" si="57"/>
        <v>0</v>
      </c>
      <c r="BM42" s="34">
        <f t="shared" si="57"/>
        <v>0</v>
      </c>
      <c r="BN42" s="34">
        <f t="shared" si="57"/>
        <v>0</v>
      </c>
      <c r="BO42" s="34">
        <f t="shared" si="48"/>
        <v>0</v>
      </c>
      <c r="BP42" s="34">
        <f t="shared" si="48"/>
        <v>36085.714285714312</v>
      </c>
      <c r="BQ42" s="34">
        <f t="shared" si="48"/>
        <v>42000</v>
      </c>
      <c r="BR42" s="34">
        <f t="shared" si="48"/>
        <v>0</v>
      </c>
      <c r="BS42" s="34">
        <f t="shared" si="48"/>
        <v>0</v>
      </c>
      <c r="BT42" s="34">
        <f t="shared" si="48"/>
        <v>0</v>
      </c>
      <c r="BU42" s="34" t="e">
        <f t="shared" si="48"/>
        <v>#N/A</v>
      </c>
      <c r="BW42" s="148">
        <f t="shared" si="53"/>
        <v>40821.428571428572</v>
      </c>
      <c r="BX42" s="34">
        <f t="shared" si="49"/>
        <v>0</v>
      </c>
      <c r="BY42" s="34"/>
      <c r="BZ42" s="34" t="e">
        <f t="shared" ref="BZ42:CK54" si="58">IF(ISBLANK(BZ$2),0,(MAX(BZ$2-$BW42,0)-IF(ISNUMBER(BZ$4),BZ$4,BZ$3))*BZ$5)</f>
        <v>#N/A</v>
      </c>
      <c r="CA42" s="34" t="e">
        <f t="shared" si="58"/>
        <v>#N/A</v>
      </c>
      <c r="CB42" s="34" t="e">
        <f t="shared" si="58"/>
        <v>#N/A</v>
      </c>
      <c r="CC42" s="34" t="e">
        <f t="shared" si="58"/>
        <v>#N/A</v>
      </c>
      <c r="CD42" s="34">
        <f t="shared" si="58"/>
        <v>0</v>
      </c>
      <c r="CE42" s="34">
        <f t="shared" si="58"/>
        <v>0</v>
      </c>
      <c r="CF42" s="34">
        <f t="shared" si="58"/>
        <v>0</v>
      </c>
      <c r="CG42" s="34">
        <f t="shared" si="58"/>
        <v>0</v>
      </c>
      <c r="CH42" s="34">
        <f t="shared" si="58"/>
        <v>0</v>
      </c>
      <c r="CI42" s="34">
        <f t="shared" si="58"/>
        <v>0</v>
      </c>
      <c r="CJ42" s="34">
        <f t="shared" si="58"/>
        <v>0</v>
      </c>
      <c r="CK42" s="34">
        <f t="shared" si="58"/>
        <v>0</v>
      </c>
      <c r="CL42" s="34" t="e">
        <f t="shared" ref="CL42:CR54" si="59">IF(ISBLANK(CL$2),0,(MAX($BW42-CL$2,0)-IF(ISNUMBER(CL$4),CL$4,CL$3))*CL$5)</f>
        <v>#N/A</v>
      </c>
      <c r="CM42" s="34" t="e">
        <f t="shared" si="59"/>
        <v>#N/A</v>
      </c>
      <c r="CN42" s="34">
        <f t="shared" si="59"/>
        <v>0</v>
      </c>
      <c r="CO42" s="34">
        <f t="shared" si="59"/>
        <v>0</v>
      </c>
      <c r="CP42" s="34">
        <f t="shared" si="59"/>
        <v>0</v>
      </c>
      <c r="CQ42" s="34">
        <f t="shared" si="59"/>
        <v>0</v>
      </c>
      <c r="CR42" s="34" t="e">
        <f t="shared" si="59"/>
        <v>#N/A</v>
      </c>
      <c r="CS42" s="34"/>
      <c r="CT42" s="34"/>
      <c r="CU42" s="34"/>
      <c r="CV42" s="34"/>
      <c r="CW42" s="34"/>
      <c r="CX42" s="34"/>
      <c r="CY42" s="34"/>
      <c r="CZ42" s="34"/>
      <c r="DA42" s="34"/>
      <c r="DD42" s="34"/>
      <c r="DE42" s="34"/>
      <c r="DF42" s="34"/>
      <c r="DG42" s="34"/>
      <c r="DH42" s="34"/>
      <c r="DI42" s="34"/>
      <c r="DJ42" s="34"/>
      <c r="DK42" s="34"/>
      <c r="DL42" s="34"/>
      <c r="DM42" s="34"/>
      <c r="DN42" s="34"/>
      <c r="DO42" s="34"/>
      <c r="DP42" s="34"/>
      <c r="DQ42" s="34"/>
      <c r="DR42" s="34"/>
      <c r="DS42" s="34"/>
      <c r="DT42" s="34"/>
      <c r="DU42" s="34"/>
      <c r="DV42" s="34"/>
    </row>
    <row r="43" spans="9:126">
      <c r="I43" s="35"/>
      <c r="J43" s="134"/>
      <c r="L43" s="35"/>
      <c r="M43" s="35"/>
      <c r="N43" s="67"/>
      <c r="S43" s="72"/>
      <c r="T43" s="72"/>
      <c r="U43" s="72"/>
      <c r="V43" s="72"/>
      <c r="W43" s="72"/>
      <c r="X43" s="72"/>
      <c r="Y43" s="72"/>
      <c r="Z43" s="72"/>
      <c r="AA43" s="72"/>
      <c r="AB43" s="72"/>
      <c r="AC43" s="72"/>
      <c r="AD43" s="72"/>
      <c r="AE43" s="72"/>
      <c r="AF43" s="72"/>
      <c r="AG43" s="72"/>
      <c r="AI43" s="35">
        <f t="shared" si="10"/>
        <v>1.1551290896316879</v>
      </c>
      <c r="AJ43" t="b">
        <f t="shared" si="9"/>
        <v>0</v>
      </c>
      <c r="AK43" s="158">
        <v>44616</v>
      </c>
      <c r="AL43" s="139">
        <f t="shared" si="11"/>
        <v>18250</v>
      </c>
      <c r="AM43" s="34">
        <v>24100</v>
      </c>
      <c r="AN43" s="137">
        <v>177.6</v>
      </c>
      <c r="AO43" s="34">
        <v>0.3</v>
      </c>
      <c r="AP43" s="139">
        <v>18250</v>
      </c>
      <c r="AQ43" s="34">
        <v>18.07</v>
      </c>
      <c r="AR43" t="s">
        <v>502</v>
      </c>
      <c r="AS43" s="138">
        <v>740</v>
      </c>
      <c r="AT43" s="34">
        <v>-0.7</v>
      </c>
      <c r="AU43" s="34">
        <v>7950</v>
      </c>
      <c r="AV43" s="34">
        <v>-4.96</v>
      </c>
      <c r="AW43" s="34">
        <v>18.670000000000002</v>
      </c>
      <c r="AX43" s="34">
        <v>3.5E-4</v>
      </c>
      <c r="AZ43" s="148">
        <f t="shared" si="52"/>
        <v>19085.714285714286</v>
      </c>
      <c r="BA43" s="34">
        <f t="shared" si="46"/>
        <v>112885.71428571432</v>
      </c>
      <c r="BB43" s="34"/>
      <c r="BC43" s="34">
        <f t="shared" si="47"/>
        <v>0</v>
      </c>
      <c r="BD43" s="34">
        <f t="shared" si="47"/>
        <v>0</v>
      </c>
      <c r="BE43" s="34">
        <f t="shared" si="47"/>
        <v>0</v>
      </c>
      <c r="BF43" s="34">
        <f t="shared" si="47"/>
        <v>0</v>
      </c>
      <c r="BG43" s="34">
        <f t="shared" si="47"/>
        <v>18000</v>
      </c>
      <c r="BH43" s="34">
        <f t="shared" si="47"/>
        <v>25500</v>
      </c>
      <c r="BI43" s="34">
        <f t="shared" si="47"/>
        <v>-13700</v>
      </c>
      <c r="BJ43" s="34">
        <f t="shared" si="57"/>
        <v>0</v>
      </c>
      <c r="BK43" s="34">
        <f t="shared" si="57"/>
        <v>0</v>
      </c>
      <c r="BL43" s="34">
        <f t="shared" si="57"/>
        <v>0</v>
      </c>
      <c r="BM43" s="34">
        <f t="shared" si="57"/>
        <v>0</v>
      </c>
      <c r="BN43" s="34">
        <f t="shared" si="57"/>
        <v>0</v>
      </c>
      <c r="BO43" s="34">
        <f t="shared" si="48"/>
        <v>0</v>
      </c>
      <c r="BP43" s="34">
        <f t="shared" si="48"/>
        <v>41085.714285714312</v>
      </c>
      <c r="BQ43" s="34">
        <f t="shared" si="48"/>
        <v>42000</v>
      </c>
      <c r="BR43" s="34">
        <f t="shared" si="48"/>
        <v>0</v>
      </c>
      <c r="BS43" s="34">
        <f t="shared" si="48"/>
        <v>0</v>
      </c>
      <c r="BT43" s="34">
        <f t="shared" si="48"/>
        <v>0</v>
      </c>
      <c r="BU43" s="34" t="e">
        <f t="shared" si="48"/>
        <v>#N/A</v>
      </c>
      <c r="BW43" s="148">
        <f t="shared" si="53"/>
        <v>40871.428571428572</v>
      </c>
      <c r="BX43" s="34">
        <f t="shared" si="49"/>
        <v>0</v>
      </c>
      <c r="BY43" s="34"/>
      <c r="BZ43" s="34" t="e">
        <f t="shared" si="58"/>
        <v>#N/A</v>
      </c>
      <c r="CA43" s="34" t="e">
        <f t="shared" si="58"/>
        <v>#N/A</v>
      </c>
      <c r="CB43" s="34" t="e">
        <f t="shared" si="58"/>
        <v>#N/A</v>
      </c>
      <c r="CC43" s="34" t="e">
        <f t="shared" si="58"/>
        <v>#N/A</v>
      </c>
      <c r="CD43" s="34">
        <f t="shared" si="58"/>
        <v>0</v>
      </c>
      <c r="CE43" s="34">
        <f t="shared" si="58"/>
        <v>0</v>
      </c>
      <c r="CF43" s="34">
        <f t="shared" si="58"/>
        <v>0</v>
      </c>
      <c r="CG43" s="34">
        <f t="shared" si="58"/>
        <v>0</v>
      </c>
      <c r="CH43" s="34">
        <f t="shared" si="58"/>
        <v>0</v>
      </c>
      <c r="CI43" s="34">
        <f t="shared" si="58"/>
        <v>0</v>
      </c>
      <c r="CJ43" s="34">
        <f t="shared" si="58"/>
        <v>0</v>
      </c>
      <c r="CK43" s="34">
        <f t="shared" si="58"/>
        <v>0</v>
      </c>
      <c r="CL43" s="34" t="e">
        <f t="shared" si="59"/>
        <v>#N/A</v>
      </c>
      <c r="CM43" s="34" t="e">
        <f t="shared" si="59"/>
        <v>#N/A</v>
      </c>
      <c r="CN43" s="34">
        <f t="shared" si="59"/>
        <v>0</v>
      </c>
      <c r="CO43" s="34">
        <f t="shared" si="59"/>
        <v>0</v>
      </c>
      <c r="CP43" s="34">
        <f t="shared" si="59"/>
        <v>0</v>
      </c>
      <c r="CQ43" s="34">
        <f t="shared" si="59"/>
        <v>0</v>
      </c>
      <c r="CR43" s="34" t="e">
        <f t="shared" si="59"/>
        <v>#N/A</v>
      </c>
      <c r="CS43" s="34"/>
      <c r="CT43" s="34"/>
      <c r="CU43" s="34"/>
      <c r="CV43" s="34"/>
      <c r="CW43" s="34"/>
      <c r="CX43" s="34"/>
      <c r="CY43" s="34"/>
      <c r="CZ43" s="34"/>
      <c r="DA43" s="34"/>
      <c r="DD43" s="34"/>
      <c r="DE43" s="34"/>
      <c r="DF43" s="34"/>
      <c r="DG43" s="34"/>
      <c r="DH43" s="34"/>
      <c r="DI43" s="34"/>
      <c r="DJ43" s="34"/>
      <c r="DK43" s="34"/>
      <c r="DL43" s="34"/>
      <c r="DM43" s="34"/>
      <c r="DN43" s="34"/>
      <c r="DO43" s="34"/>
      <c r="DP43" s="34"/>
      <c r="DQ43" s="34"/>
      <c r="DR43" s="34"/>
      <c r="DS43" s="34"/>
      <c r="DT43" s="34"/>
      <c r="DU43" s="34"/>
      <c r="DV43" s="34"/>
    </row>
    <row r="44" spans="9:126">
      <c r="I44" s="35"/>
      <c r="J44" s="134"/>
      <c r="L44" s="35"/>
      <c r="M44" s="35"/>
      <c r="N44" s="67"/>
      <c r="S44" s="72"/>
      <c r="T44" s="72"/>
      <c r="U44" s="72"/>
      <c r="V44" s="72"/>
      <c r="W44" s="72"/>
      <c r="X44" s="72"/>
      <c r="Y44" s="72"/>
      <c r="Z44" s="72"/>
      <c r="AA44" s="72"/>
      <c r="AB44" s="72"/>
      <c r="AC44" s="72"/>
      <c r="AD44" s="72"/>
      <c r="AE44" s="72"/>
      <c r="AF44" s="72"/>
      <c r="AG44" s="72"/>
      <c r="AI44" s="35">
        <f t="shared" si="10"/>
        <v>1.1582938268635554</v>
      </c>
      <c r="AJ44" t="b">
        <f t="shared" si="9"/>
        <v>0</v>
      </c>
      <c r="AK44" s="158">
        <v>44616</v>
      </c>
      <c r="AL44" s="139">
        <f t="shared" si="11"/>
        <v>18300</v>
      </c>
      <c r="AM44" s="34">
        <v>259150</v>
      </c>
      <c r="AN44" s="137">
        <v>165</v>
      </c>
      <c r="AO44" s="34">
        <v>0.28000000000000003</v>
      </c>
      <c r="AP44" s="139">
        <v>18300</v>
      </c>
      <c r="AQ44" s="34">
        <v>18.11</v>
      </c>
      <c r="AR44" t="s">
        <v>502</v>
      </c>
      <c r="AS44" s="138">
        <v>759.45</v>
      </c>
      <c r="AT44" s="34">
        <v>-0.72</v>
      </c>
      <c r="AU44" s="34">
        <v>128950</v>
      </c>
      <c r="AV44" s="34">
        <v>-4.84</v>
      </c>
      <c r="AW44" s="34">
        <v>18.18</v>
      </c>
      <c r="AX44" s="34">
        <v>3.4000000000000002E-4</v>
      </c>
      <c r="AZ44" s="148">
        <f t="shared" si="52"/>
        <v>19185.714285714286</v>
      </c>
      <c r="BA44" s="34">
        <f t="shared" si="46"/>
        <v>117885.71428571432</v>
      </c>
      <c r="BB44" s="34"/>
      <c r="BC44" s="34">
        <f t="shared" si="47"/>
        <v>0</v>
      </c>
      <c r="BD44" s="34">
        <f t="shared" si="47"/>
        <v>0</v>
      </c>
      <c r="BE44" s="34">
        <f t="shared" si="47"/>
        <v>0</v>
      </c>
      <c r="BF44" s="34">
        <f t="shared" si="47"/>
        <v>0</v>
      </c>
      <c r="BG44" s="34">
        <f t="shared" si="47"/>
        <v>18000</v>
      </c>
      <c r="BH44" s="34">
        <f t="shared" si="47"/>
        <v>25500</v>
      </c>
      <c r="BI44" s="34">
        <f t="shared" si="47"/>
        <v>-13700</v>
      </c>
      <c r="BJ44" s="34">
        <f t="shared" si="57"/>
        <v>0</v>
      </c>
      <c r="BK44" s="34">
        <f t="shared" si="57"/>
        <v>0</v>
      </c>
      <c r="BL44" s="34">
        <f t="shared" si="57"/>
        <v>0</v>
      </c>
      <c r="BM44" s="34">
        <f t="shared" si="57"/>
        <v>0</v>
      </c>
      <c r="BN44" s="34">
        <f t="shared" si="57"/>
        <v>0</v>
      </c>
      <c r="BO44" s="34">
        <f t="shared" si="48"/>
        <v>0</v>
      </c>
      <c r="BP44" s="34">
        <f t="shared" si="48"/>
        <v>46085.714285714312</v>
      </c>
      <c r="BQ44" s="34">
        <f t="shared" si="48"/>
        <v>42000</v>
      </c>
      <c r="BR44" s="34">
        <f t="shared" si="48"/>
        <v>0</v>
      </c>
      <c r="BS44" s="34">
        <f t="shared" si="48"/>
        <v>0</v>
      </c>
      <c r="BT44" s="34">
        <f t="shared" si="48"/>
        <v>0</v>
      </c>
      <c r="BU44" s="34" t="e">
        <f t="shared" si="48"/>
        <v>#N/A</v>
      </c>
      <c r="BW44" s="148">
        <f t="shared" si="53"/>
        <v>40921.428571428572</v>
      </c>
      <c r="BX44" s="34">
        <f t="shared" si="49"/>
        <v>0</v>
      </c>
      <c r="BY44" s="34"/>
      <c r="BZ44" s="34" t="e">
        <f t="shared" si="58"/>
        <v>#N/A</v>
      </c>
      <c r="CA44" s="34" t="e">
        <f t="shared" si="58"/>
        <v>#N/A</v>
      </c>
      <c r="CB44" s="34" t="e">
        <f t="shared" si="58"/>
        <v>#N/A</v>
      </c>
      <c r="CC44" s="34" t="e">
        <f t="shared" si="58"/>
        <v>#N/A</v>
      </c>
      <c r="CD44" s="34">
        <f t="shared" si="58"/>
        <v>0</v>
      </c>
      <c r="CE44" s="34">
        <f t="shared" si="58"/>
        <v>0</v>
      </c>
      <c r="CF44" s="34">
        <f t="shared" si="58"/>
        <v>0</v>
      </c>
      <c r="CG44" s="34">
        <f t="shared" si="58"/>
        <v>0</v>
      </c>
      <c r="CH44" s="34">
        <f t="shared" si="58"/>
        <v>0</v>
      </c>
      <c r="CI44" s="34">
        <f t="shared" si="58"/>
        <v>0</v>
      </c>
      <c r="CJ44" s="34">
        <f t="shared" si="58"/>
        <v>0</v>
      </c>
      <c r="CK44" s="34">
        <f t="shared" si="58"/>
        <v>0</v>
      </c>
      <c r="CL44" s="34" t="e">
        <f t="shared" si="59"/>
        <v>#N/A</v>
      </c>
      <c r="CM44" s="34" t="e">
        <f t="shared" si="59"/>
        <v>#N/A</v>
      </c>
      <c r="CN44" s="34">
        <f t="shared" si="59"/>
        <v>0</v>
      </c>
      <c r="CO44" s="34">
        <f t="shared" si="59"/>
        <v>0</v>
      </c>
      <c r="CP44" s="34">
        <f t="shared" si="59"/>
        <v>0</v>
      </c>
      <c r="CQ44" s="34">
        <f t="shared" si="59"/>
        <v>0</v>
      </c>
      <c r="CR44" s="34" t="e">
        <f t="shared" si="59"/>
        <v>#N/A</v>
      </c>
      <c r="CS44" s="34"/>
      <c r="CT44" s="34"/>
      <c r="CU44" s="34"/>
      <c r="CV44" s="34"/>
      <c r="CW44" s="34"/>
      <c r="CX44" s="34"/>
      <c r="CY44" s="34"/>
      <c r="CZ44" s="34"/>
      <c r="DA44" s="34"/>
      <c r="DD44" s="34"/>
      <c r="DE44" s="34"/>
      <c r="DF44" s="34"/>
      <c r="DG44" s="34"/>
      <c r="DH44" s="34"/>
      <c r="DI44" s="34"/>
      <c r="DJ44" s="34"/>
      <c r="DK44" s="34"/>
      <c r="DL44" s="34"/>
      <c r="DM44" s="34"/>
      <c r="DN44" s="34"/>
      <c r="DO44" s="34"/>
      <c r="DP44" s="34"/>
      <c r="DQ44" s="34"/>
      <c r="DR44" s="34"/>
      <c r="DS44" s="34"/>
      <c r="DT44" s="34"/>
      <c r="DU44" s="34"/>
      <c r="DV44" s="34"/>
    </row>
    <row r="45" spans="9:126">
      <c r="I45" s="35"/>
      <c r="J45" s="134"/>
      <c r="L45" s="35"/>
      <c r="M45" s="35"/>
      <c r="N45" s="67"/>
      <c r="S45" s="72"/>
      <c r="T45" s="72"/>
      <c r="U45" s="72"/>
      <c r="V45" s="72"/>
      <c r="W45" s="72"/>
      <c r="X45" s="72"/>
      <c r="Y45" s="72"/>
      <c r="Z45" s="72"/>
      <c r="AA45" s="72"/>
      <c r="AB45" s="72"/>
      <c r="AC45" s="72"/>
      <c r="AD45" s="72"/>
      <c r="AE45" s="72"/>
      <c r="AF45" s="72"/>
      <c r="AG45" s="72"/>
      <c r="AI45" s="35">
        <f t="shared" si="10"/>
        <v>1.1614585640954231</v>
      </c>
      <c r="AJ45" t="b">
        <f t="shared" si="9"/>
        <v>0</v>
      </c>
      <c r="AK45" s="158">
        <v>44616</v>
      </c>
      <c r="AL45" s="139">
        <f t="shared" si="11"/>
        <v>18350</v>
      </c>
      <c r="AM45" s="34">
        <v>8000</v>
      </c>
      <c r="AN45" s="137">
        <v>149.30000000000001</v>
      </c>
      <c r="AO45" s="34">
        <v>0.26</v>
      </c>
      <c r="AP45" s="139">
        <v>18350</v>
      </c>
      <c r="AQ45" s="34">
        <v>17.940000000000001</v>
      </c>
      <c r="AR45" t="s">
        <v>502</v>
      </c>
      <c r="AS45" s="138">
        <v>781</v>
      </c>
      <c r="AT45" s="34">
        <v>-0.74</v>
      </c>
      <c r="AU45" s="34">
        <v>6900</v>
      </c>
      <c r="AV45" s="34">
        <v>-4.6399999999999997</v>
      </c>
      <c r="AW45" s="34">
        <v>17.57</v>
      </c>
      <c r="AX45" s="34">
        <v>3.4000000000000002E-4</v>
      </c>
      <c r="AZ45" s="148">
        <f t="shared" si="52"/>
        <v>19285.714285714286</v>
      </c>
      <c r="BA45" s="34">
        <f t="shared" si="46"/>
        <v>-5685.714285715032</v>
      </c>
      <c r="BB45" s="34"/>
      <c r="BC45" s="34">
        <f t="shared" si="47"/>
        <v>0</v>
      </c>
      <c r="BD45" s="34">
        <f t="shared" si="47"/>
        <v>0</v>
      </c>
      <c r="BE45" s="34">
        <f t="shared" si="47"/>
        <v>0</v>
      </c>
      <c r="BF45" s="34">
        <f t="shared" si="47"/>
        <v>0</v>
      </c>
      <c r="BG45" s="34">
        <f t="shared" si="47"/>
        <v>18000</v>
      </c>
      <c r="BH45" s="34">
        <f t="shared" si="47"/>
        <v>25500</v>
      </c>
      <c r="BI45" s="34">
        <f t="shared" si="47"/>
        <v>-13700</v>
      </c>
      <c r="BJ45" s="34">
        <f t="shared" si="57"/>
        <v>0</v>
      </c>
      <c r="BK45" s="34">
        <f t="shared" si="57"/>
        <v>0</v>
      </c>
      <c r="BL45" s="34">
        <f t="shared" si="57"/>
        <v>0</v>
      </c>
      <c r="BM45" s="34">
        <f t="shared" si="57"/>
        <v>0</v>
      </c>
      <c r="BN45" s="34">
        <f t="shared" si="57"/>
        <v>0</v>
      </c>
      <c r="BO45" s="34">
        <f t="shared" si="48"/>
        <v>0</v>
      </c>
      <c r="BP45" s="34">
        <f t="shared" si="48"/>
        <v>51085.714285714312</v>
      </c>
      <c r="BQ45" s="34">
        <f t="shared" si="48"/>
        <v>-86571.428571429351</v>
      </c>
      <c r="BR45" s="34">
        <f t="shared" si="48"/>
        <v>0</v>
      </c>
      <c r="BS45" s="34">
        <f t="shared" si="48"/>
        <v>0</v>
      </c>
      <c r="BT45" s="34">
        <f t="shared" si="48"/>
        <v>0</v>
      </c>
      <c r="BU45" s="34" t="e">
        <f t="shared" si="48"/>
        <v>#N/A</v>
      </c>
      <c r="BW45" s="148">
        <f t="shared" si="53"/>
        <v>40971.428571428572</v>
      </c>
      <c r="BX45" s="34">
        <f t="shared" si="49"/>
        <v>0</v>
      </c>
      <c r="BY45" s="34"/>
      <c r="BZ45" s="34" t="e">
        <f t="shared" si="58"/>
        <v>#N/A</v>
      </c>
      <c r="CA45" s="34" t="e">
        <f t="shared" si="58"/>
        <v>#N/A</v>
      </c>
      <c r="CB45" s="34" t="e">
        <f t="shared" si="58"/>
        <v>#N/A</v>
      </c>
      <c r="CC45" s="34" t="e">
        <f t="shared" si="58"/>
        <v>#N/A</v>
      </c>
      <c r="CD45" s="34">
        <f t="shared" si="58"/>
        <v>0</v>
      </c>
      <c r="CE45" s="34">
        <f t="shared" si="58"/>
        <v>0</v>
      </c>
      <c r="CF45" s="34">
        <f t="shared" si="58"/>
        <v>0</v>
      </c>
      <c r="CG45" s="34">
        <f t="shared" si="58"/>
        <v>0</v>
      </c>
      <c r="CH45" s="34">
        <f t="shared" si="58"/>
        <v>0</v>
      </c>
      <c r="CI45" s="34">
        <f t="shared" si="58"/>
        <v>0</v>
      </c>
      <c r="CJ45" s="34">
        <f t="shared" si="58"/>
        <v>0</v>
      </c>
      <c r="CK45" s="34">
        <f t="shared" si="58"/>
        <v>0</v>
      </c>
      <c r="CL45" s="34" t="e">
        <f t="shared" si="59"/>
        <v>#N/A</v>
      </c>
      <c r="CM45" s="34" t="e">
        <f t="shared" si="59"/>
        <v>#N/A</v>
      </c>
      <c r="CN45" s="34">
        <f t="shared" si="59"/>
        <v>0</v>
      </c>
      <c r="CO45" s="34">
        <f t="shared" si="59"/>
        <v>0</v>
      </c>
      <c r="CP45" s="34">
        <f t="shared" si="59"/>
        <v>0</v>
      </c>
      <c r="CQ45" s="34">
        <f t="shared" si="59"/>
        <v>0</v>
      </c>
      <c r="CR45" s="34" t="e">
        <f t="shared" si="59"/>
        <v>#N/A</v>
      </c>
      <c r="CS45" s="34"/>
      <c r="CT45" s="34"/>
      <c r="CU45" s="34"/>
      <c r="CV45" s="34"/>
      <c r="CW45" s="34"/>
      <c r="CX45" s="34"/>
      <c r="CY45" s="34"/>
      <c r="CZ45" s="34"/>
      <c r="DA45" s="34"/>
      <c r="DD45" s="34"/>
      <c r="DE45" s="34"/>
      <c r="DF45" s="34"/>
      <c r="DG45" s="34"/>
      <c r="DH45" s="34"/>
      <c r="DI45" s="34"/>
      <c r="DJ45" s="34"/>
      <c r="DK45" s="34"/>
      <c r="DL45" s="34"/>
      <c r="DM45" s="34"/>
      <c r="DN45" s="34"/>
      <c r="DO45" s="34"/>
      <c r="DP45" s="34"/>
      <c r="DQ45" s="34"/>
      <c r="DR45" s="34"/>
      <c r="DS45" s="34"/>
      <c r="DT45" s="34"/>
      <c r="DU45" s="34"/>
      <c r="DV45" s="34"/>
    </row>
    <row r="46" spans="9:126">
      <c r="I46" s="35"/>
      <c r="J46" s="134"/>
      <c r="L46" s="35"/>
      <c r="M46" s="35"/>
      <c r="N46" s="67"/>
      <c r="S46" s="72"/>
      <c r="T46" s="72"/>
      <c r="U46" s="72"/>
      <c r="V46" s="72"/>
      <c r="W46" s="72"/>
      <c r="X46" s="72"/>
      <c r="Y46" s="72"/>
      <c r="Z46" s="72"/>
      <c r="AA46" s="72"/>
      <c r="AB46" s="72"/>
      <c r="AC46" s="72"/>
      <c r="AD46" s="72"/>
      <c r="AE46" s="72"/>
      <c r="AF46" s="72"/>
      <c r="AG46" s="72"/>
      <c r="AI46" s="35">
        <f t="shared" si="10"/>
        <v>1.1646233013272909</v>
      </c>
      <c r="AJ46" t="b">
        <f t="shared" si="9"/>
        <v>0</v>
      </c>
      <c r="AK46" s="158">
        <v>44616</v>
      </c>
      <c r="AL46" s="139">
        <f t="shared" si="11"/>
        <v>18400</v>
      </c>
      <c r="AM46" s="34">
        <v>124450</v>
      </c>
      <c r="AN46" s="137">
        <v>139.65</v>
      </c>
      <c r="AO46" s="34">
        <v>0.25</v>
      </c>
      <c r="AP46" s="139">
        <v>18400</v>
      </c>
      <c r="AQ46" s="34">
        <v>18.07</v>
      </c>
      <c r="AR46" t="s">
        <v>502</v>
      </c>
      <c r="AS46" s="138">
        <v>836</v>
      </c>
      <c r="AT46" s="34">
        <v>-0.75</v>
      </c>
      <c r="AU46" s="34">
        <v>40750</v>
      </c>
      <c r="AV46" s="34">
        <v>-4.53</v>
      </c>
      <c r="AW46" s="34">
        <v>17.059999999999999</v>
      </c>
      <c r="AX46" s="34">
        <v>3.2000000000000003E-4</v>
      </c>
      <c r="AZ46" s="148">
        <f t="shared" si="52"/>
        <v>19385.714285714286</v>
      </c>
      <c r="BA46" s="34">
        <f t="shared" si="46"/>
        <v>-150685.71428571502</v>
      </c>
      <c r="BB46" s="34"/>
      <c r="BC46" s="34">
        <f t="shared" si="47"/>
        <v>0</v>
      </c>
      <c r="BD46" s="34">
        <f t="shared" si="47"/>
        <v>0</v>
      </c>
      <c r="BE46" s="34">
        <f t="shared" si="47"/>
        <v>0</v>
      </c>
      <c r="BF46" s="34">
        <f t="shared" si="47"/>
        <v>0</v>
      </c>
      <c r="BG46" s="34">
        <f t="shared" si="47"/>
        <v>18000</v>
      </c>
      <c r="BH46" s="34">
        <f t="shared" si="47"/>
        <v>25500</v>
      </c>
      <c r="BI46" s="34">
        <f t="shared" si="47"/>
        <v>-13700</v>
      </c>
      <c r="BJ46" s="34">
        <f t="shared" si="57"/>
        <v>0</v>
      </c>
      <c r="BK46" s="34">
        <f t="shared" si="57"/>
        <v>0</v>
      </c>
      <c r="BL46" s="34">
        <f t="shared" si="57"/>
        <v>0</v>
      </c>
      <c r="BM46" s="34">
        <f t="shared" si="57"/>
        <v>0</v>
      </c>
      <c r="BN46" s="34">
        <f t="shared" si="57"/>
        <v>0</v>
      </c>
      <c r="BO46" s="34">
        <f t="shared" si="48"/>
        <v>0</v>
      </c>
      <c r="BP46" s="34">
        <f t="shared" si="48"/>
        <v>56085.714285714312</v>
      </c>
      <c r="BQ46" s="34">
        <f t="shared" si="48"/>
        <v>-236571.42857142934</v>
      </c>
      <c r="BR46" s="34">
        <f t="shared" si="48"/>
        <v>0</v>
      </c>
      <c r="BS46" s="34">
        <f t="shared" si="48"/>
        <v>0</v>
      </c>
      <c r="BT46" s="34">
        <f t="shared" si="48"/>
        <v>0</v>
      </c>
      <c r="BU46" s="34" t="e">
        <f t="shared" si="48"/>
        <v>#N/A</v>
      </c>
      <c r="BW46" s="148">
        <f t="shared" si="53"/>
        <v>41021.428571428572</v>
      </c>
      <c r="BX46" s="34">
        <f t="shared" si="49"/>
        <v>0</v>
      </c>
      <c r="BY46" s="34"/>
      <c r="BZ46" s="34" t="e">
        <f t="shared" si="58"/>
        <v>#N/A</v>
      </c>
      <c r="CA46" s="34" t="e">
        <f t="shared" si="58"/>
        <v>#N/A</v>
      </c>
      <c r="CB46" s="34" t="e">
        <f t="shared" si="58"/>
        <v>#N/A</v>
      </c>
      <c r="CC46" s="34" t="e">
        <f t="shared" si="58"/>
        <v>#N/A</v>
      </c>
      <c r="CD46" s="34">
        <f t="shared" si="58"/>
        <v>0</v>
      </c>
      <c r="CE46" s="34">
        <f t="shared" si="58"/>
        <v>0</v>
      </c>
      <c r="CF46" s="34">
        <f t="shared" si="58"/>
        <v>0</v>
      </c>
      <c r="CG46" s="34">
        <f t="shared" si="58"/>
        <v>0</v>
      </c>
      <c r="CH46" s="34">
        <f t="shared" si="58"/>
        <v>0</v>
      </c>
      <c r="CI46" s="34">
        <f t="shared" si="58"/>
        <v>0</v>
      </c>
      <c r="CJ46" s="34">
        <f t="shared" si="58"/>
        <v>0</v>
      </c>
      <c r="CK46" s="34">
        <f t="shared" si="58"/>
        <v>0</v>
      </c>
      <c r="CL46" s="34" t="e">
        <f t="shared" si="59"/>
        <v>#N/A</v>
      </c>
      <c r="CM46" s="34" t="e">
        <f t="shared" si="59"/>
        <v>#N/A</v>
      </c>
      <c r="CN46" s="34">
        <f t="shared" si="59"/>
        <v>0</v>
      </c>
      <c r="CO46" s="34">
        <f t="shared" si="59"/>
        <v>0</v>
      </c>
      <c r="CP46" s="34">
        <f t="shared" si="59"/>
        <v>0</v>
      </c>
      <c r="CQ46" s="34">
        <f t="shared" si="59"/>
        <v>0</v>
      </c>
      <c r="CR46" s="34" t="e">
        <f t="shared" si="59"/>
        <v>#N/A</v>
      </c>
      <c r="CS46" s="34"/>
      <c r="CT46" s="34"/>
      <c r="CU46" s="34"/>
      <c r="CV46" s="34"/>
      <c r="CW46" s="34"/>
      <c r="CX46" s="34"/>
      <c r="CY46" s="34"/>
      <c r="CZ46" s="34"/>
      <c r="DA46" s="34"/>
      <c r="DD46" s="34"/>
      <c r="DE46" s="34"/>
      <c r="DF46" s="34"/>
      <c r="DG46" s="34"/>
      <c r="DH46" s="34"/>
      <c r="DI46" s="34"/>
      <c r="DJ46" s="34"/>
      <c r="DK46" s="34"/>
      <c r="DL46" s="34"/>
      <c r="DM46" s="34"/>
      <c r="DN46" s="34"/>
      <c r="DO46" s="34"/>
      <c r="DP46" s="34"/>
      <c r="DQ46" s="34"/>
      <c r="DR46" s="34"/>
      <c r="DS46" s="34"/>
      <c r="DT46" s="34"/>
      <c r="DU46" s="34"/>
      <c r="DV46" s="34"/>
    </row>
    <row r="47" spans="9:126">
      <c r="I47" s="35"/>
      <c r="J47" s="134"/>
      <c r="L47" s="35"/>
      <c r="M47" s="35"/>
      <c r="N47" s="67"/>
      <c r="S47" s="72"/>
      <c r="T47" s="72"/>
      <c r="U47" s="72"/>
      <c r="V47" s="72"/>
      <c r="W47" s="72"/>
      <c r="X47" s="72"/>
      <c r="Y47" s="72"/>
      <c r="Z47" s="72"/>
      <c r="AA47" s="72"/>
      <c r="AB47" s="72"/>
      <c r="AC47" s="72"/>
      <c r="AD47" s="72"/>
      <c r="AE47" s="72"/>
      <c r="AF47" s="72"/>
      <c r="AG47" s="72"/>
      <c r="AI47" s="35">
        <f t="shared" si="10"/>
        <v>1.1677880385591584</v>
      </c>
      <c r="AJ47" t="b">
        <f t="shared" si="9"/>
        <v>0</v>
      </c>
      <c r="AK47" s="158">
        <v>44616</v>
      </c>
      <c r="AL47" s="139">
        <f t="shared" si="11"/>
        <v>18450</v>
      </c>
      <c r="AM47" s="34">
        <v>7550</v>
      </c>
      <c r="AN47" s="137">
        <v>125.85</v>
      </c>
      <c r="AO47" s="34">
        <v>0.23</v>
      </c>
      <c r="AP47" s="139">
        <v>18450</v>
      </c>
      <c r="AQ47" s="34">
        <v>17.91</v>
      </c>
      <c r="AR47" t="s">
        <v>502</v>
      </c>
      <c r="AS47" s="138">
        <v>851</v>
      </c>
      <c r="AT47" s="34">
        <v>-0.77</v>
      </c>
      <c r="AU47" s="34">
        <v>1150</v>
      </c>
      <c r="AV47" s="34">
        <v>-4.32</v>
      </c>
      <c r="AW47" s="34">
        <v>16.39</v>
      </c>
      <c r="AX47" s="34">
        <v>3.1E-4</v>
      </c>
      <c r="AZ47" s="148">
        <f t="shared" si="52"/>
        <v>19485.714285714286</v>
      </c>
      <c r="BA47" s="34">
        <f t="shared" si="46"/>
        <v>-295685.71428571502</v>
      </c>
      <c r="BB47" s="34"/>
      <c r="BC47" s="34">
        <f t="shared" si="47"/>
        <v>0</v>
      </c>
      <c r="BD47" s="34">
        <f t="shared" si="47"/>
        <v>0</v>
      </c>
      <c r="BE47" s="34">
        <f t="shared" si="47"/>
        <v>0</v>
      </c>
      <c r="BF47" s="34">
        <f t="shared" si="47"/>
        <v>0</v>
      </c>
      <c r="BG47" s="34">
        <f t="shared" si="47"/>
        <v>18000</v>
      </c>
      <c r="BH47" s="34">
        <f t="shared" si="47"/>
        <v>25500</v>
      </c>
      <c r="BI47" s="34">
        <f t="shared" si="47"/>
        <v>-13700</v>
      </c>
      <c r="BJ47" s="34">
        <f t="shared" si="57"/>
        <v>0</v>
      </c>
      <c r="BK47" s="34">
        <f t="shared" si="57"/>
        <v>0</v>
      </c>
      <c r="BL47" s="34">
        <f t="shared" si="57"/>
        <v>0</v>
      </c>
      <c r="BM47" s="34">
        <f t="shared" si="57"/>
        <v>0</v>
      </c>
      <c r="BN47" s="34">
        <f t="shared" si="57"/>
        <v>0</v>
      </c>
      <c r="BO47" s="34">
        <f t="shared" si="48"/>
        <v>0</v>
      </c>
      <c r="BP47" s="34">
        <f t="shared" si="48"/>
        <v>61085.714285714312</v>
      </c>
      <c r="BQ47" s="34">
        <f t="shared" si="48"/>
        <v>-386571.42857142934</v>
      </c>
      <c r="BR47" s="34">
        <f t="shared" si="48"/>
        <v>0</v>
      </c>
      <c r="BS47" s="34">
        <f t="shared" si="48"/>
        <v>0</v>
      </c>
      <c r="BT47" s="34">
        <f t="shared" si="48"/>
        <v>0</v>
      </c>
      <c r="BU47" s="34" t="e">
        <f t="shared" si="48"/>
        <v>#N/A</v>
      </c>
      <c r="BW47" s="148">
        <f t="shared" si="53"/>
        <v>41071.428571428572</v>
      </c>
      <c r="BX47" s="34">
        <f t="shared" si="49"/>
        <v>0</v>
      </c>
      <c r="BY47" s="34"/>
      <c r="BZ47" s="34" t="e">
        <f t="shared" si="58"/>
        <v>#N/A</v>
      </c>
      <c r="CA47" s="34" t="e">
        <f t="shared" si="58"/>
        <v>#N/A</v>
      </c>
      <c r="CB47" s="34" t="e">
        <f t="shared" si="58"/>
        <v>#N/A</v>
      </c>
      <c r="CC47" s="34" t="e">
        <f t="shared" si="58"/>
        <v>#N/A</v>
      </c>
      <c r="CD47" s="34">
        <f t="shared" si="58"/>
        <v>0</v>
      </c>
      <c r="CE47" s="34">
        <f t="shared" si="58"/>
        <v>0</v>
      </c>
      <c r="CF47" s="34">
        <f t="shared" si="58"/>
        <v>0</v>
      </c>
      <c r="CG47" s="34">
        <f t="shared" si="58"/>
        <v>0</v>
      </c>
      <c r="CH47" s="34">
        <f t="shared" si="58"/>
        <v>0</v>
      </c>
      <c r="CI47" s="34">
        <f t="shared" si="58"/>
        <v>0</v>
      </c>
      <c r="CJ47" s="34">
        <f t="shared" si="58"/>
        <v>0</v>
      </c>
      <c r="CK47" s="34">
        <f t="shared" si="58"/>
        <v>0</v>
      </c>
      <c r="CL47" s="34" t="e">
        <f t="shared" si="59"/>
        <v>#N/A</v>
      </c>
      <c r="CM47" s="34" t="e">
        <f t="shared" si="59"/>
        <v>#N/A</v>
      </c>
      <c r="CN47" s="34">
        <f t="shared" si="59"/>
        <v>0</v>
      </c>
      <c r="CO47" s="34">
        <f t="shared" si="59"/>
        <v>0</v>
      </c>
      <c r="CP47" s="34">
        <f t="shared" si="59"/>
        <v>0</v>
      </c>
      <c r="CQ47" s="34">
        <f t="shared" si="59"/>
        <v>0</v>
      </c>
      <c r="CR47" s="34" t="e">
        <f t="shared" si="59"/>
        <v>#N/A</v>
      </c>
      <c r="CS47" s="34"/>
      <c r="CT47" s="34"/>
      <c r="CU47" s="34"/>
      <c r="CV47" s="34"/>
      <c r="CW47" s="34"/>
      <c r="CX47" s="34"/>
      <c r="CY47" s="34"/>
      <c r="CZ47" s="34"/>
      <c r="DA47" s="34"/>
      <c r="DD47" s="34"/>
      <c r="DE47" s="34"/>
      <c r="DF47" s="34"/>
      <c r="DG47" s="34"/>
      <c r="DH47" s="34"/>
      <c r="DI47" s="34"/>
      <c r="DJ47" s="34"/>
      <c r="DK47" s="34"/>
      <c r="DL47" s="34"/>
      <c r="DM47" s="34"/>
      <c r="DN47" s="34"/>
      <c r="DO47" s="34"/>
      <c r="DP47" s="34"/>
      <c r="DQ47" s="34"/>
      <c r="DR47" s="34"/>
      <c r="DS47" s="34"/>
      <c r="DT47" s="34"/>
      <c r="DU47" s="34"/>
      <c r="DV47" s="34"/>
    </row>
    <row r="48" spans="9:126">
      <c r="I48" s="35"/>
      <c r="J48" s="134"/>
      <c r="L48" s="35"/>
      <c r="M48" s="35"/>
      <c r="N48" s="67"/>
      <c r="S48" s="72"/>
      <c r="T48" s="72"/>
      <c r="U48" s="72"/>
      <c r="V48" s="72"/>
      <c r="W48" s="72"/>
      <c r="X48" s="72"/>
      <c r="Y48" s="72"/>
      <c r="Z48" s="72"/>
      <c r="AA48" s="72"/>
      <c r="AB48" s="72"/>
      <c r="AC48" s="72"/>
      <c r="AD48" s="72"/>
      <c r="AE48" s="72"/>
      <c r="AF48" s="72"/>
      <c r="AG48" s="72"/>
      <c r="AI48" s="35">
        <f t="shared" si="10"/>
        <v>1.1709527757910261</v>
      </c>
      <c r="AJ48" t="b">
        <f t="shared" si="9"/>
        <v>0</v>
      </c>
      <c r="AK48" s="158">
        <v>44616</v>
      </c>
      <c r="AL48" s="139">
        <f t="shared" si="11"/>
        <v>18500</v>
      </c>
      <c r="AM48" s="34">
        <v>757900</v>
      </c>
      <c r="AN48" s="137">
        <v>115.7</v>
      </c>
      <c r="AO48" s="34">
        <v>0.22</v>
      </c>
      <c r="AP48" s="139">
        <v>18500</v>
      </c>
      <c r="AQ48" s="34">
        <v>17.920000000000002</v>
      </c>
      <c r="AR48" t="s">
        <v>502</v>
      </c>
      <c r="AS48" s="138">
        <v>916.25</v>
      </c>
      <c r="AT48" s="34">
        <v>-0.78</v>
      </c>
      <c r="AU48" s="34">
        <v>299250</v>
      </c>
      <c r="AV48" s="34">
        <v>-4.16</v>
      </c>
      <c r="AW48" s="34">
        <v>15.79</v>
      </c>
      <c r="AX48" s="34">
        <v>2.9999999999999997E-4</v>
      </c>
      <c r="AZ48" s="148">
        <f t="shared" si="52"/>
        <v>19585.714285714286</v>
      </c>
      <c r="BA48" s="34">
        <f t="shared" si="46"/>
        <v>-440685.71428571502</v>
      </c>
      <c r="BB48" s="34"/>
      <c r="BC48" s="34">
        <f t="shared" si="47"/>
        <v>0</v>
      </c>
      <c r="BD48" s="34">
        <f t="shared" si="47"/>
        <v>0</v>
      </c>
      <c r="BE48" s="34">
        <f t="shared" si="47"/>
        <v>0</v>
      </c>
      <c r="BF48" s="34">
        <f t="shared" si="47"/>
        <v>0</v>
      </c>
      <c r="BG48" s="34">
        <f t="shared" si="47"/>
        <v>18000</v>
      </c>
      <c r="BH48" s="34">
        <f t="shared" si="47"/>
        <v>25500</v>
      </c>
      <c r="BI48" s="34">
        <f t="shared" si="47"/>
        <v>-13700</v>
      </c>
      <c r="BJ48" s="34">
        <f t="shared" si="57"/>
        <v>0</v>
      </c>
      <c r="BK48" s="34">
        <f t="shared" si="57"/>
        <v>0</v>
      </c>
      <c r="BL48" s="34">
        <f t="shared" si="57"/>
        <v>0</v>
      </c>
      <c r="BM48" s="34">
        <f t="shared" si="57"/>
        <v>0</v>
      </c>
      <c r="BN48" s="34">
        <f t="shared" si="57"/>
        <v>0</v>
      </c>
      <c r="BO48" s="34">
        <f t="shared" si="48"/>
        <v>0</v>
      </c>
      <c r="BP48" s="34">
        <f t="shared" si="48"/>
        <v>66085.714285714319</v>
      </c>
      <c r="BQ48" s="34">
        <f t="shared" si="48"/>
        <v>-536571.42857142934</v>
      </c>
      <c r="BR48" s="34">
        <f t="shared" si="48"/>
        <v>0</v>
      </c>
      <c r="BS48" s="34">
        <f t="shared" si="48"/>
        <v>0</v>
      </c>
      <c r="BT48" s="34">
        <f t="shared" si="48"/>
        <v>0</v>
      </c>
      <c r="BU48" s="34" t="e">
        <f t="shared" si="48"/>
        <v>#N/A</v>
      </c>
      <c r="BW48" s="148">
        <f t="shared" si="53"/>
        <v>41121.428571428572</v>
      </c>
      <c r="BX48" s="34">
        <f t="shared" si="49"/>
        <v>0</v>
      </c>
      <c r="BY48" s="34"/>
      <c r="BZ48" s="34" t="e">
        <f t="shared" si="58"/>
        <v>#N/A</v>
      </c>
      <c r="CA48" s="34" t="e">
        <f t="shared" si="58"/>
        <v>#N/A</v>
      </c>
      <c r="CB48" s="34" t="e">
        <f t="shared" si="58"/>
        <v>#N/A</v>
      </c>
      <c r="CC48" s="34" t="e">
        <f t="shared" si="58"/>
        <v>#N/A</v>
      </c>
      <c r="CD48" s="34">
        <f t="shared" si="58"/>
        <v>0</v>
      </c>
      <c r="CE48" s="34">
        <f t="shared" si="58"/>
        <v>0</v>
      </c>
      <c r="CF48" s="34">
        <f t="shared" si="58"/>
        <v>0</v>
      </c>
      <c r="CG48" s="34">
        <f t="shared" si="58"/>
        <v>0</v>
      </c>
      <c r="CH48" s="34">
        <f t="shared" si="58"/>
        <v>0</v>
      </c>
      <c r="CI48" s="34">
        <f t="shared" si="58"/>
        <v>0</v>
      </c>
      <c r="CJ48" s="34">
        <f t="shared" si="58"/>
        <v>0</v>
      </c>
      <c r="CK48" s="34">
        <f t="shared" si="58"/>
        <v>0</v>
      </c>
      <c r="CL48" s="34" t="e">
        <f t="shared" si="59"/>
        <v>#N/A</v>
      </c>
      <c r="CM48" s="34" t="e">
        <f t="shared" si="59"/>
        <v>#N/A</v>
      </c>
      <c r="CN48" s="34">
        <f t="shared" si="59"/>
        <v>0</v>
      </c>
      <c r="CO48" s="34">
        <f t="shared" si="59"/>
        <v>0</v>
      </c>
      <c r="CP48" s="34">
        <f t="shared" si="59"/>
        <v>0</v>
      </c>
      <c r="CQ48" s="34">
        <f t="shared" si="59"/>
        <v>0</v>
      </c>
      <c r="CR48" s="34" t="e">
        <f t="shared" si="59"/>
        <v>#N/A</v>
      </c>
      <c r="CS48" s="34"/>
      <c r="CT48" s="34"/>
      <c r="CU48" s="34"/>
      <c r="CV48" s="34"/>
      <c r="CW48" s="34"/>
      <c r="CX48" s="34"/>
      <c r="CY48" s="34"/>
      <c r="CZ48" s="34"/>
      <c r="DA48" s="34"/>
      <c r="DD48" s="34"/>
      <c r="DE48" s="34"/>
      <c r="DF48" s="34"/>
      <c r="DG48" s="34"/>
      <c r="DH48" s="34"/>
      <c r="DI48" s="34"/>
      <c r="DJ48" s="34"/>
      <c r="DK48" s="34"/>
      <c r="DL48" s="34"/>
      <c r="DM48" s="34"/>
      <c r="DN48" s="34"/>
      <c r="DO48" s="34"/>
      <c r="DP48" s="34"/>
      <c r="DQ48" s="34"/>
      <c r="DR48" s="34"/>
      <c r="DS48" s="34"/>
      <c r="DT48" s="34"/>
      <c r="DU48" s="34"/>
      <c r="DV48" s="34"/>
    </row>
    <row r="49" spans="9:126">
      <c r="I49" s="35"/>
      <c r="J49" s="134"/>
      <c r="L49" s="35"/>
      <c r="M49" s="35"/>
      <c r="N49" s="67"/>
      <c r="S49" s="72"/>
      <c r="T49" s="72"/>
      <c r="U49" s="72"/>
      <c r="V49" s="72"/>
      <c r="W49" s="72"/>
      <c r="X49" s="72"/>
      <c r="Y49" s="72"/>
      <c r="Z49" s="72"/>
      <c r="AA49" s="72"/>
      <c r="AB49" s="72"/>
      <c r="AC49" s="72"/>
      <c r="AD49" s="72"/>
      <c r="AE49" s="72"/>
      <c r="AF49" s="72"/>
      <c r="AG49" s="72"/>
      <c r="AI49" s="35">
        <f t="shared" si="10"/>
        <v>1.1741175130228936</v>
      </c>
      <c r="AJ49" t="b">
        <f t="shared" si="9"/>
        <v>0</v>
      </c>
      <c r="AK49" s="158">
        <v>44616</v>
      </c>
      <c r="AL49" s="139">
        <f t="shared" si="11"/>
        <v>18550</v>
      </c>
      <c r="AM49" s="34">
        <v>8600</v>
      </c>
      <c r="AN49" s="137">
        <v>105</v>
      </c>
      <c r="AO49" s="34">
        <v>0.2</v>
      </c>
      <c r="AP49" s="139">
        <v>18550</v>
      </c>
      <c r="AQ49" s="34">
        <v>17.850000000000001</v>
      </c>
      <c r="AR49" t="s">
        <v>502</v>
      </c>
      <c r="AS49" s="138">
        <v>922.95</v>
      </c>
      <c r="AT49" s="34">
        <v>-0.8</v>
      </c>
      <c r="AU49" s="34">
        <v>1300</v>
      </c>
      <c r="AV49" s="34">
        <v>-3.97</v>
      </c>
      <c r="AW49" s="34">
        <v>15.13</v>
      </c>
      <c r="AX49" s="34">
        <v>2.9E-4</v>
      </c>
      <c r="AZ49" s="148">
        <f t="shared" si="52"/>
        <v>19685.714285714286</v>
      </c>
      <c r="BA49" s="34">
        <f t="shared" si="46"/>
        <v>-585685.71428571502</v>
      </c>
      <c r="BB49" s="34"/>
      <c r="BC49" s="34">
        <f t="shared" si="47"/>
        <v>0</v>
      </c>
      <c r="BD49" s="34">
        <f t="shared" si="47"/>
        <v>0</v>
      </c>
      <c r="BE49" s="34">
        <f t="shared" si="47"/>
        <v>0</v>
      </c>
      <c r="BF49" s="34">
        <f t="shared" si="47"/>
        <v>0</v>
      </c>
      <c r="BG49" s="34">
        <f t="shared" si="47"/>
        <v>18000</v>
      </c>
      <c r="BH49" s="34">
        <f t="shared" si="47"/>
        <v>25500</v>
      </c>
      <c r="BI49" s="34">
        <f t="shared" si="47"/>
        <v>-13700</v>
      </c>
      <c r="BJ49" s="34">
        <f t="shared" si="57"/>
        <v>0</v>
      </c>
      <c r="BK49" s="34">
        <f t="shared" si="57"/>
        <v>0</v>
      </c>
      <c r="BL49" s="34">
        <f t="shared" si="57"/>
        <v>0</v>
      </c>
      <c r="BM49" s="34">
        <f t="shared" si="57"/>
        <v>0</v>
      </c>
      <c r="BN49" s="34">
        <f t="shared" si="57"/>
        <v>0</v>
      </c>
      <c r="BO49" s="34">
        <f t="shared" si="48"/>
        <v>0</v>
      </c>
      <c r="BP49" s="34">
        <f t="shared" si="48"/>
        <v>71085.714285714319</v>
      </c>
      <c r="BQ49" s="34">
        <f t="shared" si="48"/>
        <v>-686571.42857142934</v>
      </c>
      <c r="BR49" s="34">
        <f t="shared" si="48"/>
        <v>0</v>
      </c>
      <c r="BS49" s="34">
        <f t="shared" si="48"/>
        <v>0</v>
      </c>
      <c r="BT49" s="34">
        <f t="shared" si="48"/>
        <v>0</v>
      </c>
      <c r="BU49" s="34" t="e">
        <f t="shared" si="48"/>
        <v>#N/A</v>
      </c>
      <c r="BW49" s="148">
        <f t="shared" si="53"/>
        <v>41171.428571428572</v>
      </c>
      <c r="BX49" s="34">
        <f t="shared" si="49"/>
        <v>0</v>
      </c>
      <c r="BY49" s="34"/>
      <c r="BZ49" s="34" t="e">
        <f t="shared" si="58"/>
        <v>#N/A</v>
      </c>
      <c r="CA49" s="34" t="e">
        <f t="shared" si="58"/>
        <v>#N/A</v>
      </c>
      <c r="CB49" s="34" t="e">
        <f t="shared" si="58"/>
        <v>#N/A</v>
      </c>
      <c r="CC49" s="34" t="e">
        <f t="shared" si="58"/>
        <v>#N/A</v>
      </c>
      <c r="CD49" s="34">
        <f t="shared" si="58"/>
        <v>0</v>
      </c>
      <c r="CE49" s="34">
        <f t="shared" si="58"/>
        <v>0</v>
      </c>
      <c r="CF49" s="34">
        <f t="shared" si="58"/>
        <v>0</v>
      </c>
      <c r="CG49" s="34">
        <f t="shared" si="58"/>
        <v>0</v>
      </c>
      <c r="CH49" s="34">
        <f t="shared" si="58"/>
        <v>0</v>
      </c>
      <c r="CI49" s="34">
        <f t="shared" si="58"/>
        <v>0</v>
      </c>
      <c r="CJ49" s="34">
        <f t="shared" si="58"/>
        <v>0</v>
      </c>
      <c r="CK49" s="34">
        <f t="shared" si="58"/>
        <v>0</v>
      </c>
      <c r="CL49" s="34" t="e">
        <f t="shared" si="59"/>
        <v>#N/A</v>
      </c>
      <c r="CM49" s="34" t="e">
        <f t="shared" si="59"/>
        <v>#N/A</v>
      </c>
      <c r="CN49" s="34">
        <f t="shared" si="59"/>
        <v>0</v>
      </c>
      <c r="CO49" s="34">
        <f t="shared" si="59"/>
        <v>0</v>
      </c>
      <c r="CP49" s="34">
        <f t="shared" si="59"/>
        <v>0</v>
      </c>
      <c r="CQ49" s="34">
        <f t="shared" si="59"/>
        <v>0</v>
      </c>
      <c r="CR49" s="34" t="e">
        <f t="shared" si="59"/>
        <v>#N/A</v>
      </c>
      <c r="CS49" s="34"/>
      <c r="CT49" s="34"/>
      <c r="CU49" s="34"/>
      <c r="CV49" s="34"/>
      <c r="CW49" s="34"/>
      <c r="CX49" s="34"/>
      <c r="CY49" s="34"/>
      <c r="CZ49" s="34"/>
      <c r="DA49" s="34"/>
      <c r="DD49" s="34"/>
      <c r="DE49" s="34"/>
      <c r="DF49" s="34"/>
      <c r="DG49" s="34"/>
      <c r="DH49" s="34"/>
      <c r="DI49" s="34"/>
      <c r="DJ49" s="34"/>
      <c r="DK49" s="34"/>
      <c r="DL49" s="34"/>
      <c r="DM49" s="34"/>
      <c r="DN49" s="34"/>
      <c r="DO49" s="34"/>
      <c r="DP49" s="34"/>
      <c r="DQ49" s="34"/>
      <c r="DR49" s="34"/>
      <c r="DS49" s="34"/>
      <c r="DT49" s="34"/>
      <c r="DU49" s="34"/>
      <c r="DV49" s="34"/>
    </row>
    <row r="50" spans="9:126">
      <c r="I50" s="35"/>
      <c r="J50" s="134"/>
      <c r="L50" s="35"/>
      <c r="M50" s="35"/>
      <c r="N50" s="67"/>
      <c r="S50" s="72"/>
      <c r="T50" s="72"/>
      <c r="U50" s="72"/>
      <c r="V50" s="72"/>
      <c r="W50" s="72"/>
      <c r="X50" s="72"/>
      <c r="Y50" s="72"/>
      <c r="Z50" s="72"/>
      <c r="AA50" s="72"/>
      <c r="AB50" s="72"/>
      <c r="AC50" s="72"/>
      <c r="AD50" s="72"/>
      <c r="AE50" s="72"/>
      <c r="AF50" s="72"/>
      <c r="AG50" s="72"/>
      <c r="AI50" s="35">
        <f t="shared" si="10"/>
        <v>1.1772822502547613</v>
      </c>
      <c r="AJ50" t="b">
        <f t="shared" si="9"/>
        <v>0</v>
      </c>
      <c r="AK50" s="158">
        <v>44616</v>
      </c>
      <c r="AL50" s="139">
        <f t="shared" si="11"/>
        <v>18600</v>
      </c>
      <c r="AM50" s="34">
        <v>142950</v>
      </c>
      <c r="AN50" s="137">
        <v>97</v>
      </c>
      <c r="AO50" s="34">
        <v>0.19</v>
      </c>
      <c r="AP50" s="139">
        <v>18600</v>
      </c>
      <c r="AQ50" s="34">
        <v>17.91</v>
      </c>
      <c r="AR50" t="s">
        <v>502</v>
      </c>
      <c r="AS50" s="138">
        <v>993.8</v>
      </c>
      <c r="AT50" s="34">
        <v>-0.81</v>
      </c>
      <c r="AU50" s="34">
        <v>17600</v>
      </c>
      <c r="AV50" s="34">
        <v>-3.83</v>
      </c>
      <c r="AW50" s="34">
        <v>14.54</v>
      </c>
      <c r="AX50" s="34">
        <v>2.7999999999999998E-4</v>
      </c>
      <c r="AZ50" s="148">
        <f t="shared" si="52"/>
        <v>19785.714285714286</v>
      </c>
      <c r="BA50" s="34">
        <f t="shared" si="46"/>
        <v>-730685.71428571502</v>
      </c>
      <c r="BB50" s="34"/>
      <c r="BC50" s="34">
        <f t="shared" si="47"/>
        <v>0</v>
      </c>
      <c r="BD50" s="34">
        <f t="shared" si="47"/>
        <v>0</v>
      </c>
      <c r="BE50" s="34">
        <f t="shared" si="47"/>
        <v>0</v>
      </c>
      <c r="BF50" s="34">
        <f t="shared" si="47"/>
        <v>0</v>
      </c>
      <c r="BG50" s="34">
        <f t="shared" si="47"/>
        <v>18000</v>
      </c>
      <c r="BH50" s="34">
        <f t="shared" si="47"/>
        <v>25500</v>
      </c>
      <c r="BI50" s="34">
        <f t="shared" si="47"/>
        <v>-13700</v>
      </c>
      <c r="BJ50" s="34">
        <f t="shared" si="57"/>
        <v>0</v>
      </c>
      <c r="BK50" s="34">
        <f t="shared" si="57"/>
        <v>0</v>
      </c>
      <c r="BL50" s="34">
        <f t="shared" si="57"/>
        <v>0</v>
      </c>
      <c r="BM50" s="34">
        <f t="shared" si="57"/>
        <v>0</v>
      </c>
      <c r="BN50" s="34">
        <f t="shared" si="57"/>
        <v>0</v>
      </c>
      <c r="BO50" s="34">
        <f t="shared" si="48"/>
        <v>0</v>
      </c>
      <c r="BP50" s="34">
        <f t="shared" si="48"/>
        <v>76085.714285714319</v>
      </c>
      <c r="BQ50" s="34">
        <f t="shared" si="48"/>
        <v>-836571.42857142934</v>
      </c>
      <c r="BR50" s="34">
        <f t="shared" si="48"/>
        <v>0</v>
      </c>
      <c r="BS50" s="34">
        <f t="shared" si="48"/>
        <v>0</v>
      </c>
      <c r="BT50" s="34">
        <f t="shared" si="48"/>
        <v>0</v>
      </c>
      <c r="BU50" s="34" t="e">
        <f t="shared" si="48"/>
        <v>#N/A</v>
      </c>
      <c r="BW50" s="148">
        <f t="shared" si="53"/>
        <v>41221.428571428572</v>
      </c>
      <c r="BX50" s="34">
        <f t="shared" si="49"/>
        <v>0</v>
      </c>
      <c r="BY50" s="34"/>
      <c r="BZ50" s="34" t="e">
        <f t="shared" si="58"/>
        <v>#N/A</v>
      </c>
      <c r="CA50" s="34" t="e">
        <f t="shared" si="58"/>
        <v>#N/A</v>
      </c>
      <c r="CB50" s="34" t="e">
        <f t="shared" si="58"/>
        <v>#N/A</v>
      </c>
      <c r="CC50" s="34" t="e">
        <f t="shared" si="58"/>
        <v>#N/A</v>
      </c>
      <c r="CD50" s="34">
        <f t="shared" si="58"/>
        <v>0</v>
      </c>
      <c r="CE50" s="34">
        <f t="shared" si="58"/>
        <v>0</v>
      </c>
      <c r="CF50" s="34">
        <f t="shared" si="58"/>
        <v>0</v>
      </c>
      <c r="CG50" s="34">
        <f t="shared" si="58"/>
        <v>0</v>
      </c>
      <c r="CH50" s="34">
        <f t="shared" si="58"/>
        <v>0</v>
      </c>
      <c r="CI50" s="34">
        <f t="shared" si="58"/>
        <v>0</v>
      </c>
      <c r="CJ50" s="34">
        <f t="shared" si="58"/>
        <v>0</v>
      </c>
      <c r="CK50" s="34">
        <f t="shared" si="58"/>
        <v>0</v>
      </c>
      <c r="CL50" s="34" t="e">
        <f t="shared" si="59"/>
        <v>#N/A</v>
      </c>
      <c r="CM50" s="34" t="e">
        <f t="shared" si="59"/>
        <v>#N/A</v>
      </c>
      <c r="CN50" s="34">
        <f t="shared" si="59"/>
        <v>0</v>
      </c>
      <c r="CO50" s="34">
        <f t="shared" si="59"/>
        <v>0</v>
      </c>
      <c r="CP50" s="34">
        <f t="shared" si="59"/>
        <v>0</v>
      </c>
      <c r="CQ50" s="34">
        <f t="shared" si="59"/>
        <v>0</v>
      </c>
      <c r="CR50" s="34" t="e">
        <f t="shared" si="59"/>
        <v>#N/A</v>
      </c>
      <c r="CS50" s="34"/>
      <c r="CT50" s="34"/>
      <c r="CU50" s="34"/>
      <c r="CV50" s="34"/>
      <c r="CW50" s="34"/>
      <c r="CX50" s="34"/>
      <c r="CY50" s="34"/>
      <c r="CZ50" s="34"/>
      <c r="DA50" s="34"/>
      <c r="DD50" s="34"/>
      <c r="DE50" s="34"/>
      <c r="DF50" s="34"/>
      <c r="DG50" s="34"/>
      <c r="DH50" s="34"/>
      <c r="DI50" s="34"/>
      <c r="DJ50" s="34"/>
      <c r="DK50" s="34"/>
      <c r="DL50" s="34"/>
      <c r="DM50" s="34"/>
      <c r="DN50" s="34"/>
      <c r="DO50" s="34"/>
      <c r="DP50" s="34"/>
      <c r="DQ50" s="34"/>
      <c r="DR50" s="34"/>
      <c r="DS50" s="34"/>
      <c r="DT50" s="34"/>
      <c r="DU50" s="34"/>
      <c r="DV50" s="34"/>
    </row>
    <row r="51" spans="9:126">
      <c r="I51" s="35"/>
      <c r="J51" s="134"/>
      <c r="L51" s="35"/>
      <c r="M51" s="35"/>
      <c r="N51" s="67"/>
      <c r="S51" s="72"/>
      <c r="T51" s="72"/>
      <c r="U51" s="72"/>
      <c r="V51" s="72"/>
      <c r="W51" s="72"/>
      <c r="X51" s="72"/>
      <c r="Y51" s="72"/>
      <c r="Z51" s="72"/>
      <c r="AA51" s="72"/>
      <c r="AB51" s="72"/>
      <c r="AC51" s="72"/>
      <c r="AD51" s="72"/>
      <c r="AE51" s="72"/>
      <c r="AF51" s="72"/>
      <c r="AG51" s="72"/>
      <c r="AI51" s="35">
        <f t="shared" si="10"/>
        <v>1.180446987486629</v>
      </c>
      <c r="AJ51" t="b">
        <f t="shared" si="9"/>
        <v>0</v>
      </c>
      <c r="AK51" s="158">
        <v>44616</v>
      </c>
      <c r="AL51" s="139">
        <f t="shared" si="11"/>
        <v>18650</v>
      </c>
      <c r="AM51" s="34">
        <v>5750</v>
      </c>
      <c r="AN51" s="137">
        <v>88.35</v>
      </c>
      <c r="AO51" s="34">
        <v>0.17</v>
      </c>
      <c r="AP51" s="139">
        <v>18650</v>
      </c>
      <c r="AQ51" s="34">
        <v>17.89</v>
      </c>
      <c r="AR51" t="s">
        <v>502</v>
      </c>
      <c r="AS51" s="138">
        <v>998.4</v>
      </c>
      <c r="AT51" s="34">
        <v>-0.83</v>
      </c>
      <c r="AU51" s="34">
        <v>1250</v>
      </c>
      <c r="AV51" s="34">
        <v>-3.65</v>
      </c>
      <c r="AW51" s="34">
        <v>13.88</v>
      </c>
      <c r="AX51" s="34">
        <v>2.7E-4</v>
      </c>
      <c r="AZ51" s="148">
        <f t="shared" si="52"/>
        <v>19885.714285714286</v>
      </c>
      <c r="BA51" s="34">
        <f t="shared" si="46"/>
        <v>-875685.71428571502</v>
      </c>
      <c r="BB51" s="34"/>
      <c r="BC51" s="34">
        <f t="shared" si="47"/>
        <v>0</v>
      </c>
      <c r="BD51" s="34">
        <f t="shared" si="47"/>
        <v>0</v>
      </c>
      <c r="BE51" s="34">
        <f t="shared" si="47"/>
        <v>0</v>
      </c>
      <c r="BF51" s="34">
        <f t="shared" si="47"/>
        <v>0</v>
      </c>
      <c r="BG51" s="34">
        <f t="shared" si="47"/>
        <v>18000</v>
      </c>
      <c r="BH51" s="34">
        <f t="shared" si="47"/>
        <v>25500</v>
      </c>
      <c r="BI51" s="34">
        <f t="shared" si="47"/>
        <v>-13700</v>
      </c>
      <c r="BJ51" s="34">
        <f t="shared" si="57"/>
        <v>0</v>
      </c>
      <c r="BK51" s="34">
        <f t="shared" si="57"/>
        <v>0</v>
      </c>
      <c r="BL51" s="34">
        <f t="shared" si="57"/>
        <v>0</v>
      </c>
      <c r="BM51" s="34">
        <f t="shared" si="57"/>
        <v>0</v>
      </c>
      <c r="BN51" s="34">
        <f t="shared" si="57"/>
        <v>0</v>
      </c>
      <c r="BO51" s="34">
        <f t="shared" si="48"/>
        <v>0</v>
      </c>
      <c r="BP51" s="34">
        <f t="shared" si="48"/>
        <v>81085.714285714319</v>
      </c>
      <c r="BQ51" s="34">
        <f t="shared" si="48"/>
        <v>-986571.42857142934</v>
      </c>
      <c r="BR51" s="34">
        <f t="shared" si="48"/>
        <v>0</v>
      </c>
      <c r="BS51" s="34">
        <f t="shared" si="48"/>
        <v>0</v>
      </c>
      <c r="BT51" s="34">
        <f t="shared" si="48"/>
        <v>0</v>
      </c>
      <c r="BU51" s="34" t="e">
        <f t="shared" si="48"/>
        <v>#N/A</v>
      </c>
      <c r="BW51" s="148">
        <f t="shared" si="53"/>
        <v>41271.428571428572</v>
      </c>
      <c r="BX51" s="34">
        <f t="shared" si="49"/>
        <v>0</v>
      </c>
      <c r="BY51" s="34"/>
      <c r="BZ51" s="34" t="e">
        <f t="shared" si="58"/>
        <v>#N/A</v>
      </c>
      <c r="CA51" s="34" t="e">
        <f t="shared" si="58"/>
        <v>#N/A</v>
      </c>
      <c r="CB51" s="34" t="e">
        <f t="shared" si="58"/>
        <v>#N/A</v>
      </c>
      <c r="CC51" s="34" t="e">
        <f t="shared" si="58"/>
        <v>#N/A</v>
      </c>
      <c r="CD51" s="34">
        <f t="shared" si="58"/>
        <v>0</v>
      </c>
      <c r="CE51" s="34">
        <f t="shared" si="58"/>
        <v>0</v>
      </c>
      <c r="CF51" s="34">
        <f t="shared" si="58"/>
        <v>0</v>
      </c>
      <c r="CG51" s="34">
        <f t="shared" si="58"/>
        <v>0</v>
      </c>
      <c r="CH51" s="34">
        <f t="shared" si="58"/>
        <v>0</v>
      </c>
      <c r="CI51" s="34">
        <f t="shared" si="58"/>
        <v>0</v>
      </c>
      <c r="CJ51" s="34">
        <f t="shared" si="58"/>
        <v>0</v>
      </c>
      <c r="CK51" s="34">
        <f t="shared" si="58"/>
        <v>0</v>
      </c>
      <c r="CL51" s="34" t="e">
        <f t="shared" si="59"/>
        <v>#N/A</v>
      </c>
      <c r="CM51" s="34" t="e">
        <f t="shared" si="59"/>
        <v>#N/A</v>
      </c>
      <c r="CN51" s="34">
        <f t="shared" si="59"/>
        <v>0</v>
      </c>
      <c r="CO51" s="34">
        <f t="shared" si="59"/>
        <v>0</v>
      </c>
      <c r="CP51" s="34">
        <f t="shared" si="59"/>
        <v>0</v>
      </c>
      <c r="CQ51" s="34">
        <f t="shared" si="59"/>
        <v>0</v>
      </c>
      <c r="CR51" s="34" t="e">
        <f t="shared" si="59"/>
        <v>#N/A</v>
      </c>
      <c r="CS51" s="34"/>
      <c r="CT51" s="34"/>
      <c r="CU51" s="34"/>
      <c r="CV51" s="34"/>
      <c r="CW51" s="34"/>
      <c r="CX51" s="34"/>
      <c r="CY51" s="34"/>
      <c r="CZ51" s="34"/>
      <c r="DA51" s="34"/>
      <c r="DD51" s="34"/>
      <c r="DE51" s="34"/>
      <c r="DF51" s="34"/>
      <c r="DG51" s="34"/>
      <c r="DH51" s="34"/>
      <c r="DI51" s="34"/>
      <c r="DJ51" s="34"/>
      <c r="DK51" s="34"/>
      <c r="DL51" s="34"/>
      <c r="DM51" s="34"/>
      <c r="DN51" s="34"/>
      <c r="DO51" s="34"/>
      <c r="DP51" s="34"/>
      <c r="DQ51" s="34"/>
      <c r="DR51" s="34"/>
      <c r="DS51" s="34"/>
      <c r="DT51" s="34"/>
      <c r="DU51" s="34"/>
      <c r="DV51" s="34"/>
    </row>
    <row r="52" spans="9:126">
      <c r="I52" s="35"/>
      <c r="J52" s="134"/>
      <c r="L52" s="35"/>
      <c r="M52" s="35"/>
      <c r="N52" s="67"/>
      <c r="S52" s="72"/>
      <c r="T52" s="72"/>
      <c r="U52" s="72"/>
      <c r="V52" s="72"/>
      <c r="W52" s="72"/>
      <c r="X52" s="72"/>
      <c r="Y52" s="72"/>
      <c r="Z52" s="72"/>
      <c r="AA52" s="72"/>
      <c r="AB52" s="72"/>
      <c r="AC52" s="72"/>
      <c r="AD52" s="72"/>
      <c r="AE52" s="72"/>
      <c r="AF52" s="72"/>
      <c r="AG52" s="72"/>
      <c r="AI52" s="35">
        <f t="shared" si="10"/>
        <v>1.1836117247184965</v>
      </c>
      <c r="AJ52" t="b">
        <f t="shared" si="9"/>
        <v>0</v>
      </c>
      <c r="AK52" s="158">
        <v>44616</v>
      </c>
      <c r="AL52" s="139">
        <f t="shared" si="11"/>
        <v>18700</v>
      </c>
      <c r="AM52" s="34">
        <v>141650</v>
      </c>
      <c r="AN52" s="137">
        <v>80.099999999999994</v>
      </c>
      <c r="AO52" s="34">
        <v>0.16</v>
      </c>
      <c r="AP52" s="139">
        <v>18700</v>
      </c>
      <c r="AQ52" s="34">
        <v>17.850000000000001</v>
      </c>
      <c r="AR52" t="s">
        <v>502</v>
      </c>
      <c r="AS52" s="138">
        <v>1082.55</v>
      </c>
      <c r="AT52" s="34">
        <v>-0.84</v>
      </c>
      <c r="AU52" s="34">
        <v>8000</v>
      </c>
      <c r="AV52" s="34">
        <v>-3.47</v>
      </c>
      <c r="AW52" s="34">
        <v>13.22</v>
      </c>
      <c r="AX52" s="34">
        <v>2.5000000000000001E-4</v>
      </c>
      <c r="AZ52" s="148">
        <f t="shared" si="52"/>
        <v>19985.714285714286</v>
      </c>
      <c r="BA52" s="34">
        <f t="shared" si="46"/>
        <v>-1020685.714285715</v>
      </c>
      <c r="BB52" s="34"/>
      <c r="BC52" s="34">
        <f t="shared" si="47"/>
        <v>0</v>
      </c>
      <c r="BD52" s="34">
        <f t="shared" si="47"/>
        <v>0</v>
      </c>
      <c r="BE52" s="34">
        <f t="shared" si="47"/>
        <v>0</v>
      </c>
      <c r="BF52" s="34">
        <f t="shared" si="47"/>
        <v>0</v>
      </c>
      <c r="BG52" s="34">
        <f t="shared" si="47"/>
        <v>18000</v>
      </c>
      <c r="BH52" s="34">
        <f t="shared" si="47"/>
        <v>25500</v>
      </c>
      <c r="BI52" s="34">
        <f t="shared" si="47"/>
        <v>-13700</v>
      </c>
      <c r="BJ52" s="34">
        <f t="shared" si="57"/>
        <v>0</v>
      </c>
      <c r="BK52" s="34">
        <f t="shared" si="57"/>
        <v>0</v>
      </c>
      <c r="BL52" s="34">
        <f t="shared" si="57"/>
        <v>0</v>
      </c>
      <c r="BM52" s="34">
        <f t="shared" si="57"/>
        <v>0</v>
      </c>
      <c r="BN52" s="34">
        <f t="shared" si="57"/>
        <v>0</v>
      </c>
      <c r="BO52" s="34">
        <f t="shared" si="48"/>
        <v>0</v>
      </c>
      <c r="BP52" s="34">
        <f t="shared" si="48"/>
        <v>86085.714285714319</v>
      </c>
      <c r="BQ52" s="34">
        <f t="shared" si="48"/>
        <v>-1136571.4285714293</v>
      </c>
      <c r="BR52" s="34">
        <f t="shared" si="48"/>
        <v>0</v>
      </c>
      <c r="BS52" s="34">
        <f t="shared" si="48"/>
        <v>0</v>
      </c>
      <c r="BT52" s="34">
        <f t="shared" si="48"/>
        <v>0</v>
      </c>
      <c r="BU52" s="34" t="e">
        <f t="shared" si="48"/>
        <v>#N/A</v>
      </c>
      <c r="BW52" s="148">
        <f t="shared" si="53"/>
        <v>41321.428571428572</v>
      </c>
      <c r="BX52" s="34">
        <f t="shared" si="49"/>
        <v>0</v>
      </c>
      <c r="BY52" s="34"/>
      <c r="BZ52" s="34" t="e">
        <f t="shared" si="58"/>
        <v>#N/A</v>
      </c>
      <c r="CA52" s="34" t="e">
        <f t="shared" si="58"/>
        <v>#N/A</v>
      </c>
      <c r="CB52" s="34" t="e">
        <f t="shared" si="58"/>
        <v>#N/A</v>
      </c>
      <c r="CC52" s="34" t="e">
        <f t="shared" si="58"/>
        <v>#N/A</v>
      </c>
      <c r="CD52" s="34">
        <f t="shared" si="58"/>
        <v>0</v>
      </c>
      <c r="CE52" s="34">
        <f t="shared" si="58"/>
        <v>0</v>
      </c>
      <c r="CF52" s="34">
        <f t="shared" si="58"/>
        <v>0</v>
      </c>
      <c r="CG52" s="34">
        <f t="shared" si="58"/>
        <v>0</v>
      </c>
      <c r="CH52" s="34">
        <f t="shared" si="58"/>
        <v>0</v>
      </c>
      <c r="CI52" s="34">
        <f t="shared" si="58"/>
        <v>0</v>
      </c>
      <c r="CJ52" s="34">
        <f t="shared" si="58"/>
        <v>0</v>
      </c>
      <c r="CK52" s="34">
        <f t="shared" si="58"/>
        <v>0</v>
      </c>
      <c r="CL52" s="34" t="e">
        <f t="shared" si="59"/>
        <v>#N/A</v>
      </c>
      <c r="CM52" s="34" t="e">
        <f t="shared" si="59"/>
        <v>#N/A</v>
      </c>
      <c r="CN52" s="34">
        <f t="shared" si="59"/>
        <v>0</v>
      </c>
      <c r="CO52" s="34">
        <f t="shared" si="59"/>
        <v>0</v>
      </c>
      <c r="CP52" s="34">
        <f t="shared" si="59"/>
        <v>0</v>
      </c>
      <c r="CQ52" s="34">
        <f t="shared" si="59"/>
        <v>0</v>
      </c>
      <c r="CR52" s="34" t="e">
        <f t="shared" si="59"/>
        <v>#N/A</v>
      </c>
      <c r="CS52" s="34"/>
      <c r="CT52" s="34"/>
      <c r="CU52" s="34"/>
      <c r="CV52" s="34"/>
      <c r="CW52" s="34"/>
      <c r="CX52" s="34"/>
      <c r="CY52" s="34"/>
      <c r="CZ52" s="34"/>
      <c r="DA52" s="34"/>
      <c r="DD52" s="34"/>
      <c r="DE52" s="34"/>
      <c r="DF52" s="34"/>
      <c r="DG52" s="34"/>
      <c r="DH52" s="34"/>
      <c r="DI52" s="34"/>
      <c r="DJ52" s="34"/>
      <c r="DK52" s="34"/>
      <c r="DL52" s="34"/>
      <c r="DM52" s="34"/>
      <c r="DN52" s="34"/>
      <c r="DO52" s="34"/>
      <c r="DP52" s="34"/>
      <c r="DQ52" s="34"/>
      <c r="DR52" s="34"/>
      <c r="DS52" s="34"/>
      <c r="DT52" s="34"/>
      <c r="DU52" s="34"/>
      <c r="DV52" s="34"/>
    </row>
    <row r="53" spans="9:126">
      <c r="I53" s="35"/>
      <c r="J53" s="134"/>
      <c r="L53" s="35"/>
      <c r="M53" s="35"/>
      <c r="N53" s="67"/>
      <c r="S53" s="72"/>
      <c r="T53" s="72"/>
      <c r="U53" s="72"/>
      <c r="V53" s="72"/>
      <c r="W53" s="72"/>
      <c r="X53" s="72"/>
      <c r="Y53" s="72"/>
      <c r="Z53" s="72"/>
      <c r="AA53" s="72"/>
      <c r="AB53" s="72"/>
      <c r="AC53" s="72"/>
      <c r="AD53" s="72"/>
      <c r="AE53" s="72"/>
      <c r="AF53" s="72"/>
      <c r="AG53" s="72"/>
      <c r="AI53" s="35">
        <f t="shared" si="10"/>
        <v>1.1867764619503642</v>
      </c>
      <c r="AJ53" t="b">
        <f t="shared" si="9"/>
        <v>0</v>
      </c>
      <c r="AK53" s="158">
        <v>44616</v>
      </c>
      <c r="AL53" s="139">
        <f t="shared" si="11"/>
        <v>18750</v>
      </c>
      <c r="AM53" s="34">
        <v>6150</v>
      </c>
      <c r="AN53" s="137">
        <v>72.7</v>
      </c>
      <c r="AO53" s="34">
        <v>0.15</v>
      </c>
      <c r="AP53" s="139">
        <v>18750</v>
      </c>
      <c r="AQ53" s="34">
        <v>17.829999999999998</v>
      </c>
      <c r="AR53" t="s">
        <v>502</v>
      </c>
      <c r="AS53" s="138">
        <v>1074.8</v>
      </c>
      <c r="AT53" s="34">
        <v>-0.85</v>
      </c>
      <c r="AU53" s="34">
        <v>1450</v>
      </c>
      <c r="AV53" s="34">
        <v>-3.29</v>
      </c>
      <c r="AW53" s="34">
        <v>12.56</v>
      </c>
      <c r="AX53" s="34">
        <v>2.4000000000000001E-4</v>
      </c>
      <c r="AZ53" s="148">
        <f t="shared" si="52"/>
        <v>20085.714285714286</v>
      </c>
      <c r="BA53" s="34">
        <f t="shared" si="46"/>
        <v>-1165685.714285715</v>
      </c>
      <c r="BB53" s="34"/>
      <c r="BC53" s="34">
        <f t="shared" si="47"/>
        <v>0</v>
      </c>
      <c r="BD53" s="34">
        <f t="shared" si="47"/>
        <v>0</v>
      </c>
      <c r="BE53" s="34">
        <f t="shared" si="47"/>
        <v>0</v>
      </c>
      <c r="BF53" s="34">
        <f t="shared" si="47"/>
        <v>0</v>
      </c>
      <c r="BG53" s="34">
        <f t="shared" si="47"/>
        <v>18000</v>
      </c>
      <c r="BH53" s="34">
        <f t="shared" si="47"/>
        <v>25500</v>
      </c>
      <c r="BI53" s="34">
        <f t="shared" si="47"/>
        <v>-13700</v>
      </c>
      <c r="BJ53" s="34">
        <f t="shared" si="57"/>
        <v>0</v>
      </c>
      <c r="BK53" s="34">
        <f t="shared" si="57"/>
        <v>0</v>
      </c>
      <c r="BL53" s="34">
        <f t="shared" si="57"/>
        <v>0</v>
      </c>
      <c r="BM53" s="34">
        <f t="shared" si="57"/>
        <v>0</v>
      </c>
      <c r="BN53" s="34">
        <f t="shared" si="57"/>
        <v>0</v>
      </c>
      <c r="BO53" s="34">
        <f t="shared" si="48"/>
        <v>0</v>
      </c>
      <c r="BP53" s="34">
        <f t="shared" si="48"/>
        <v>91085.714285714319</v>
      </c>
      <c r="BQ53" s="34">
        <f t="shared" si="48"/>
        <v>-1286571.4285714293</v>
      </c>
      <c r="BR53" s="34">
        <f t="shared" si="48"/>
        <v>0</v>
      </c>
      <c r="BS53" s="34">
        <f t="shared" si="48"/>
        <v>0</v>
      </c>
      <c r="BT53" s="34">
        <f t="shared" si="48"/>
        <v>0</v>
      </c>
      <c r="BU53" s="34" t="e">
        <f t="shared" si="48"/>
        <v>#N/A</v>
      </c>
      <c r="BW53" s="148">
        <f t="shared" si="53"/>
        <v>41371.428571428572</v>
      </c>
      <c r="BX53" s="34">
        <f t="shared" si="49"/>
        <v>0</v>
      </c>
      <c r="BY53" s="34"/>
      <c r="BZ53" s="34" t="e">
        <f t="shared" si="58"/>
        <v>#N/A</v>
      </c>
      <c r="CA53" s="34" t="e">
        <f t="shared" si="58"/>
        <v>#N/A</v>
      </c>
      <c r="CB53" s="34" t="e">
        <f t="shared" si="58"/>
        <v>#N/A</v>
      </c>
      <c r="CC53" s="34" t="e">
        <f t="shared" si="58"/>
        <v>#N/A</v>
      </c>
      <c r="CD53" s="34">
        <f t="shared" si="58"/>
        <v>0</v>
      </c>
      <c r="CE53" s="34">
        <f t="shared" si="58"/>
        <v>0</v>
      </c>
      <c r="CF53" s="34">
        <f t="shared" si="58"/>
        <v>0</v>
      </c>
      <c r="CG53" s="34">
        <f t="shared" si="58"/>
        <v>0</v>
      </c>
      <c r="CH53" s="34">
        <f t="shared" si="58"/>
        <v>0</v>
      </c>
      <c r="CI53" s="34">
        <f t="shared" si="58"/>
        <v>0</v>
      </c>
      <c r="CJ53" s="34">
        <f t="shared" si="58"/>
        <v>0</v>
      </c>
      <c r="CK53" s="34">
        <f t="shared" si="58"/>
        <v>0</v>
      </c>
      <c r="CL53" s="34" t="e">
        <f t="shared" si="59"/>
        <v>#N/A</v>
      </c>
      <c r="CM53" s="34" t="e">
        <f t="shared" si="59"/>
        <v>#N/A</v>
      </c>
      <c r="CN53" s="34">
        <f t="shared" si="59"/>
        <v>0</v>
      </c>
      <c r="CO53" s="34">
        <f t="shared" si="59"/>
        <v>0</v>
      </c>
      <c r="CP53" s="34">
        <f t="shared" si="59"/>
        <v>0</v>
      </c>
      <c r="CQ53" s="34">
        <f t="shared" si="59"/>
        <v>0</v>
      </c>
      <c r="CR53" s="34" t="e">
        <f t="shared" si="59"/>
        <v>#N/A</v>
      </c>
      <c r="CS53" s="34"/>
      <c r="CT53" s="34"/>
      <c r="CU53" s="34"/>
      <c r="CV53" s="34"/>
      <c r="CW53" s="34"/>
      <c r="CX53" s="34"/>
      <c r="CY53" s="34"/>
      <c r="CZ53" s="34"/>
      <c r="DA53" s="34"/>
      <c r="DD53" s="34"/>
      <c r="DE53" s="34"/>
      <c r="DF53" s="34"/>
      <c r="DG53" s="34"/>
      <c r="DH53" s="34"/>
      <c r="DI53" s="34"/>
      <c r="DJ53" s="34"/>
      <c r="DK53" s="34"/>
      <c r="DL53" s="34"/>
      <c r="DM53" s="34"/>
      <c r="DN53" s="34"/>
      <c r="DO53" s="34"/>
      <c r="DP53" s="34"/>
      <c r="DQ53" s="34"/>
      <c r="DR53" s="34"/>
      <c r="DS53" s="34"/>
      <c r="DT53" s="34"/>
      <c r="DU53" s="34"/>
      <c r="DV53" s="34"/>
    </row>
    <row r="54" spans="9:126">
      <c r="I54" s="35"/>
      <c r="J54" s="134"/>
      <c r="L54" s="35"/>
      <c r="M54" s="35"/>
      <c r="N54" s="67"/>
      <c r="S54" s="72"/>
      <c r="T54" s="72"/>
      <c r="U54" s="72"/>
      <c r="V54" s="72"/>
      <c r="W54" s="72"/>
      <c r="X54" s="72"/>
      <c r="Y54" s="72"/>
      <c r="Z54" s="72"/>
      <c r="AA54" s="72"/>
      <c r="AB54" s="72"/>
      <c r="AC54" s="72"/>
      <c r="AD54" s="72"/>
      <c r="AE54" s="72"/>
      <c r="AF54" s="72"/>
      <c r="AG54" s="72"/>
      <c r="AI54" s="35">
        <f t="shared" si="10"/>
        <v>1.189941199182232</v>
      </c>
      <c r="AJ54" t="b">
        <f t="shared" si="9"/>
        <v>0</v>
      </c>
      <c r="AK54" s="158">
        <v>44616</v>
      </c>
      <c r="AL54" s="139">
        <f t="shared" si="11"/>
        <v>18800</v>
      </c>
      <c r="AM54" s="34">
        <v>223150</v>
      </c>
      <c r="AN54" s="137">
        <v>66</v>
      </c>
      <c r="AO54" s="34">
        <v>0.14000000000000001</v>
      </c>
      <c r="AP54" s="139">
        <v>18800</v>
      </c>
      <c r="AQ54" s="34">
        <v>17.82</v>
      </c>
      <c r="AR54" t="s">
        <v>502</v>
      </c>
      <c r="AS54" s="138">
        <v>1186.5</v>
      </c>
      <c r="AT54" s="34">
        <v>-0.86</v>
      </c>
      <c r="AU54" s="34">
        <v>7000</v>
      </c>
      <c r="AV54" s="34">
        <v>-3.12</v>
      </c>
      <c r="AW54" s="34">
        <v>11.91</v>
      </c>
      <c r="AX54" s="34">
        <v>2.3000000000000001E-4</v>
      </c>
      <c r="AZ54" s="148">
        <f t="shared" si="52"/>
        <v>20185.714285714286</v>
      </c>
      <c r="BA54" s="34">
        <f t="shared" si="46"/>
        <v>-1310685.714285715</v>
      </c>
      <c r="BB54" s="34"/>
      <c r="BC54" s="34">
        <f t="shared" si="47"/>
        <v>0</v>
      </c>
      <c r="BD54" s="34">
        <f t="shared" si="47"/>
        <v>0</v>
      </c>
      <c r="BE54" s="34">
        <f t="shared" si="47"/>
        <v>0</v>
      </c>
      <c r="BF54" s="34">
        <f t="shared" si="47"/>
        <v>0</v>
      </c>
      <c r="BG54" s="34">
        <f t="shared" si="47"/>
        <v>18000</v>
      </c>
      <c r="BH54" s="34">
        <f t="shared" si="47"/>
        <v>25500</v>
      </c>
      <c r="BI54" s="34">
        <f t="shared" si="47"/>
        <v>-13700</v>
      </c>
      <c r="BJ54" s="34">
        <f t="shared" si="57"/>
        <v>0</v>
      </c>
      <c r="BK54" s="34">
        <f t="shared" si="57"/>
        <v>0</v>
      </c>
      <c r="BL54" s="34">
        <f t="shared" si="57"/>
        <v>0</v>
      </c>
      <c r="BM54" s="34">
        <f t="shared" si="57"/>
        <v>0</v>
      </c>
      <c r="BN54" s="34">
        <f t="shared" si="57"/>
        <v>0</v>
      </c>
      <c r="BO54" s="34">
        <f t="shared" si="48"/>
        <v>0</v>
      </c>
      <c r="BP54" s="34">
        <f t="shared" si="48"/>
        <v>96085.714285714319</v>
      </c>
      <c r="BQ54" s="34">
        <f t="shared" si="48"/>
        <v>-1436571.4285714293</v>
      </c>
      <c r="BR54" s="34">
        <f t="shared" si="48"/>
        <v>0</v>
      </c>
      <c r="BS54" s="34">
        <f t="shared" si="48"/>
        <v>0</v>
      </c>
      <c r="BT54" s="34">
        <f t="shared" si="48"/>
        <v>0</v>
      </c>
      <c r="BU54" s="34" t="e">
        <f t="shared" si="48"/>
        <v>#N/A</v>
      </c>
      <c r="BW54" s="148">
        <f t="shared" si="53"/>
        <v>41421.428571428572</v>
      </c>
      <c r="BX54" s="34">
        <f t="shared" si="49"/>
        <v>0</v>
      </c>
      <c r="BY54" s="34"/>
      <c r="BZ54" s="34" t="e">
        <f t="shared" si="58"/>
        <v>#N/A</v>
      </c>
      <c r="CA54" s="34" t="e">
        <f t="shared" si="58"/>
        <v>#N/A</v>
      </c>
      <c r="CB54" s="34" t="e">
        <f t="shared" si="58"/>
        <v>#N/A</v>
      </c>
      <c r="CC54" s="34" t="e">
        <f t="shared" si="58"/>
        <v>#N/A</v>
      </c>
      <c r="CD54" s="34">
        <f t="shared" si="58"/>
        <v>0</v>
      </c>
      <c r="CE54" s="34">
        <f t="shared" si="58"/>
        <v>0</v>
      </c>
      <c r="CF54" s="34">
        <f t="shared" si="58"/>
        <v>0</v>
      </c>
      <c r="CG54" s="34">
        <f t="shared" si="58"/>
        <v>0</v>
      </c>
      <c r="CH54" s="34">
        <f t="shared" si="58"/>
        <v>0</v>
      </c>
      <c r="CI54" s="34">
        <f t="shared" si="58"/>
        <v>0</v>
      </c>
      <c r="CJ54" s="34">
        <f t="shared" si="58"/>
        <v>0</v>
      </c>
      <c r="CK54" s="34">
        <f t="shared" si="58"/>
        <v>0</v>
      </c>
      <c r="CL54" s="34" t="e">
        <f t="shared" si="59"/>
        <v>#N/A</v>
      </c>
      <c r="CM54" s="34" t="e">
        <f t="shared" si="59"/>
        <v>#N/A</v>
      </c>
      <c r="CN54" s="34">
        <f t="shared" si="59"/>
        <v>0</v>
      </c>
      <c r="CO54" s="34">
        <f t="shared" si="59"/>
        <v>0</v>
      </c>
      <c r="CP54" s="34">
        <f t="shared" si="59"/>
        <v>0</v>
      </c>
      <c r="CQ54" s="34">
        <f t="shared" si="59"/>
        <v>0</v>
      </c>
      <c r="CR54" s="34" t="e">
        <f t="shared" si="59"/>
        <v>#N/A</v>
      </c>
      <c r="CS54" s="34"/>
      <c r="CT54" s="34"/>
      <c r="CU54" s="34"/>
      <c r="CV54" s="34"/>
      <c r="CW54" s="34"/>
      <c r="CX54" s="34"/>
      <c r="CY54" s="34"/>
      <c r="CZ54" s="34"/>
      <c r="DA54" s="34"/>
      <c r="DD54" s="34"/>
      <c r="DE54" s="34"/>
      <c r="DF54" s="34"/>
      <c r="DG54" s="34"/>
      <c r="DH54" s="34"/>
      <c r="DI54" s="34"/>
      <c r="DJ54" s="34"/>
      <c r="DK54" s="34"/>
      <c r="DL54" s="34"/>
      <c r="DM54" s="34"/>
      <c r="DN54" s="34"/>
      <c r="DO54" s="34"/>
      <c r="DP54" s="34"/>
      <c r="DQ54" s="34"/>
      <c r="DR54" s="34"/>
      <c r="DS54" s="34"/>
      <c r="DT54" s="34"/>
      <c r="DU54" s="34"/>
      <c r="DV54" s="34"/>
    </row>
    <row r="55" spans="9:126">
      <c r="I55" s="35"/>
      <c r="J55" s="134"/>
      <c r="L55" s="35"/>
      <c r="M55" s="35"/>
      <c r="N55" s="67"/>
      <c r="S55" s="72"/>
      <c r="T55" s="72"/>
      <c r="U55" s="72"/>
      <c r="V55" s="72"/>
      <c r="W55" s="72"/>
      <c r="X55" s="72"/>
      <c r="Y55" s="72"/>
      <c r="Z55" s="72"/>
      <c r="AA55" s="72"/>
      <c r="AB55" s="72"/>
      <c r="AC55" s="72"/>
      <c r="AD55" s="72"/>
      <c r="AE55" s="72"/>
      <c r="AF55" s="72"/>
      <c r="AG55" s="72"/>
      <c r="AI55" s="35">
        <f t="shared" si="10"/>
        <v>1.1931059364140995</v>
      </c>
      <c r="AJ55" t="b">
        <f t="shared" si="9"/>
        <v>0</v>
      </c>
      <c r="AK55" s="158">
        <v>44616</v>
      </c>
      <c r="AL55" s="139">
        <f t="shared" si="11"/>
        <v>18850</v>
      </c>
      <c r="AM55" s="34">
        <v>47050</v>
      </c>
      <c r="AN55" s="137">
        <v>59.5</v>
      </c>
      <c r="AO55" s="34">
        <v>0.13</v>
      </c>
      <c r="AP55" s="139">
        <v>18850</v>
      </c>
      <c r="AQ55" s="34">
        <v>17.79</v>
      </c>
      <c r="AR55" t="s">
        <v>502</v>
      </c>
      <c r="AS55" s="138">
        <v>1154.1500000000001</v>
      </c>
      <c r="AT55" s="34">
        <v>-0.87</v>
      </c>
      <c r="AU55" s="34">
        <v>1150</v>
      </c>
      <c r="AV55" s="34">
        <v>-2.94</v>
      </c>
      <c r="AW55" s="34">
        <v>11.25</v>
      </c>
      <c r="AX55" s="34">
        <v>2.2000000000000001E-4</v>
      </c>
      <c r="AZ55" s="148"/>
      <c r="BA55" s="34"/>
      <c r="BB55" s="34"/>
      <c r="BC55" s="34"/>
      <c r="BD55" s="34"/>
      <c r="BE55" s="34"/>
      <c r="BF55" s="34"/>
      <c r="BG55" s="34"/>
      <c r="BH55" s="34"/>
      <c r="BI55" s="34"/>
      <c r="BJ55" s="34"/>
      <c r="BK55" s="34"/>
      <c r="BL55" s="34"/>
      <c r="BM55" s="34"/>
      <c r="BN55" s="34"/>
      <c r="BO55" s="34"/>
      <c r="BP55" s="34"/>
      <c r="BQ55" s="34"/>
      <c r="BR55" s="34"/>
      <c r="BS55" s="34"/>
      <c r="BT55" s="34"/>
      <c r="BU55" s="34"/>
      <c r="BW55" s="148"/>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D55" s="34"/>
      <c r="DE55" s="34"/>
      <c r="DF55" s="34"/>
      <c r="DG55" s="34"/>
      <c r="DH55" s="34"/>
      <c r="DI55" s="34"/>
      <c r="DJ55" s="34"/>
      <c r="DK55" s="34"/>
      <c r="DL55" s="34"/>
      <c r="DM55" s="34"/>
      <c r="DN55" s="34"/>
      <c r="DO55" s="34"/>
      <c r="DP55" s="34"/>
      <c r="DQ55" s="34"/>
      <c r="DR55" s="34"/>
      <c r="DS55" s="34"/>
      <c r="DT55" s="34"/>
      <c r="DU55" s="34"/>
      <c r="DV55" s="34"/>
    </row>
    <row r="56" spans="9:126">
      <c r="I56" s="35"/>
      <c r="J56" s="134"/>
      <c r="L56" s="35"/>
      <c r="M56" s="35"/>
      <c r="N56" s="67"/>
      <c r="S56" s="72"/>
      <c r="T56" s="72"/>
      <c r="U56" s="72"/>
      <c r="V56" s="72"/>
      <c r="W56" s="72"/>
      <c r="X56" s="72"/>
      <c r="Y56" s="72"/>
      <c r="Z56" s="72"/>
      <c r="AA56" s="72"/>
      <c r="AB56" s="72"/>
      <c r="AC56" s="72"/>
      <c r="AD56" s="72"/>
      <c r="AE56" s="72"/>
      <c r="AF56" s="72"/>
      <c r="AG56" s="72"/>
      <c r="AI56" s="35">
        <f t="shared" si="10"/>
        <v>1.1962706736459672</v>
      </c>
      <c r="AJ56" t="b">
        <f t="shared" si="9"/>
        <v>0</v>
      </c>
      <c r="AK56" s="158">
        <v>44616</v>
      </c>
      <c r="AL56" s="139">
        <f t="shared" si="11"/>
        <v>18900</v>
      </c>
      <c r="AM56" s="34">
        <v>148050</v>
      </c>
      <c r="AN56" s="137">
        <v>53.5</v>
      </c>
      <c r="AO56" s="34">
        <v>0.12</v>
      </c>
      <c r="AP56" s="139">
        <v>18900</v>
      </c>
      <c r="AQ56" s="34">
        <v>17.75</v>
      </c>
      <c r="AR56" t="s">
        <v>502</v>
      </c>
      <c r="AS56" s="138">
        <v>1239.45</v>
      </c>
      <c r="AT56" s="34">
        <v>-0.88</v>
      </c>
      <c r="AU56" s="34">
        <v>2600</v>
      </c>
      <c r="AV56" s="34">
        <v>-2.77</v>
      </c>
      <c r="AW56" s="34">
        <v>10.6</v>
      </c>
      <c r="AX56" s="34">
        <v>2.0000000000000001E-4</v>
      </c>
      <c r="AZ56" s="148"/>
      <c r="BA56" s="34"/>
      <c r="BB56" s="34"/>
      <c r="BC56" s="34"/>
      <c r="BD56" s="34"/>
      <c r="BE56" s="34"/>
      <c r="BF56" s="34"/>
      <c r="BG56" s="34"/>
      <c r="BH56" s="34"/>
      <c r="BI56" s="34"/>
      <c r="BJ56" s="34"/>
      <c r="BK56" s="34"/>
      <c r="BL56" s="34"/>
      <c r="BM56" s="34"/>
      <c r="BN56" s="34"/>
      <c r="BO56" s="34"/>
      <c r="BP56" s="34"/>
      <c r="BQ56" s="34"/>
      <c r="BR56" s="34"/>
      <c r="BS56" s="34"/>
      <c r="BT56" s="34"/>
      <c r="BU56" s="34"/>
      <c r="BW56" s="148"/>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D56" s="34"/>
      <c r="DE56" s="34"/>
      <c r="DF56" s="34"/>
      <c r="DG56" s="34"/>
      <c r="DH56" s="34"/>
      <c r="DI56" s="34"/>
      <c r="DJ56" s="34"/>
      <c r="DK56" s="34"/>
      <c r="DL56" s="34"/>
      <c r="DM56" s="34"/>
      <c r="DN56" s="34"/>
      <c r="DO56" s="34"/>
      <c r="DP56" s="34"/>
      <c r="DQ56" s="34"/>
      <c r="DR56" s="34"/>
      <c r="DS56" s="34"/>
      <c r="DT56" s="34"/>
      <c r="DU56" s="34"/>
      <c r="DV56" s="34"/>
    </row>
    <row r="57" spans="9:126">
      <c r="I57" s="35"/>
      <c r="J57" s="134"/>
      <c r="L57" s="35"/>
      <c r="M57" s="35"/>
      <c r="N57" s="67"/>
      <c r="S57" s="72"/>
      <c r="T57" s="72"/>
      <c r="U57" s="72"/>
      <c r="V57" s="72"/>
      <c r="W57" s="72"/>
      <c r="X57" s="72"/>
      <c r="Y57" s="72"/>
      <c r="Z57" s="72"/>
      <c r="AA57" s="72"/>
      <c r="AB57" s="72"/>
      <c r="AC57" s="72"/>
      <c r="AD57" s="72"/>
      <c r="AE57" s="72"/>
      <c r="AF57" s="72"/>
      <c r="AG57" s="72"/>
      <c r="AI57" s="35">
        <f t="shared" si="10"/>
        <v>1.1994354108778349</v>
      </c>
      <c r="AJ57" t="b">
        <f t="shared" si="9"/>
        <v>0</v>
      </c>
      <c r="AK57" s="158">
        <v>44616</v>
      </c>
      <c r="AL57" s="139">
        <f t="shared" si="11"/>
        <v>18950</v>
      </c>
      <c r="AM57" s="34">
        <v>6900</v>
      </c>
      <c r="AN57" s="137">
        <v>48</v>
      </c>
      <c r="AO57" s="34">
        <v>0.11</v>
      </c>
      <c r="AP57" s="139">
        <v>18950</v>
      </c>
      <c r="AQ57" s="34">
        <v>17.71</v>
      </c>
      <c r="AR57" t="s">
        <v>502</v>
      </c>
      <c r="AS57" s="138">
        <v>0</v>
      </c>
      <c r="AT57" s="34">
        <v>-0.89</v>
      </c>
      <c r="AU57" s="34">
        <v>0</v>
      </c>
      <c r="AV57" s="34">
        <v>-2.59</v>
      </c>
      <c r="AW57" s="34">
        <v>9.9499999999999993</v>
      </c>
      <c r="AX57" s="34">
        <v>1.9000000000000001E-4</v>
      </c>
      <c r="AZ57" s="148"/>
      <c r="BA57" s="34"/>
      <c r="BB57" s="34"/>
      <c r="BC57" s="34"/>
      <c r="BD57" s="34"/>
      <c r="BE57" s="34"/>
      <c r="BF57" s="34"/>
      <c r="BG57" s="34"/>
      <c r="BH57" s="34"/>
      <c r="BI57" s="34"/>
      <c r="BJ57" s="34"/>
      <c r="BK57" s="34"/>
      <c r="BL57" s="34"/>
      <c r="BM57" s="34"/>
      <c r="BN57" s="34"/>
      <c r="BO57" s="34"/>
      <c r="BP57" s="34"/>
      <c r="BQ57" s="34"/>
      <c r="BR57" s="34"/>
      <c r="BS57" s="34"/>
      <c r="BT57" s="34"/>
      <c r="BU57" s="34"/>
      <c r="BW57" s="148"/>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D57" s="34"/>
      <c r="DE57" s="34"/>
      <c r="DF57" s="34"/>
      <c r="DG57" s="34"/>
      <c r="DH57" s="34"/>
      <c r="DI57" s="34"/>
      <c r="DJ57" s="34"/>
      <c r="DK57" s="34"/>
      <c r="DL57" s="34"/>
      <c r="DM57" s="34"/>
      <c r="DN57" s="34"/>
      <c r="DO57" s="34"/>
      <c r="DP57" s="34"/>
      <c r="DQ57" s="34"/>
      <c r="DR57" s="34"/>
      <c r="DS57" s="34"/>
      <c r="DT57" s="34"/>
      <c r="DU57" s="34"/>
      <c r="DV57" s="34"/>
    </row>
    <row r="58" spans="9:126">
      <c r="I58" s="35"/>
      <c r="J58" s="134"/>
      <c r="L58" s="35"/>
      <c r="M58" s="35"/>
      <c r="N58" s="67"/>
      <c r="S58" s="72"/>
      <c r="T58" s="72"/>
      <c r="U58" s="72"/>
      <c r="V58" s="72"/>
      <c r="W58" s="72"/>
      <c r="X58" s="72"/>
      <c r="Y58" s="72"/>
      <c r="Z58" s="72"/>
      <c r="AA58" s="72"/>
      <c r="AB58" s="72"/>
      <c r="AC58" s="72"/>
      <c r="AD58" s="72"/>
      <c r="AE58" s="72"/>
      <c r="AF58" s="72"/>
      <c r="AG58" s="72"/>
      <c r="AI58" s="35">
        <f t="shared" si="10"/>
        <v>1.2026001481097024</v>
      </c>
      <c r="AJ58" t="b">
        <f t="shared" si="9"/>
        <v>0</v>
      </c>
      <c r="AK58" s="158">
        <v>44616</v>
      </c>
      <c r="AL58" s="139">
        <f t="shared" si="11"/>
        <v>19000</v>
      </c>
      <c r="AM58" s="34">
        <v>932900</v>
      </c>
      <c r="AN58" s="137">
        <v>45.7</v>
      </c>
      <c r="AO58" s="34">
        <v>0.1</v>
      </c>
      <c r="AP58" s="139">
        <v>19000</v>
      </c>
      <c r="AQ58" s="34">
        <v>17.96</v>
      </c>
      <c r="AR58" t="s">
        <v>502</v>
      </c>
      <c r="AS58" s="138">
        <v>1344.55</v>
      </c>
      <c r="AT58" s="34">
        <v>-0.9</v>
      </c>
      <c r="AU58" s="34">
        <v>138450</v>
      </c>
      <c r="AV58" s="34">
        <v>-2.5299999999999998</v>
      </c>
      <c r="AW58" s="34">
        <v>9.58</v>
      </c>
      <c r="AX58" s="34">
        <v>1.8000000000000001E-4</v>
      </c>
      <c r="AZ58" s="148"/>
      <c r="BA58" s="34"/>
      <c r="BB58" s="34"/>
      <c r="BC58" s="34"/>
      <c r="BD58" s="34"/>
      <c r="BE58" s="34"/>
      <c r="BF58" s="34"/>
      <c r="BG58" s="34"/>
      <c r="BH58" s="34"/>
      <c r="BI58" s="34"/>
      <c r="BJ58" s="34"/>
      <c r="BK58" s="34"/>
      <c r="BL58" s="34"/>
      <c r="BM58" s="34"/>
      <c r="BN58" s="34"/>
      <c r="BO58" s="34"/>
      <c r="BP58" s="34"/>
      <c r="BQ58" s="34"/>
      <c r="BR58" s="34"/>
      <c r="BS58" s="34"/>
      <c r="BT58" s="34"/>
      <c r="BU58" s="34"/>
      <c r="BW58" s="148"/>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D58" s="34"/>
      <c r="DE58" s="34"/>
      <c r="DF58" s="34"/>
      <c r="DG58" s="34"/>
      <c r="DH58" s="34"/>
      <c r="DI58" s="34"/>
      <c r="DJ58" s="34"/>
      <c r="DK58" s="34"/>
      <c r="DL58" s="34"/>
      <c r="DM58" s="34"/>
      <c r="DN58" s="34"/>
      <c r="DO58" s="34"/>
      <c r="DP58" s="34"/>
      <c r="DQ58" s="34"/>
      <c r="DR58" s="34"/>
      <c r="DS58" s="34"/>
      <c r="DT58" s="34"/>
      <c r="DU58" s="34"/>
      <c r="DV58" s="34"/>
    </row>
    <row r="59" spans="9:126">
      <c r="I59" s="35"/>
      <c r="J59" s="134"/>
      <c r="L59" s="35"/>
      <c r="M59" s="35"/>
      <c r="N59" s="67"/>
      <c r="S59" s="73"/>
      <c r="T59" s="73"/>
      <c r="U59" s="73"/>
      <c r="V59" s="73"/>
      <c r="W59" s="73"/>
      <c r="X59" s="73"/>
      <c r="Y59" s="73"/>
      <c r="Z59" s="73"/>
      <c r="AA59" s="73"/>
      <c r="AB59" s="73"/>
      <c r="AC59" s="73"/>
      <c r="AD59" s="73"/>
      <c r="AE59" s="73"/>
      <c r="AF59" s="73"/>
      <c r="AG59" s="73"/>
      <c r="AI59" s="35">
        <f t="shared" si="10"/>
        <v>1.2057648853415701</v>
      </c>
      <c r="AJ59" t="b">
        <f t="shared" si="9"/>
        <v>0</v>
      </c>
      <c r="AK59" s="158">
        <v>44616</v>
      </c>
      <c r="AL59" s="139">
        <f t="shared" si="11"/>
        <v>19050</v>
      </c>
      <c r="AM59" s="34">
        <v>2950</v>
      </c>
      <c r="AN59" s="137">
        <v>40.5</v>
      </c>
      <c r="AO59" s="34">
        <v>0.09</v>
      </c>
      <c r="AP59" s="139">
        <v>19050</v>
      </c>
      <c r="AQ59" s="34">
        <v>17.87</v>
      </c>
      <c r="AR59" t="s">
        <v>502</v>
      </c>
      <c r="AS59" s="138">
        <v>1319.25</v>
      </c>
      <c r="AT59" s="34">
        <v>-0.91</v>
      </c>
      <c r="AU59" s="34">
        <v>100</v>
      </c>
      <c r="AV59" s="34">
        <v>-2.34</v>
      </c>
      <c r="AW59" s="34">
        <v>8.92</v>
      </c>
      <c r="AX59" s="34">
        <v>1.7000000000000001E-4</v>
      </c>
      <c r="AZ59" s="148"/>
      <c r="BA59" s="34"/>
      <c r="BB59" s="34"/>
      <c r="BC59" s="34"/>
      <c r="BD59" s="34"/>
      <c r="BE59" s="34"/>
      <c r="BF59" s="34"/>
      <c r="BG59" s="34"/>
      <c r="BH59" s="34"/>
      <c r="BI59" s="34"/>
      <c r="BJ59" s="34"/>
      <c r="BK59" s="34"/>
      <c r="BL59" s="34"/>
      <c r="BM59" s="34"/>
      <c r="BN59" s="34"/>
      <c r="BO59" s="34"/>
      <c r="BP59" s="34"/>
      <c r="BQ59" s="34"/>
      <c r="BR59" s="34"/>
      <c r="BS59" s="34"/>
      <c r="BT59" s="34"/>
      <c r="BU59" s="34"/>
      <c r="BW59" s="148"/>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D59" s="34"/>
      <c r="DE59" s="34"/>
      <c r="DF59" s="34"/>
      <c r="DG59" s="34"/>
      <c r="DH59" s="34"/>
      <c r="DI59" s="34"/>
      <c r="DJ59" s="34"/>
      <c r="DK59" s="34"/>
      <c r="DL59" s="34"/>
      <c r="DM59" s="34"/>
      <c r="DN59" s="34"/>
      <c r="DO59" s="34"/>
      <c r="DP59" s="34"/>
      <c r="DQ59" s="34"/>
      <c r="DR59" s="34"/>
      <c r="DS59" s="34"/>
      <c r="DT59" s="34"/>
      <c r="DU59" s="34"/>
      <c r="DV59" s="34"/>
    </row>
    <row r="60" spans="9:126">
      <c r="I60" s="35"/>
      <c r="J60" s="134"/>
      <c r="L60" s="35"/>
      <c r="M60" s="35"/>
      <c r="N60" s="67"/>
      <c r="S60" s="73"/>
      <c r="T60" s="73"/>
      <c r="U60" s="73"/>
      <c r="V60" s="73"/>
      <c r="W60" s="73"/>
      <c r="X60" s="73"/>
      <c r="Y60" s="73"/>
      <c r="Z60" s="73"/>
      <c r="AA60" s="73"/>
      <c r="AB60" s="73"/>
      <c r="AC60" s="73"/>
      <c r="AD60" s="73"/>
      <c r="AE60" s="73"/>
      <c r="AF60" s="73"/>
      <c r="AG60" s="73"/>
      <c r="AI60" s="35">
        <f t="shared" si="10"/>
        <v>1.2089296225734376</v>
      </c>
      <c r="AJ60" t="b">
        <f t="shared" si="9"/>
        <v>0</v>
      </c>
      <c r="AK60" s="158">
        <v>44616</v>
      </c>
      <c r="AL60" s="139">
        <f t="shared" si="11"/>
        <v>19100</v>
      </c>
      <c r="AM60" s="34">
        <v>63850</v>
      </c>
      <c r="AN60" s="137">
        <v>37.65</v>
      </c>
      <c r="AO60" s="34">
        <v>0.09</v>
      </c>
      <c r="AP60" s="139">
        <v>19100</v>
      </c>
      <c r="AQ60" s="34">
        <v>18</v>
      </c>
      <c r="AR60" t="s">
        <v>502</v>
      </c>
      <c r="AS60" s="138">
        <v>1530</v>
      </c>
      <c r="AT60" s="34">
        <v>-0.91</v>
      </c>
      <c r="AU60" s="34">
        <v>2100</v>
      </c>
      <c r="AV60" s="34">
        <v>-2.25</v>
      </c>
      <c r="AW60" s="34">
        <v>8.49</v>
      </c>
      <c r="AX60" s="34">
        <v>1.6000000000000001E-4</v>
      </c>
      <c r="AZ60" s="148"/>
      <c r="BA60" s="34"/>
      <c r="BB60" s="34"/>
      <c r="BC60" s="34"/>
      <c r="BD60" s="34"/>
      <c r="BE60" s="34"/>
      <c r="BF60" s="34"/>
      <c r="BG60" s="34"/>
      <c r="BH60" s="34"/>
      <c r="BI60" s="34"/>
      <c r="BJ60" s="34"/>
      <c r="BK60" s="34"/>
      <c r="BL60" s="34"/>
      <c r="BM60" s="34"/>
      <c r="BN60" s="34"/>
      <c r="BO60" s="34"/>
      <c r="BP60" s="34"/>
      <c r="BQ60" s="34"/>
      <c r="BR60" s="34"/>
      <c r="BS60" s="34"/>
      <c r="BT60" s="34"/>
      <c r="BU60" s="34"/>
      <c r="BW60" s="148"/>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D60" s="34"/>
      <c r="DE60" s="34"/>
      <c r="DF60" s="34"/>
      <c r="DG60" s="34"/>
      <c r="DH60" s="34"/>
      <c r="DI60" s="34"/>
      <c r="DJ60" s="34"/>
      <c r="DK60" s="34"/>
      <c r="DL60" s="34"/>
      <c r="DM60" s="34"/>
      <c r="DN60" s="34"/>
      <c r="DO60" s="34"/>
      <c r="DP60" s="34"/>
      <c r="DQ60" s="34"/>
      <c r="DR60" s="34"/>
      <c r="DS60" s="34"/>
      <c r="DT60" s="34"/>
      <c r="DU60" s="34"/>
      <c r="DV60" s="34"/>
    </row>
    <row r="61" spans="9:126">
      <c r="I61" s="35"/>
      <c r="J61" s="134"/>
      <c r="L61" s="35"/>
      <c r="M61" s="35"/>
      <c r="N61" s="67"/>
      <c r="S61" s="73"/>
      <c r="T61" s="73"/>
      <c r="U61" s="73"/>
      <c r="V61" s="73"/>
      <c r="W61" s="73"/>
      <c r="X61" s="73"/>
      <c r="Y61" s="73"/>
      <c r="Z61" s="73"/>
      <c r="AA61" s="73"/>
      <c r="AB61" s="73"/>
      <c r="AC61" s="73"/>
      <c r="AD61" s="73"/>
      <c r="AE61" s="73"/>
      <c r="AF61" s="73"/>
      <c r="AG61" s="73"/>
      <c r="AI61" s="35">
        <f t="shared" si="10"/>
        <v>1.2120943598053053</v>
      </c>
      <c r="AJ61" t="b">
        <f t="shared" si="9"/>
        <v>0</v>
      </c>
      <c r="AK61" s="158">
        <v>44616</v>
      </c>
      <c r="AL61" s="139">
        <f t="shared" si="11"/>
        <v>19150</v>
      </c>
      <c r="AM61" s="34">
        <v>7100</v>
      </c>
      <c r="AN61" s="137">
        <v>31.15</v>
      </c>
      <c r="AO61" s="34">
        <v>7.0000000000000007E-2</v>
      </c>
      <c r="AP61" s="139">
        <v>19150</v>
      </c>
      <c r="AQ61" s="34">
        <v>17.649999999999999</v>
      </c>
      <c r="AR61" t="s">
        <v>502</v>
      </c>
      <c r="AS61" s="138">
        <v>0</v>
      </c>
      <c r="AT61" s="34">
        <v>-0.93</v>
      </c>
      <c r="AU61" s="34">
        <v>0</v>
      </c>
      <c r="AV61" s="34">
        <v>-1.98</v>
      </c>
      <c r="AW61" s="34">
        <v>7.61</v>
      </c>
      <c r="AX61" s="34">
        <v>1.4999999999999999E-4</v>
      </c>
      <c r="AZ61" s="148"/>
      <c r="BA61" s="34"/>
      <c r="BB61" s="34"/>
      <c r="BC61" s="34"/>
      <c r="BD61" s="34"/>
      <c r="BE61" s="34"/>
      <c r="BF61" s="34"/>
      <c r="BG61" s="34"/>
      <c r="BH61" s="34"/>
      <c r="BI61" s="34"/>
      <c r="BJ61" s="34"/>
      <c r="BK61" s="34"/>
      <c r="BL61" s="34"/>
      <c r="BM61" s="34"/>
      <c r="BN61" s="34"/>
      <c r="BO61" s="34"/>
      <c r="BP61" s="34"/>
      <c r="BQ61" s="34"/>
      <c r="BR61" s="34"/>
      <c r="BS61" s="34"/>
      <c r="BT61" s="34"/>
      <c r="BU61" s="34"/>
      <c r="BW61" s="148"/>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D61" s="34"/>
      <c r="DE61" s="34"/>
      <c r="DF61" s="34"/>
      <c r="DG61" s="34"/>
      <c r="DH61" s="34"/>
      <c r="DI61" s="34"/>
      <c r="DJ61" s="34"/>
      <c r="DK61" s="34"/>
      <c r="DL61" s="34"/>
      <c r="DM61" s="34"/>
      <c r="DN61" s="34"/>
      <c r="DO61" s="34"/>
      <c r="DP61" s="34"/>
      <c r="DQ61" s="34"/>
      <c r="DR61" s="34"/>
      <c r="DS61" s="34"/>
      <c r="DT61" s="34"/>
      <c r="DU61" s="34"/>
      <c r="DV61" s="34"/>
    </row>
    <row r="62" spans="9:126">
      <c r="I62" s="35"/>
      <c r="J62" s="134"/>
      <c r="L62" s="35"/>
      <c r="M62" s="35"/>
      <c r="N62" s="67"/>
      <c r="S62" s="73"/>
      <c r="T62" s="73"/>
      <c r="U62" s="73"/>
      <c r="V62" s="73"/>
      <c r="W62" s="73"/>
      <c r="X62" s="73"/>
      <c r="Y62" s="73"/>
      <c r="Z62" s="73"/>
      <c r="AA62" s="73"/>
      <c r="AB62" s="73"/>
      <c r="AC62" s="73"/>
      <c r="AD62" s="73"/>
      <c r="AE62" s="73"/>
      <c r="AF62" s="73"/>
      <c r="AG62" s="73"/>
      <c r="AI62" s="35">
        <f t="shared" si="10"/>
        <v>1.2152590970371731</v>
      </c>
      <c r="AJ62" t="b">
        <f t="shared" si="9"/>
        <v>0</v>
      </c>
      <c r="AK62" s="158">
        <v>44616</v>
      </c>
      <c r="AL62" s="139">
        <f t="shared" si="11"/>
        <v>19200</v>
      </c>
      <c r="AM62" s="34">
        <v>101800</v>
      </c>
      <c r="AN62" s="137">
        <v>28</v>
      </c>
      <c r="AO62" s="34">
        <v>7.0000000000000007E-2</v>
      </c>
      <c r="AP62" s="139">
        <v>19200</v>
      </c>
      <c r="AQ62" s="34">
        <v>17.66</v>
      </c>
      <c r="AR62" t="s">
        <v>502</v>
      </c>
      <c r="AS62" s="138">
        <v>1482.8</v>
      </c>
      <c r="AT62" s="34">
        <v>-0.93</v>
      </c>
      <c r="AU62" s="34">
        <v>2550</v>
      </c>
      <c r="AV62" s="34">
        <v>-1.84</v>
      </c>
      <c r="AW62" s="34">
        <v>7.1</v>
      </c>
      <c r="AX62" s="34">
        <v>1.3999999999999999E-4</v>
      </c>
      <c r="AZ62" s="148"/>
      <c r="BA62" s="34"/>
      <c r="BB62" s="34"/>
      <c r="BC62" s="34"/>
      <c r="BD62" s="34"/>
      <c r="BE62" s="34"/>
      <c r="BF62" s="34"/>
      <c r="BG62" s="34"/>
      <c r="BH62" s="34"/>
      <c r="BI62" s="34"/>
      <c r="BJ62" s="34"/>
      <c r="BK62" s="34"/>
      <c r="BL62" s="34"/>
      <c r="BM62" s="34"/>
      <c r="BN62" s="34"/>
      <c r="BO62" s="34"/>
      <c r="BP62" s="34"/>
      <c r="BQ62" s="34"/>
      <c r="BR62" s="34"/>
      <c r="BS62" s="34"/>
      <c r="BT62" s="34"/>
      <c r="BU62" s="34"/>
      <c r="BW62" s="148"/>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D62" s="34"/>
      <c r="DE62" s="34"/>
      <c r="DF62" s="34"/>
      <c r="DG62" s="34"/>
      <c r="DH62" s="34"/>
      <c r="DI62" s="34"/>
      <c r="DJ62" s="34"/>
      <c r="DK62" s="34"/>
      <c r="DL62" s="34"/>
      <c r="DM62" s="34"/>
      <c r="DN62" s="34"/>
      <c r="DO62" s="34"/>
      <c r="DP62" s="34"/>
      <c r="DQ62" s="34"/>
      <c r="DR62" s="34"/>
      <c r="DS62" s="34"/>
      <c r="DT62" s="34"/>
      <c r="DU62" s="34"/>
      <c r="DV62" s="34"/>
    </row>
    <row r="63" spans="9:126">
      <c r="AK63" s="158">
        <v>44616</v>
      </c>
      <c r="AL63" s="139">
        <f t="shared" si="11"/>
        <v>0</v>
      </c>
      <c r="AP63" s="139"/>
      <c r="AZ63" s="148"/>
      <c r="BA63" s="34"/>
      <c r="BB63" s="34"/>
      <c r="BC63" s="34"/>
      <c r="BD63" s="34"/>
      <c r="BE63" s="34"/>
      <c r="BF63" s="34"/>
      <c r="BG63" s="34"/>
      <c r="BH63" s="34"/>
      <c r="BI63" s="34"/>
      <c r="BJ63" s="34"/>
      <c r="BK63" s="34"/>
      <c r="BL63" s="34"/>
      <c r="BM63" s="34"/>
      <c r="BN63" s="34"/>
      <c r="BO63" s="34"/>
      <c r="BP63" s="34"/>
      <c r="BQ63" s="34"/>
      <c r="BR63" s="34"/>
      <c r="BS63" s="34"/>
      <c r="BT63" s="34"/>
      <c r="BU63" s="34"/>
      <c r="BW63" s="148"/>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D63" s="34"/>
      <c r="DE63" s="34"/>
      <c r="DF63" s="34"/>
      <c r="DG63" s="34"/>
      <c r="DH63" s="34"/>
      <c r="DI63" s="34"/>
      <c r="DJ63" s="34"/>
      <c r="DK63" s="34"/>
      <c r="DL63" s="34"/>
      <c r="DM63" s="34"/>
      <c r="DN63" s="34"/>
      <c r="DO63" s="34"/>
      <c r="DP63" s="34"/>
      <c r="DQ63" s="34"/>
      <c r="DR63" s="34"/>
      <c r="DS63" s="34"/>
      <c r="DT63" s="34"/>
      <c r="DU63" s="34"/>
      <c r="DV63" s="34"/>
    </row>
    <row r="64" spans="9:126">
      <c r="AK64" s="158">
        <v>44616</v>
      </c>
      <c r="AL64" s="139">
        <f t="shared" ref="AL64:AL123" si="60">AP64</f>
        <v>0</v>
      </c>
      <c r="AP64" s="139"/>
      <c r="AZ64" s="148"/>
      <c r="BA64" s="34"/>
      <c r="BB64" s="34"/>
      <c r="BC64" s="34"/>
      <c r="BD64" s="34"/>
      <c r="BE64" s="34"/>
      <c r="BF64" s="34"/>
      <c r="BG64" s="34"/>
      <c r="BH64" s="34"/>
      <c r="BI64" s="34"/>
      <c r="BJ64" s="34"/>
      <c r="BK64" s="34"/>
      <c r="BL64" s="34"/>
      <c r="BM64" s="34"/>
      <c r="BN64" s="34"/>
      <c r="BO64" s="34"/>
      <c r="BP64" s="34"/>
      <c r="BQ64" s="34"/>
      <c r="BR64" s="34"/>
      <c r="BS64" s="34"/>
      <c r="BT64" s="34"/>
      <c r="BU64" s="34"/>
      <c r="BW64" s="148"/>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D64" s="34"/>
      <c r="DE64" s="34"/>
      <c r="DF64" s="34"/>
      <c r="DG64" s="34"/>
      <c r="DH64" s="34"/>
      <c r="DI64" s="34"/>
      <c r="DJ64" s="34"/>
      <c r="DK64" s="34"/>
      <c r="DL64" s="34"/>
      <c r="DM64" s="34"/>
      <c r="DN64" s="34"/>
      <c r="DO64" s="34"/>
      <c r="DP64" s="34"/>
      <c r="DQ64" s="34"/>
      <c r="DR64" s="34"/>
      <c r="DS64" s="34"/>
      <c r="DT64" s="34"/>
      <c r="DU64" s="34"/>
      <c r="DV64" s="34"/>
    </row>
    <row r="65" spans="37:96">
      <c r="AK65" s="158">
        <v>44616</v>
      </c>
      <c r="AL65" s="139">
        <f t="shared" si="60"/>
        <v>0</v>
      </c>
      <c r="AP65" s="139"/>
      <c r="AZ65" s="148"/>
      <c r="BA65" s="34"/>
      <c r="BB65" s="34"/>
      <c r="BC65" s="34"/>
      <c r="BD65" s="34"/>
      <c r="BE65" s="34"/>
      <c r="BF65" s="34"/>
      <c r="BG65" s="34"/>
      <c r="BH65" s="34"/>
      <c r="BI65" s="34"/>
      <c r="BJ65" s="34"/>
      <c r="BK65" s="34"/>
      <c r="BL65" s="34"/>
      <c r="BM65" s="34"/>
      <c r="BN65" s="34"/>
      <c r="BO65" s="34"/>
      <c r="BP65" s="34"/>
      <c r="BQ65" s="34"/>
      <c r="BR65" s="34"/>
      <c r="BS65" s="34"/>
      <c r="BT65" s="34"/>
      <c r="BU65" s="34"/>
      <c r="BW65" s="148"/>
      <c r="BX65" s="34"/>
      <c r="BY65" s="34"/>
      <c r="BZ65" s="34"/>
      <c r="CA65" s="34"/>
      <c r="CB65" s="34"/>
      <c r="CC65" s="34"/>
      <c r="CD65" s="34"/>
      <c r="CE65" s="34"/>
      <c r="CF65" s="34"/>
      <c r="CG65" s="34"/>
      <c r="CH65" s="34"/>
      <c r="CI65" s="34"/>
      <c r="CJ65" s="34"/>
      <c r="CK65" s="34"/>
      <c r="CL65" s="34"/>
      <c r="CM65" s="34"/>
      <c r="CN65" s="34"/>
      <c r="CO65" s="34"/>
      <c r="CP65" s="34"/>
      <c r="CQ65" s="34"/>
      <c r="CR65" s="34"/>
    </row>
    <row r="66" spans="37:96">
      <c r="AK66" s="158">
        <v>44616</v>
      </c>
      <c r="AL66" s="139">
        <f t="shared" si="60"/>
        <v>0</v>
      </c>
      <c r="AP66" s="139"/>
    </row>
    <row r="67" spans="37:96">
      <c r="AK67" s="158">
        <v>44616</v>
      </c>
      <c r="AL67" s="139">
        <f t="shared" si="60"/>
        <v>0</v>
      </c>
      <c r="AP67" s="139"/>
    </row>
    <row r="68" spans="37:96">
      <c r="AK68" s="158">
        <v>44616</v>
      </c>
      <c r="AL68" s="139">
        <f t="shared" si="60"/>
        <v>0</v>
      </c>
      <c r="AP68" s="139"/>
    </row>
    <row r="69" spans="37:96">
      <c r="AK69" s="158">
        <v>44616</v>
      </c>
      <c r="AL69" s="139">
        <f t="shared" si="60"/>
        <v>0</v>
      </c>
      <c r="AP69" s="139"/>
    </row>
    <row r="70" spans="37:96">
      <c r="AK70" s="158">
        <v>44616</v>
      </c>
      <c r="AL70" s="139">
        <f t="shared" si="60"/>
        <v>0</v>
      </c>
      <c r="AP70" s="139"/>
    </row>
    <row r="71" spans="37:96">
      <c r="AK71" s="158">
        <v>44616</v>
      </c>
      <c r="AL71" s="139">
        <f t="shared" si="60"/>
        <v>0</v>
      </c>
      <c r="AP71" s="139"/>
    </row>
    <row r="72" spans="37:96">
      <c r="AK72" s="158">
        <v>44616</v>
      </c>
      <c r="AL72" s="139">
        <f t="shared" si="60"/>
        <v>0</v>
      </c>
      <c r="AP72" s="139"/>
    </row>
    <row r="73" spans="37:96">
      <c r="AK73" s="158">
        <v>44616</v>
      </c>
      <c r="AL73" s="139">
        <f t="shared" si="60"/>
        <v>0</v>
      </c>
      <c r="AP73" s="139"/>
    </row>
    <row r="74" spans="37:96">
      <c r="AK74" s="158">
        <v>44616</v>
      </c>
      <c r="AL74" s="139">
        <f t="shared" si="60"/>
        <v>0</v>
      </c>
      <c r="AP74" s="139"/>
    </row>
    <row r="75" spans="37:96">
      <c r="AK75" s="158">
        <v>44616</v>
      </c>
      <c r="AL75" s="139">
        <f t="shared" si="60"/>
        <v>0</v>
      </c>
      <c r="AP75" s="139"/>
    </row>
    <row r="76" spans="37:96">
      <c r="AK76" s="158">
        <v>44616</v>
      </c>
      <c r="AL76" s="139">
        <f t="shared" si="60"/>
        <v>0</v>
      </c>
      <c r="AP76" s="139"/>
    </row>
    <row r="77" spans="37:96">
      <c r="AK77" s="158">
        <v>44616</v>
      </c>
      <c r="AL77" s="139">
        <f t="shared" si="60"/>
        <v>0</v>
      </c>
      <c r="AP77" s="139"/>
    </row>
    <row r="78" spans="37:96">
      <c r="AK78" s="158">
        <v>44616</v>
      </c>
      <c r="AL78" s="139">
        <f t="shared" si="60"/>
        <v>0</v>
      </c>
      <c r="AP78" s="139"/>
    </row>
    <row r="79" spans="37:96">
      <c r="AK79" s="158">
        <v>44616</v>
      </c>
      <c r="AL79" s="139">
        <f t="shared" si="60"/>
        <v>0</v>
      </c>
      <c r="AP79" s="139"/>
    </row>
    <row r="80" spans="37:96">
      <c r="AK80" s="158">
        <v>44616</v>
      </c>
      <c r="AL80" s="139">
        <f t="shared" si="60"/>
        <v>0</v>
      </c>
      <c r="AP80" s="139"/>
    </row>
    <row r="81" spans="37:42">
      <c r="AK81" s="158">
        <v>44616</v>
      </c>
      <c r="AL81" s="139">
        <f t="shared" si="60"/>
        <v>0</v>
      </c>
      <c r="AP81" s="139"/>
    </row>
    <row r="82" spans="37:42">
      <c r="AK82" s="158">
        <v>44616</v>
      </c>
      <c r="AL82" s="139">
        <f t="shared" si="60"/>
        <v>0</v>
      </c>
      <c r="AP82" s="139"/>
    </row>
    <row r="83" spans="37:42">
      <c r="AK83" s="158">
        <v>44616</v>
      </c>
      <c r="AL83" s="139">
        <f t="shared" si="60"/>
        <v>0</v>
      </c>
      <c r="AP83" s="139"/>
    </row>
    <row r="84" spans="37:42">
      <c r="AK84" s="158">
        <v>44616</v>
      </c>
      <c r="AL84" s="139">
        <f t="shared" si="60"/>
        <v>0</v>
      </c>
      <c r="AP84" s="139"/>
    </row>
    <row r="85" spans="37:42">
      <c r="AK85" s="158">
        <v>44616</v>
      </c>
      <c r="AL85" s="139">
        <f t="shared" si="60"/>
        <v>0</v>
      </c>
      <c r="AP85" s="139"/>
    </row>
    <row r="86" spans="37:42">
      <c r="AK86" s="158">
        <v>44616</v>
      </c>
      <c r="AL86" s="139">
        <f t="shared" si="60"/>
        <v>0</v>
      </c>
      <c r="AP86" s="139"/>
    </row>
    <row r="87" spans="37:42">
      <c r="AK87" s="158">
        <v>44616</v>
      </c>
      <c r="AL87" s="139">
        <f t="shared" si="60"/>
        <v>0</v>
      </c>
      <c r="AP87" s="139"/>
    </row>
    <row r="88" spans="37:42">
      <c r="AK88" s="158">
        <v>44616</v>
      </c>
      <c r="AL88" s="139">
        <f t="shared" si="60"/>
        <v>0</v>
      </c>
      <c r="AP88" s="139"/>
    </row>
    <row r="89" spans="37:42">
      <c r="AK89" s="158">
        <v>44616</v>
      </c>
      <c r="AL89" s="139">
        <f t="shared" si="60"/>
        <v>0</v>
      </c>
      <c r="AP89" s="139"/>
    </row>
    <row r="90" spans="37:42">
      <c r="AK90" s="158">
        <v>44616</v>
      </c>
      <c r="AL90" s="139">
        <f t="shared" si="60"/>
        <v>0</v>
      </c>
      <c r="AP90" s="139"/>
    </row>
    <row r="91" spans="37:42">
      <c r="AK91" s="158">
        <v>44616</v>
      </c>
      <c r="AL91" s="139">
        <f t="shared" si="60"/>
        <v>0</v>
      </c>
      <c r="AP91" s="139"/>
    </row>
    <row r="92" spans="37:42">
      <c r="AK92" s="158">
        <v>44616</v>
      </c>
      <c r="AL92" s="139">
        <f t="shared" si="60"/>
        <v>0</v>
      </c>
      <c r="AP92" s="139"/>
    </row>
    <row r="93" spans="37:42">
      <c r="AK93" s="158">
        <v>44616</v>
      </c>
      <c r="AL93" s="139">
        <f t="shared" si="60"/>
        <v>0</v>
      </c>
      <c r="AP93" s="139"/>
    </row>
    <row r="94" spans="37:42">
      <c r="AK94" s="158">
        <v>44616</v>
      </c>
      <c r="AL94" s="139">
        <f t="shared" si="60"/>
        <v>0</v>
      </c>
      <c r="AP94" s="139"/>
    </row>
    <row r="95" spans="37:42">
      <c r="AK95" s="158">
        <v>44616</v>
      </c>
      <c r="AL95" s="139">
        <f t="shared" si="60"/>
        <v>0</v>
      </c>
      <c r="AP95" s="139"/>
    </row>
    <row r="96" spans="37:42">
      <c r="AK96" s="158">
        <v>44616</v>
      </c>
      <c r="AL96" s="139">
        <f t="shared" si="60"/>
        <v>0</v>
      </c>
      <c r="AP96" s="139"/>
    </row>
    <row r="97" spans="37:42">
      <c r="AK97" s="158">
        <v>44616</v>
      </c>
      <c r="AL97" s="139">
        <f t="shared" si="60"/>
        <v>0</v>
      </c>
      <c r="AP97" s="139"/>
    </row>
    <row r="98" spans="37:42">
      <c r="AK98" s="158">
        <v>44616</v>
      </c>
      <c r="AL98" s="139">
        <f t="shared" si="60"/>
        <v>0</v>
      </c>
      <c r="AP98" s="139"/>
    </row>
    <row r="99" spans="37:42">
      <c r="AK99" s="158">
        <v>44616</v>
      </c>
      <c r="AL99" s="139">
        <f t="shared" si="60"/>
        <v>0</v>
      </c>
      <c r="AP99" s="139"/>
    </row>
    <row r="100" spans="37:42">
      <c r="AK100" s="158">
        <v>44616</v>
      </c>
      <c r="AL100" s="139">
        <f t="shared" si="60"/>
        <v>0</v>
      </c>
      <c r="AP100" s="139"/>
    </row>
    <row r="101" spans="37:42">
      <c r="AK101" s="158">
        <v>44616</v>
      </c>
      <c r="AL101" s="139">
        <f t="shared" si="60"/>
        <v>0</v>
      </c>
      <c r="AP101" s="139"/>
    </row>
    <row r="102" spans="37:42">
      <c r="AK102" s="158">
        <v>44616</v>
      </c>
      <c r="AL102" s="139">
        <f t="shared" si="60"/>
        <v>0</v>
      </c>
      <c r="AP102" s="139"/>
    </row>
    <row r="103" spans="37:42">
      <c r="AK103" s="158">
        <v>44616</v>
      </c>
      <c r="AL103" s="139">
        <f t="shared" si="60"/>
        <v>0</v>
      </c>
      <c r="AP103" s="139"/>
    </row>
    <row r="104" spans="37:42">
      <c r="AK104" s="158">
        <v>44616</v>
      </c>
      <c r="AL104" s="139">
        <f t="shared" si="60"/>
        <v>0</v>
      </c>
      <c r="AP104" s="139"/>
    </row>
    <row r="105" spans="37:42">
      <c r="AK105" s="158">
        <v>44616</v>
      </c>
      <c r="AL105" s="139">
        <f t="shared" si="60"/>
        <v>0</v>
      </c>
      <c r="AP105" s="139"/>
    </row>
    <row r="106" spans="37:42">
      <c r="AK106" s="158">
        <v>44616</v>
      </c>
      <c r="AL106" s="139">
        <f t="shared" si="60"/>
        <v>0</v>
      </c>
      <c r="AP106" s="139"/>
    </row>
    <row r="107" spans="37:42">
      <c r="AK107" s="158">
        <v>44616</v>
      </c>
      <c r="AL107" s="139">
        <f t="shared" si="60"/>
        <v>0</v>
      </c>
      <c r="AP107" s="139"/>
    </row>
    <row r="108" spans="37:42">
      <c r="AK108" s="158">
        <v>44616</v>
      </c>
      <c r="AL108" s="139">
        <f t="shared" si="60"/>
        <v>0</v>
      </c>
      <c r="AP108" s="139"/>
    </row>
    <row r="109" spans="37:42">
      <c r="AK109" s="158">
        <v>44616</v>
      </c>
      <c r="AL109" s="139">
        <f t="shared" si="60"/>
        <v>0</v>
      </c>
      <c r="AP109" s="139"/>
    </row>
    <row r="110" spans="37:42">
      <c r="AK110" s="158">
        <v>44616</v>
      </c>
      <c r="AL110" s="139">
        <f t="shared" si="60"/>
        <v>0</v>
      </c>
      <c r="AP110" s="139"/>
    </row>
    <row r="111" spans="37:42">
      <c r="AK111" s="158">
        <v>44616</v>
      </c>
      <c r="AL111" s="139">
        <f t="shared" si="60"/>
        <v>0</v>
      </c>
      <c r="AP111" s="139"/>
    </row>
    <row r="112" spans="37:42">
      <c r="AK112" s="158">
        <v>44616</v>
      </c>
      <c r="AL112" s="139">
        <f t="shared" si="60"/>
        <v>0</v>
      </c>
      <c r="AP112" s="139"/>
    </row>
    <row r="113" spans="37:42">
      <c r="AK113" s="158">
        <v>44616</v>
      </c>
      <c r="AL113" s="139">
        <f t="shared" si="60"/>
        <v>0</v>
      </c>
      <c r="AP113" s="139"/>
    </row>
    <row r="114" spans="37:42">
      <c r="AK114" s="158">
        <v>44616</v>
      </c>
      <c r="AL114" s="139">
        <f t="shared" si="60"/>
        <v>0</v>
      </c>
      <c r="AP114" s="139"/>
    </row>
    <row r="115" spans="37:42">
      <c r="AK115" s="158">
        <v>44616</v>
      </c>
      <c r="AL115" s="139">
        <f t="shared" si="60"/>
        <v>0</v>
      </c>
      <c r="AP115" s="139"/>
    </row>
    <row r="116" spans="37:42">
      <c r="AK116" s="158">
        <v>44616</v>
      </c>
      <c r="AL116" s="139">
        <f t="shared" si="60"/>
        <v>0</v>
      </c>
      <c r="AP116" s="139"/>
    </row>
    <row r="117" spans="37:42">
      <c r="AK117" s="158">
        <v>44616</v>
      </c>
      <c r="AL117" s="139">
        <f t="shared" si="60"/>
        <v>0</v>
      </c>
      <c r="AP117" s="139"/>
    </row>
    <row r="118" spans="37:42">
      <c r="AK118" s="158">
        <v>44616</v>
      </c>
      <c r="AL118" s="139">
        <f t="shared" si="60"/>
        <v>0</v>
      </c>
      <c r="AP118" s="139"/>
    </row>
    <row r="119" spans="37:42">
      <c r="AK119" s="158">
        <v>44616</v>
      </c>
      <c r="AL119" s="139">
        <f t="shared" si="60"/>
        <v>0</v>
      </c>
      <c r="AP119" s="139"/>
    </row>
    <row r="120" spans="37:42">
      <c r="AK120" s="158">
        <v>44616</v>
      </c>
      <c r="AL120" s="139">
        <f t="shared" si="60"/>
        <v>0</v>
      </c>
      <c r="AP120" s="139"/>
    </row>
    <row r="121" spans="37:42">
      <c r="AK121" s="158">
        <v>44616</v>
      </c>
      <c r="AL121" s="139">
        <f t="shared" si="60"/>
        <v>0</v>
      </c>
      <c r="AP121" s="139"/>
    </row>
    <row r="122" spans="37:42">
      <c r="AK122" s="158">
        <v>44616</v>
      </c>
      <c r="AL122" s="139">
        <f t="shared" si="60"/>
        <v>0</v>
      </c>
      <c r="AP122" s="139"/>
    </row>
    <row r="123" spans="37:42">
      <c r="AK123" s="158">
        <v>44616</v>
      </c>
      <c r="AL123" s="139">
        <f t="shared" si="60"/>
        <v>0</v>
      </c>
      <c r="AP123" s="139"/>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66"/>
  <sheetViews>
    <sheetView zoomScale="85" zoomScaleNormal="85" workbookViewId="0">
      <pane ySplit="1" topLeftCell="A2" activePane="bottomLeft" state="frozen"/>
      <selection activeCell="C1" sqref="C1"/>
      <selection pane="bottomLeft" activeCell="K23" sqref="K23"/>
    </sheetView>
  </sheetViews>
  <sheetFormatPr defaultRowHeight="15"/>
  <cols>
    <col min="11" max="11" width="9.140625" style="33"/>
    <col min="24" max="24" width="16.5703125" bestFit="1" customWidth="1"/>
    <col min="29" max="29" width="11.7109375" bestFit="1" customWidth="1"/>
    <col min="31" max="31" width="14.42578125" bestFit="1" customWidth="1"/>
    <col min="33" max="33" width="11.7109375" bestFit="1" customWidth="1"/>
    <col min="38" max="38" width="13.5703125" bestFit="1" customWidth="1"/>
    <col min="40" max="40" width="10.85546875" bestFit="1" customWidth="1"/>
    <col min="41" max="41" width="13.5703125" bestFit="1" customWidth="1"/>
    <col min="42" max="42" width="10.28515625" bestFit="1" customWidth="1"/>
    <col min="45" max="45" width="10.28515625" bestFit="1" customWidth="1"/>
  </cols>
  <sheetData>
    <row r="1" spans="1:45">
      <c r="A1" t="s">
        <v>683</v>
      </c>
      <c r="B1" t="s">
        <v>684</v>
      </c>
      <c r="C1" t="s">
        <v>685</v>
      </c>
      <c r="D1" t="s">
        <v>71</v>
      </c>
      <c r="E1" t="s">
        <v>686</v>
      </c>
      <c r="F1" t="s">
        <v>687</v>
      </c>
      <c r="G1" t="s">
        <v>688</v>
      </c>
      <c r="H1" t="s">
        <v>689</v>
      </c>
      <c r="I1" t="s">
        <v>690</v>
      </c>
      <c r="J1" t="s">
        <v>691</v>
      </c>
      <c r="K1" s="33" t="s">
        <v>692</v>
      </c>
      <c r="L1" t="s">
        <v>688</v>
      </c>
      <c r="M1" t="s">
        <v>689</v>
      </c>
      <c r="N1" t="s">
        <v>690</v>
      </c>
      <c r="O1" t="s">
        <v>691</v>
      </c>
      <c r="P1" t="s">
        <v>687</v>
      </c>
      <c r="Q1" t="s">
        <v>686</v>
      </c>
      <c r="R1" t="s">
        <v>71</v>
      </c>
      <c r="S1" t="s">
        <v>685</v>
      </c>
      <c r="T1" t="s">
        <v>684</v>
      </c>
      <c r="U1" t="s">
        <v>683</v>
      </c>
      <c r="AB1" s="136" t="s">
        <v>22</v>
      </c>
      <c r="AC1" s="136" t="s">
        <v>562</v>
      </c>
      <c r="AD1" s="140">
        <f>AVERAGE(AH2:AS2)-2000</f>
        <v>-1580</v>
      </c>
      <c r="AE1" s="136" t="s">
        <v>705</v>
      </c>
      <c r="AF1" s="140"/>
      <c r="AG1" s="136"/>
      <c r="AH1" s="136" t="s">
        <v>588</v>
      </c>
      <c r="AI1" s="136" t="s">
        <v>589</v>
      </c>
      <c r="AJ1" s="136" t="s">
        <v>590</v>
      </c>
      <c r="AK1" s="136" t="s">
        <v>591</v>
      </c>
      <c r="AL1" s="136" t="s">
        <v>592</v>
      </c>
      <c r="AN1" s="136"/>
      <c r="AO1" s="136" t="s">
        <v>598</v>
      </c>
      <c r="AP1" s="136" t="s">
        <v>599</v>
      </c>
      <c r="AQ1" s="136" t="s">
        <v>600</v>
      </c>
      <c r="AR1" s="136" t="s">
        <v>601</v>
      </c>
      <c r="AS1" s="136" t="s">
        <v>595</v>
      </c>
    </row>
    <row r="2" spans="1:45">
      <c r="A2" t="s">
        <v>693</v>
      </c>
      <c r="B2" t="s">
        <v>693</v>
      </c>
      <c r="C2" t="s">
        <v>693</v>
      </c>
      <c r="D2" t="s">
        <v>693</v>
      </c>
      <c r="E2" t="s">
        <v>693</v>
      </c>
      <c r="F2" t="s">
        <v>693</v>
      </c>
      <c r="G2" s="193">
        <v>48000</v>
      </c>
      <c r="H2">
        <v>132.05000000000001</v>
      </c>
      <c r="I2">
        <v>180.2</v>
      </c>
      <c r="J2" s="193">
        <v>48000</v>
      </c>
      <c r="K2" s="33">
        <v>280</v>
      </c>
      <c r="L2" s="193" t="s">
        <v>693</v>
      </c>
      <c r="M2" t="s">
        <v>693</v>
      </c>
      <c r="N2" t="s">
        <v>693</v>
      </c>
      <c r="O2" s="193" t="s">
        <v>693</v>
      </c>
      <c r="P2" t="s">
        <v>693</v>
      </c>
      <c r="Q2" t="s">
        <v>693</v>
      </c>
      <c r="R2" t="s">
        <v>693</v>
      </c>
      <c r="S2" t="s">
        <v>693</v>
      </c>
      <c r="T2" t="s">
        <v>693</v>
      </c>
      <c r="U2" t="s">
        <v>693</v>
      </c>
      <c r="X2" t="s">
        <v>21</v>
      </c>
      <c r="Y2" t="s">
        <v>284</v>
      </c>
      <c r="AB2" s="34">
        <v>100</v>
      </c>
      <c r="AC2" s="34" t="s">
        <v>563</v>
      </c>
      <c r="AD2" s="34"/>
      <c r="AE2" s="34"/>
      <c r="AF2" s="34"/>
      <c r="AG2" s="34"/>
      <c r="AH2" s="134"/>
      <c r="AI2" s="134"/>
      <c r="AJ2" s="134"/>
      <c r="AK2" s="134"/>
      <c r="AL2" s="134">
        <v>400</v>
      </c>
      <c r="AN2" s="134"/>
      <c r="AO2" s="134">
        <v>440</v>
      </c>
      <c r="AP2" s="134"/>
      <c r="AQ2" s="134"/>
      <c r="AR2" s="134"/>
      <c r="AS2" s="134"/>
    </row>
    <row r="3" spans="1:45">
      <c r="A3" t="s">
        <v>693</v>
      </c>
      <c r="B3" t="s">
        <v>693</v>
      </c>
      <c r="C3" t="s">
        <v>693</v>
      </c>
      <c r="D3" t="s">
        <v>693</v>
      </c>
      <c r="E3" t="s">
        <v>693</v>
      </c>
      <c r="F3" t="s">
        <v>693</v>
      </c>
      <c r="G3" s="193">
        <v>48000</v>
      </c>
      <c r="H3">
        <v>123.85</v>
      </c>
      <c r="I3">
        <v>168.5</v>
      </c>
      <c r="J3" s="193">
        <v>48000</v>
      </c>
      <c r="K3" s="33">
        <v>290</v>
      </c>
      <c r="L3" s="193" t="s">
        <v>693</v>
      </c>
      <c r="M3" t="s">
        <v>693</v>
      </c>
      <c r="N3" t="s">
        <v>693</v>
      </c>
      <c r="O3" s="193" t="s">
        <v>693</v>
      </c>
      <c r="P3" t="s">
        <v>693</v>
      </c>
      <c r="Q3" t="s">
        <v>693</v>
      </c>
      <c r="R3" t="s">
        <v>693</v>
      </c>
      <c r="S3" t="s">
        <v>693</v>
      </c>
      <c r="T3" t="s">
        <v>693</v>
      </c>
      <c r="U3" t="s">
        <v>693</v>
      </c>
      <c r="X3" t="s">
        <v>694</v>
      </c>
      <c r="Y3">
        <v>413.23</v>
      </c>
      <c r="AB3" s="34" t="s">
        <v>603</v>
      </c>
      <c r="AC3" s="34"/>
      <c r="AD3" s="34"/>
      <c r="AE3" s="34"/>
      <c r="AF3" s="34"/>
      <c r="AG3" s="34"/>
      <c r="AH3" s="134">
        <f ca="1">VLOOKUP(AH2,$AH:$AL,8,0)</f>
        <v>0</v>
      </c>
      <c r="AI3" s="134">
        <f ca="1">VLOOKUP(AI2,$AH:$AL,8,0)</f>
        <v>0</v>
      </c>
      <c r="AJ3" s="134">
        <f ca="1">VLOOKUP(AJ2,$AH:$AL,8,0)</f>
        <v>0</v>
      </c>
      <c r="AK3" s="134">
        <f ca="1">VLOOKUP(AK2,$AH:$AL,8,0)</f>
        <v>0</v>
      </c>
      <c r="AL3" s="134" t="e">
        <f ca="1">VLOOKUP(AL2,$AH:$AL,8,0)</f>
        <v>#N/A</v>
      </c>
      <c r="AM3" s="134"/>
      <c r="AN3" s="134"/>
      <c r="AO3" s="134">
        <f ca="1">VLOOKUP(AO2,$AH:$AL,3,0)</f>
        <v>28</v>
      </c>
      <c r="AP3" s="134"/>
      <c r="AQ3" s="134"/>
      <c r="AR3" s="134"/>
      <c r="AS3" s="134"/>
    </row>
    <row r="4" spans="1:45">
      <c r="A4" t="s">
        <v>693</v>
      </c>
      <c r="B4" t="s">
        <v>693</v>
      </c>
      <c r="C4" t="s">
        <v>693</v>
      </c>
      <c r="D4" t="s">
        <v>693</v>
      </c>
      <c r="E4" t="s">
        <v>693</v>
      </c>
      <c r="F4" t="s">
        <v>693</v>
      </c>
      <c r="G4" s="193">
        <v>48000</v>
      </c>
      <c r="H4">
        <v>116.5</v>
      </c>
      <c r="I4">
        <v>156.9</v>
      </c>
      <c r="J4" s="193">
        <v>48000</v>
      </c>
      <c r="K4" s="33">
        <v>300</v>
      </c>
      <c r="L4" s="193" t="s">
        <v>693</v>
      </c>
      <c r="M4" t="s">
        <v>693</v>
      </c>
      <c r="N4" t="s">
        <v>693</v>
      </c>
      <c r="O4" s="193" t="s">
        <v>693</v>
      </c>
      <c r="P4" t="s">
        <v>693</v>
      </c>
      <c r="Q4" t="s">
        <v>693</v>
      </c>
      <c r="R4" t="s">
        <v>693</v>
      </c>
      <c r="S4" s="193" t="s">
        <v>693</v>
      </c>
      <c r="T4" t="s">
        <v>693</v>
      </c>
      <c r="U4" t="s">
        <v>693</v>
      </c>
      <c r="X4" t="s">
        <v>695</v>
      </c>
      <c r="Y4">
        <v>1425</v>
      </c>
      <c r="AB4" t="s">
        <v>602</v>
      </c>
      <c r="AE4">
        <v>413.23</v>
      </c>
      <c r="AH4" s="34"/>
      <c r="AI4" s="34"/>
      <c r="AJ4" s="34"/>
      <c r="AK4" s="34"/>
      <c r="AL4" s="34">
        <v>9.4</v>
      </c>
      <c r="AM4" s="34"/>
      <c r="AN4" s="34"/>
      <c r="AO4" s="34">
        <v>4.53</v>
      </c>
      <c r="AP4" s="34"/>
      <c r="AQ4" s="34"/>
      <c r="AR4" s="34"/>
      <c r="AS4" s="34"/>
    </row>
    <row r="5" spans="1:45">
      <c r="A5" t="s">
        <v>693</v>
      </c>
      <c r="B5" t="s">
        <v>693</v>
      </c>
      <c r="C5" t="s">
        <v>693</v>
      </c>
      <c r="D5" t="s">
        <v>693</v>
      </c>
      <c r="E5" t="s">
        <v>693</v>
      </c>
      <c r="F5" t="s">
        <v>693</v>
      </c>
      <c r="G5" s="193">
        <v>48000</v>
      </c>
      <c r="H5">
        <v>106.9</v>
      </c>
      <c r="I5">
        <v>146</v>
      </c>
      <c r="J5" s="193">
        <v>48000</v>
      </c>
      <c r="K5" s="33">
        <v>310</v>
      </c>
      <c r="L5" s="193" t="s">
        <v>693</v>
      </c>
      <c r="M5" t="s">
        <v>693</v>
      </c>
      <c r="N5" t="s">
        <v>693</v>
      </c>
      <c r="O5" s="193" t="s">
        <v>693</v>
      </c>
      <c r="P5" t="s">
        <v>693</v>
      </c>
      <c r="Q5" t="s">
        <v>693</v>
      </c>
      <c r="R5" t="s">
        <v>693</v>
      </c>
      <c r="S5" t="s">
        <v>693</v>
      </c>
      <c r="T5" t="s">
        <v>693</v>
      </c>
      <c r="U5" t="s">
        <v>693</v>
      </c>
      <c r="X5" t="s">
        <v>696</v>
      </c>
      <c r="Y5">
        <v>2</v>
      </c>
      <c r="AB5" t="s">
        <v>3</v>
      </c>
      <c r="AC5" s="34"/>
      <c r="AE5">
        <v>2</v>
      </c>
      <c r="AH5" s="34"/>
      <c r="AI5" s="134"/>
      <c r="AJ5" s="134"/>
      <c r="AK5" s="134"/>
      <c r="AL5" s="134">
        <v>2</v>
      </c>
      <c r="AM5" s="134"/>
      <c r="AN5" s="134"/>
      <c r="AO5" s="134">
        <v>-2</v>
      </c>
      <c r="AP5" s="134"/>
      <c r="AQ5" s="134"/>
      <c r="AR5" s="134"/>
      <c r="AS5" s="134"/>
    </row>
    <row r="6" spans="1:45">
      <c r="A6" t="s">
        <v>693</v>
      </c>
      <c r="B6" t="s">
        <v>693</v>
      </c>
      <c r="C6" t="s">
        <v>693</v>
      </c>
      <c r="D6" t="s">
        <v>693</v>
      </c>
      <c r="E6" t="s">
        <v>693</v>
      </c>
      <c r="F6" t="s">
        <v>693</v>
      </c>
      <c r="G6" s="193">
        <v>48000</v>
      </c>
      <c r="H6">
        <v>97.75</v>
      </c>
      <c r="I6">
        <v>134.6</v>
      </c>
      <c r="J6" s="193">
        <v>48000</v>
      </c>
      <c r="K6" s="33">
        <v>320</v>
      </c>
      <c r="L6" s="193" t="s">
        <v>693</v>
      </c>
      <c r="M6" t="s">
        <v>693</v>
      </c>
      <c r="N6" t="s">
        <v>693</v>
      </c>
      <c r="O6" s="193" t="s">
        <v>693</v>
      </c>
      <c r="P6" t="s">
        <v>693</v>
      </c>
      <c r="Q6" t="s">
        <v>693</v>
      </c>
      <c r="R6" t="s">
        <v>693</v>
      </c>
      <c r="S6" s="193" t="s">
        <v>693</v>
      </c>
      <c r="T6" t="s">
        <v>693</v>
      </c>
      <c r="U6" t="s">
        <v>693</v>
      </c>
      <c r="X6" t="s">
        <v>697</v>
      </c>
      <c r="Y6">
        <v>50000</v>
      </c>
      <c r="AB6" t="s">
        <v>117</v>
      </c>
      <c r="AC6" s="34">
        <f>SUM(AH6:AS6)</f>
        <v>0</v>
      </c>
      <c r="AH6" s="134">
        <f t="shared" ref="AH6:AL6" si="0">67000*AH5/50</f>
        <v>0</v>
      </c>
      <c r="AI6" s="134">
        <f t="shared" si="0"/>
        <v>0</v>
      </c>
      <c r="AJ6" s="134">
        <f t="shared" si="0"/>
        <v>0</v>
      </c>
      <c r="AK6" s="134">
        <f t="shared" si="0"/>
        <v>0</v>
      </c>
      <c r="AL6" s="134">
        <f t="shared" si="0"/>
        <v>2680</v>
      </c>
      <c r="AM6" s="134"/>
      <c r="AN6" s="134"/>
      <c r="AO6" s="134">
        <f t="shared" ref="AO6" si="1">67000*AO5/50</f>
        <v>-2680</v>
      </c>
      <c r="AP6" s="134"/>
      <c r="AQ6" s="134"/>
      <c r="AS6" s="134"/>
    </row>
    <row r="7" spans="1:45">
      <c r="A7" t="s">
        <v>693</v>
      </c>
      <c r="B7" t="s">
        <v>693</v>
      </c>
      <c r="C7" t="s">
        <v>693</v>
      </c>
      <c r="D7" t="s">
        <v>693</v>
      </c>
      <c r="E7" t="s">
        <v>693</v>
      </c>
      <c r="F7" t="s">
        <v>693</v>
      </c>
      <c r="G7" s="193">
        <v>48000</v>
      </c>
      <c r="H7">
        <v>90.2</v>
      </c>
      <c r="I7">
        <v>122.85</v>
      </c>
      <c r="J7" s="193">
        <v>48000</v>
      </c>
      <c r="K7" s="33">
        <v>330</v>
      </c>
      <c r="L7" s="193" t="s">
        <v>693</v>
      </c>
      <c r="M7" t="s">
        <v>693</v>
      </c>
      <c r="N7" t="s">
        <v>693</v>
      </c>
      <c r="O7" s="193" t="s">
        <v>693</v>
      </c>
      <c r="P7" t="s">
        <v>693</v>
      </c>
      <c r="Q7" t="s">
        <v>693</v>
      </c>
      <c r="R7" t="s">
        <v>693</v>
      </c>
      <c r="S7" s="193" t="s">
        <v>693</v>
      </c>
      <c r="T7" t="s">
        <v>693</v>
      </c>
      <c r="U7" t="s">
        <v>693</v>
      </c>
      <c r="AH7" s="34"/>
      <c r="AS7" s="134"/>
    </row>
    <row r="8" spans="1:45">
      <c r="A8" t="s">
        <v>693</v>
      </c>
      <c r="B8" t="s">
        <v>693</v>
      </c>
      <c r="C8" t="s">
        <v>693</v>
      </c>
      <c r="D8" t="s">
        <v>693</v>
      </c>
      <c r="E8" t="s">
        <v>693</v>
      </c>
      <c r="F8" t="s">
        <v>693</v>
      </c>
      <c r="G8" s="193">
        <v>48000</v>
      </c>
      <c r="H8">
        <v>78.3</v>
      </c>
      <c r="I8">
        <v>112.8</v>
      </c>
      <c r="J8" s="193">
        <v>48000</v>
      </c>
      <c r="K8" s="33">
        <v>340</v>
      </c>
      <c r="L8" s="193">
        <v>24000</v>
      </c>
      <c r="M8">
        <v>0.05</v>
      </c>
      <c r="N8">
        <v>12</v>
      </c>
      <c r="O8" s="193">
        <v>4800</v>
      </c>
      <c r="P8" t="s">
        <v>693</v>
      </c>
      <c r="Q8" t="s">
        <v>693</v>
      </c>
      <c r="R8" t="s">
        <v>693</v>
      </c>
      <c r="S8" s="193" t="s">
        <v>693</v>
      </c>
      <c r="T8" t="s">
        <v>693</v>
      </c>
      <c r="U8" t="s">
        <v>693</v>
      </c>
      <c r="X8" t="s">
        <v>698</v>
      </c>
      <c r="Y8">
        <v>4.53</v>
      </c>
      <c r="AC8" t="s">
        <v>565</v>
      </c>
      <c r="AE8" t="s">
        <v>704</v>
      </c>
      <c r="AG8" t="s">
        <v>706</v>
      </c>
      <c r="AH8" s="34" t="s">
        <v>558</v>
      </c>
      <c r="AI8" s="34" t="s">
        <v>559</v>
      </c>
      <c r="AJ8" s="34" t="s">
        <v>559</v>
      </c>
      <c r="AK8" s="34" t="s">
        <v>559</v>
      </c>
      <c r="AL8" s="34" t="s">
        <v>559</v>
      </c>
      <c r="AM8" s="34"/>
      <c r="AN8" s="34" t="s">
        <v>707</v>
      </c>
      <c r="AO8" s="34" t="s">
        <v>560</v>
      </c>
      <c r="AP8" s="34" t="s">
        <v>560</v>
      </c>
      <c r="AQ8" s="34" t="s">
        <v>560</v>
      </c>
      <c r="AR8" s="34" t="s">
        <v>560</v>
      </c>
      <c r="AS8" s="34" t="s">
        <v>561</v>
      </c>
    </row>
    <row r="9" spans="1:45">
      <c r="A9" t="s">
        <v>693</v>
      </c>
      <c r="B9" t="s">
        <v>693</v>
      </c>
      <c r="C9" t="s">
        <v>693</v>
      </c>
      <c r="D9" t="s">
        <v>693</v>
      </c>
      <c r="E9" t="s">
        <v>693</v>
      </c>
      <c r="F9" t="s">
        <v>693</v>
      </c>
      <c r="G9" s="193">
        <v>48000</v>
      </c>
      <c r="H9">
        <v>70.650000000000006</v>
      </c>
      <c r="I9">
        <v>96.4</v>
      </c>
      <c r="J9" s="193">
        <v>48000</v>
      </c>
      <c r="K9" s="33">
        <v>350</v>
      </c>
      <c r="L9" s="193">
        <v>1600</v>
      </c>
      <c r="M9">
        <v>0.15</v>
      </c>
      <c r="N9">
        <v>7</v>
      </c>
      <c r="O9" s="193">
        <v>1600</v>
      </c>
      <c r="P9" t="s">
        <v>693</v>
      </c>
      <c r="Q9" t="s">
        <v>693</v>
      </c>
      <c r="R9" t="s">
        <v>693</v>
      </c>
      <c r="S9" s="193" t="s">
        <v>693</v>
      </c>
      <c r="T9" t="s">
        <v>693</v>
      </c>
      <c r="U9" s="193" t="s">
        <v>693</v>
      </c>
      <c r="X9" t="s">
        <v>699</v>
      </c>
      <c r="Y9">
        <v>440</v>
      </c>
      <c r="AB9">
        <v>350</v>
      </c>
      <c r="AC9" s="34">
        <f>SUM(AE9,AG9,AN9)</f>
        <v>-51585.000000000058</v>
      </c>
      <c r="AD9" s="34"/>
      <c r="AE9" s="34">
        <f t="shared" ref="AE9:AE30" si="2">(AB9-$AE$4)*$Y$4*$Y$5</f>
        <v>-180205.50000000006</v>
      </c>
      <c r="AF9" s="34"/>
      <c r="AG9" s="34">
        <f>SUMIF(AH9:AL9,"&lt;&gt;#N/A")</f>
        <v>115710</v>
      </c>
      <c r="AH9" s="34"/>
      <c r="AI9" s="34"/>
      <c r="AJ9" s="34"/>
      <c r="AK9" s="34"/>
      <c r="AL9" s="34">
        <f t="shared" ref="AL9:AL30" si="3">$Y$4*$AL$5*(MAX($AL$2-AB9,0)-$AL$4)</f>
        <v>115710</v>
      </c>
      <c r="AM9" s="34"/>
      <c r="AN9" s="34">
        <f>SUMIF(AO9:AS9,"&lt;&gt;#N/A")</f>
        <v>12910.5</v>
      </c>
      <c r="AO9" s="34">
        <f t="shared" ref="AO9:AO30" si="4">$Y$4*$AO$5*(MAX(AB9-$AO$2,0)-$AO$4)</f>
        <v>12910.5</v>
      </c>
      <c r="AP9" s="34"/>
      <c r="AQ9" s="34"/>
      <c r="AR9" s="34"/>
      <c r="AS9" s="34"/>
    </row>
    <row r="10" spans="1:45">
      <c r="A10" t="s">
        <v>693</v>
      </c>
      <c r="B10" t="s">
        <v>693</v>
      </c>
      <c r="C10" t="s">
        <v>693</v>
      </c>
      <c r="D10" t="s">
        <v>693</v>
      </c>
      <c r="E10" t="s">
        <v>693</v>
      </c>
      <c r="F10" t="s">
        <v>693</v>
      </c>
      <c r="G10" s="193">
        <v>48000</v>
      </c>
      <c r="H10">
        <v>61.15</v>
      </c>
      <c r="I10">
        <v>102.55</v>
      </c>
      <c r="J10" s="193">
        <v>48000</v>
      </c>
      <c r="K10" s="33">
        <v>360</v>
      </c>
      <c r="L10" s="193">
        <v>9600</v>
      </c>
      <c r="M10">
        <v>1</v>
      </c>
      <c r="N10" t="s">
        <v>693</v>
      </c>
      <c r="O10" s="193" t="s">
        <v>693</v>
      </c>
      <c r="P10" t="s">
        <v>693</v>
      </c>
      <c r="Q10" t="s">
        <v>693</v>
      </c>
      <c r="R10" t="s">
        <v>693</v>
      </c>
      <c r="S10" s="193" t="s">
        <v>693</v>
      </c>
      <c r="T10" t="s">
        <v>693</v>
      </c>
      <c r="U10" s="193" t="s">
        <v>693</v>
      </c>
      <c r="X10" t="s">
        <v>700</v>
      </c>
      <c r="Y10">
        <v>-2</v>
      </c>
      <c r="AB10">
        <f>AB9+5</f>
        <v>355</v>
      </c>
      <c r="AC10" s="34">
        <f t="shared" ref="AC10:AC30" si="5">SUM(AE10,AG10,AN10)</f>
        <v>-51585.000000000058</v>
      </c>
      <c r="AD10" s="34"/>
      <c r="AE10" s="34">
        <f t="shared" si="2"/>
        <v>-165955.50000000006</v>
      </c>
      <c r="AF10" s="34"/>
      <c r="AG10" s="34">
        <f t="shared" ref="AG10:AG30" si="6">SUMIF(AH10:AL10,"&lt;&gt;#N/A")</f>
        <v>101460</v>
      </c>
      <c r="AH10" s="34"/>
      <c r="AI10" s="34"/>
      <c r="AJ10" s="34"/>
      <c r="AK10" s="34"/>
      <c r="AL10" s="34">
        <f t="shared" si="3"/>
        <v>101460</v>
      </c>
      <c r="AM10" s="34"/>
      <c r="AN10" s="34">
        <f t="shared" ref="AN10:AN30" si="7">SUMIF(AO10:AS10,"&lt;&gt;#N/A")</f>
        <v>12910.5</v>
      </c>
      <c r="AO10" s="34">
        <f t="shared" si="4"/>
        <v>12910.5</v>
      </c>
      <c r="AP10" s="34"/>
      <c r="AQ10" s="34"/>
      <c r="AR10" s="34"/>
      <c r="AS10" s="34"/>
    </row>
    <row r="11" spans="1:45">
      <c r="A11" t="s">
        <v>693</v>
      </c>
      <c r="B11" t="s">
        <v>693</v>
      </c>
      <c r="C11" s="193" t="s">
        <v>693</v>
      </c>
      <c r="D11" t="s">
        <v>693</v>
      </c>
      <c r="E11" t="s">
        <v>693</v>
      </c>
      <c r="F11" t="s">
        <v>693</v>
      </c>
      <c r="G11" s="193">
        <v>48000</v>
      </c>
      <c r="H11">
        <v>51.85</v>
      </c>
      <c r="I11">
        <v>96.75</v>
      </c>
      <c r="J11" s="193">
        <v>48000</v>
      </c>
      <c r="K11" s="33">
        <v>370</v>
      </c>
      <c r="L11" s="193">
        <v>1600</v>
      </c>
      <c r="M11">
        <v>1</v>
      </c>
      <c r="N11">
        <v>24.1</v>
      </c>
      <c r="O11" s="193">
        <v>1600</v>
      </c>
      <c r="P11" t="s">
        <v>693</v>
      </c>
      <c r="Q11" t="s">
        <v>693</v>
      </c>
      <c r="R11" t="s">
        <v>693</v>
      </c>
      <c r="S11" s="193" t="s">
        <v>693</v>
      </c>
      <c r="T11" t="s">
        <v>693</v>
      </c>
      <c r="U11" s="193" t="s">
        <v>693</v>
      </c>
      <c r="AB11">
        <f t="shared" ref="AB11:AB30" si="8">AB10+5</f>
        <v>360</v>
      </c>
      <c r="AC11" s="34">
        <f t="shared" si="5"/>
        <v>-51585.000000000058</v>
      </c>
      <c r="AD11" s="34"/>
      <c r="AE11" s="34">
        <f t="shared" si="2"/>
        <v>-151705.50000000006</v>
      </c>
      <c r="AF11" s="34"/>
      <c r="AG11" s="34">
        <f t="shared" si="6"/>
        <v>87210</v>
      </c>
      <c r="AH11" s="34"/>
      <c r="AI11" s="34"/>
      <c r="AJ11" s="34"/>
      <c r="AK11" s="34"/>
      <c r="AL11" s="34">
        <f t="shared" si="3"/>
        <v>87210</v>
      </c>
      <c r="AM11" s="34"/>
      <c r="AN11" s="34">
        <f t="shared" si="7"/>
        <v>12910.5</v>
      </c>
      <c r="AO11" s="34">
        <f t="shared" si="4"/>
        <v>12910.5</v>
      </c>
      <c r="AP11" s="34"/>
      <c r="AQ11" s="34"/>
      <c r="AR11" s="34"/>
      <c r="AS11" s="34"/>
    </row>
    <row r="12" spans="1:45">
      <c r="A12" t="s">
        <v>693</v>
      </c>
      <c r="B12" t="s">
        <v>693</v>
      </c>
      <c r="C12" s="193">
        <v>1</v>
      </c>
      <c r="D12" t="s">
        <v>693</v>
      </c>
      <c r="E12">
        <v>50.6</v>
      </c>
      <c r="F12">
        <v>-77.2</v>
      </c>
      <c r="G12" s="193">
        <v>3200</v>
      </c>
      <c r="H12">
        <v>47.45</v>
      </c>
      <c r="I12">
        <v>71.900000000000006</v>
      </c>
      <c r="J12" s="193">
        <v>48000</v>
      </c>
      <c r="K12" s="33">
        <v>380</v>
      </c>
      <c r="L12" s="193">
        <v>1600</v>
      </c>
      <c r="M12">
        <v>5.5</v>
      </c>
      <c r="N12">
        <v>11.3</v>
      </c>
      <c r="O12" s="193">
        <v>1600</v>
      </c>
      <c r="P12" t="s">
        <v>693</v>
      </c>
      <c r="Q12">
        <v>10</v>
      </c>
      <c r="R12">
        <v>52.31</v>
      </c>
      <c r="S12" s="193">
        <v>18</v>
      </c>
      <c r="T12" s="193">
        <v>12</v>
      </c>
      <c r="U12" s="193">
        <v>16</v>
      </c>
      <c r="X12" t="s">
        <v>701</v>
      </c>
      <c r="Y12">
        <v>9.4</v>
      </c>
      <c r="AB12">
        <f t="shared" si="8"/>
        <v>365</v>
      </c>
      <c r="AC12" s="34">
        <f t="shared" si="5"/>
        <v>-51585.000000000058</v>
      </c>
      <c r="AD12" s="34"/>
      <c r="AE12" s="34">
        <f t="shared" si="2"/>
        <v>-137455.50000000006</v>
      </c>
      <c r="AF12" s="34"/>
      <c r="AG12" s="34">
        <f t="shared" si="6"/>
        <v>72960</v>
      </c>
      <c r="AH12" s="34"/>
      <c r="AI12" s="34"/>
      <c r="AJ12" s="34"/>
      <c r="AK12" s="34"/>
      <c r="AL12" s="34">
        <f t="shared" si="3"/>
        <v>72960</v>
      </c>
      <c r="AM12" s="34"/>
      <c r="AN12" s="34">
        <f t="shared" si="7"/>
        <v>12910.5</v>
      </c>
      <c r="AO12" s="34">
        <f t="shared" si="4"/>
        <v>12910.5</v>
      </c>
      <c r="AP12" s="34"/>
      <c r="AQ12" s="34"/>
      <c r="AR12" s="34"/>
      <c r="AS12" s="34"/>
    </row>
    <row r="13" spans="1:45">
      <c r="A13">
        <v>1</v>
      </c>
      <c r="B13" t="s">
        <v>693</v>
      </c>
      <c r="C13" s="193" t="s">
        <v>693</v>
      </c>
      <c r="D13" t="s">
        <v>693</v>
      </c>
      <c r="E13" t="s">
        <v>693</v>
      </c>
      <c r="F13" t="s">
        <v>693</v>
      </c>
      <c r="G13" s="193">
        <v>1600</v>
      </c>
      <c r="H13">
        <v>36.299999999999997</v>
      </c>
      <c r="I13">
        <v>89.75</v>
      </c>
      <c r="J13" s="193">
        <v>1600</v>
      </c>
      <c r="K13" s="33">
        <v>390</v>
      </c>
      <c r="L13" s="193">
        <v>1600</v>
      </c>
      <c r="M13">
        <v>9.6</v>
      </c>
      <c r="N13" t="s">
        <v>693</v>
      </c>
      <c r="O13" s="193" t="s">
        <v>693</v>
      </c>
      <c r="P13" t="s">
        <v>693</v>
      </c>
      <c r="Q13" t="s">
        <v>693</v>
      </c>
      <c r="R13" t="s">
        <v>693</v>
      </c>
      <c r="S13" s="193" t="s">
        <v>693</v>
      </c>
      <c r="T13" t="s">
        <v>693</v>
      </c>
      <c r="U13" s="193">
        <v>3</v>
      </c>
      <c r="X13" t="s">
        <v>702</v>
      </c>
      <c r="Y13">
        <v>400</v>
      </c>
      <c r="AB13">
        <f t="shared" si="8"/>
        <v>370</v>
      </c>
      <c r="AC13" s="34">
        <f t="shared" si="5"/>
        <v>-51585.000000000051</v>
      </c>
      <c r="AD13" s="34"/>
      <c r="AE13" s="34">
        <f t="shared" si="2"/>
        <v>-123205.50000000006</v>
      </c>
      <c r="AF13" s="34"/>
      <c r="AG13" s="34">
        <f t="shared" si="6"/>
        <v>58710.000000000007</v>
      </c>
      <c r="AH13" s="34"/>
      <c r="AI13" s="34"/>
      <c r="AJ13" s="34"/>
      <c r="AK13" s="34"/>
      <c r="AL13" s="34">
        <f t="shared" si="3"/>
        <v>58710.000000000007</v>
      </c>
      <c r="AM13" s="34"/>
      <c r="AN13" s="34">
        <f t="shared" si="7"/>
        <v>12910.5</v>
      </c>
      <c r="AO13" s="34">
        <f t="shared" si="4"/>
        <v>12910.5</v>
      </c>
      <c r="AP13" s="34"/>
      <c r="AQ13" s="34"/>
      <c r="AR13" s="34"/>
      <c r="AS13" s="34"/>
    </row>
    <row r="14" spans="1:45">
      <c r="A14" s="193">
        <v>12</v>
      </c>
      <c r="B14" s="193" t="s">
        <v>693</v>
      </c>
      <c r="C14" s="193">
        <v>5</v>
      </c>
      <c r="D14">
        <v>40.92</v>
      </c>
      <c r="E14">
        <v>42.2</v>
      </c>
      <c r="F14">
        <v>1.2</v>
      </c>
      <c r="G14" s="193">
        <v>3200</v>
      </c>
      <c r="H14">
        <v>42.4</v>
      </c>
      <c r="I14">
        <v>47</v>
      </c>
      <c r="J14" s="193">
        <v>1600</v>
      </c>
      <c r="K14" s="33">
        <v>400</v>
      </c>
      <c r="L14" s="193">
        <v>3200</v>
      </c>
      <c r="M14">
        <v>14</v>
      </c>
      <c r="N14">
        <v>18</v>
      </c>
      <c r="O14" s="193">
        <v>1600</v>
      </c>
      <c r="P14">
        <v>-4.2</v>
      </c>
      <c r="Q14">
        <v>14.3</v>
      </c>
      <c r="R14">
        <v>48.48</v>
      </c>
      <c r="S14" s="193">
        <v>14</v>
      </c>
      <c r="T14" s="193">
        <v>5</v>
      </c>
      <c r="U14" s="193">
        <v>10</v>
      </c>
      <c r="X14" t="s">
        <v>703</v>
      </c>
      <c r="Y14">
        <v>2</v>
      </c>
      <c r="AB14">
        <f t="shared" si="8"/>
        <v>375</v>
      </c>
      <c r="AC14" s="34">
        <f t="shared" si="5"/>
        <v>-51585.000000000058</v>
      </c>
      <c r="AD14" s="34"/>
      <c r="AE14" s="34">
        <f t="shared" si="2"/>
        <v>-108955.50000000006</v>
      </c>
      <c r="AF14" s="34"/>
      <c r="AG14" s="34">
        <f t="shared" si="6"/>
        <v>44460</v>
      </c>
      <c r="AH14" s="34"/>
      <c r="AI14" s="34"/>
      <c r="AJ14" s="34"/>
      <c r="AK14" s="34"/>
      <c r="AL14" s="34">
        <f t="shared" si="3"/>
        <v>44460</v>
      </c>
      <c r="AM14" s="34"/>
      <c r="AN14" s="34">
        <f t="shared" si="7"/>
        <v>12910.5</v>
      </c>
      <c r="AO14" s="34">
        <f t="shared" si="4"/>
        <v>12910.5</v>
      </c>
      <c r="AP14" s="34"/>
      <c r="AQ14" s="34"/>
      <c r="AR14" s="34"/>
      <c r="AS14" s="34"/>
    </row>
    <row r="15" spans="1:45">
      <c r="A15" s="193" t="s">
        <v>693</v>
      </c>
      <c r="B15" t="s">
        <v>693</v>
      </c>
      <c r="C15" s="193" t="s">
        <v>693</v>
      </c>
      <c r="D15" t="s">
        <v>693</v>
      </c>
      <c r="E15" t="s">
        <v>693</v>
      </c>
      <c r="F15" t="s">
        <v>693</v>
      </c>
      <c r="G15" s="193">
        <v>1600</v>
      </c>
      <c r="H15">
        <v>29.2</v>
      </c>
      <c r="I15">
        <v>45.35</v>
      </c>
      <c r="J15" s="193">
        <v>1600</v>
      </c>
      <c r="K15" s="33">
        <v>410</v>
      </c>
      <c r="L15" s="193">
        <v>1600</v>
      </c>
      <c r="M15">
        <v>15.05</v>
      </c>
      <c r="N15" t="s">
        <v>693</v>
      </c>
      <c r="O15" s="193" t="s">
        <v>693</v>
      </c>
      <c r="P15">
        <v>-4.8499999999999996</v>
      </c>
      <c r="Q15">
        <v>18</v>
      </c>
      <c r="R15">
        <v>48.37</v>
      </c>
      <c r="S15" s="193" t="s">
        <v>693</v>
      </c>
      <c r="T15" t="s">
        <v>693</v>
      </c>
      <c r="U15" s="193" t="s">
        <v>693</v>
      </c>
      <c r="AB15">
        <f t="shared" si="8"/>
        <v>380</v>
      </c>
      <c r="AC15" s="34">
        <f t="shared" si="5"/>
        <v>-51585.000000000058</v>
      </c>
      <c r="AD15" s="34"/>
      <c r="AE15" s="34">
        <f t="shared" si="2"/>
        <v>-94705.500000000058</v>
      </c>
      <c r="AF15" s="34"/>
      <c r="AG15" s="34">
        <f t="shared" si="6"/>
        <v>30210</v>
      </c>
      <c r="AH15" s="34"/>
      <c r="AI15" s="34"/>
      <c r="AJ15" s="34"/>
      <c r="AK15" s="34"/>
      <c r="AL15" s="34">
        <f t="shared" si="3"/>
        <v>30210</v>
      </c>
      <c r="AM15" s="34"/>
      <c r="AN15" s="34">
        <f t="shared" si="7"/>
        <v>12910.5</v>
      </c>
      <c r="AO15" s="34">
        <f t="shared" si="4"/>
        <v>12910.5</v>
      </c>
      <c r="AP15" s="34"/>
      <c r="AQ15" s="34"/>
      <c r="AR15" s="34"/>
      <c r="AS15" s="34"/>
    </row>
    <row r="16" spans="1:45">
      <c r="A16" s="193" t="s">
        <v>693</v>
      </c>
      <c r="B16" t="s">
        <v>693</v>
      </c>
      <c r="C16" s="193" t="s">
        <v>693</v>
      </c>
      <c r="D16" t="s">
        <v>693</v>
      </c>
      <c r="E16" t="s">
        <v>693</v>
      </c>
      <c r="F16" t="s">
        <v>693</v>
      </c>
      <c r="G16" s="193">
        <v>1600</v>
      </c>
      <c r="H16">
        <v>32.450000000000003</v>
      </c>
      <c r="I16">
        <v>35.549999999999997</v>
      </c>
      <c r="J16" s="193">
        <v>1600</v>
      </c>
      <c r="K16" s="33">
        <v>420</v>
      </c>
      <c r="L16" s="193">
        <v>1600</v>
      </c>
      <c r="M16">
        <v>19.05</v>
      </c>
      <c r="N16" t="s">
        <v>693</v>
      </c>
      <c r="O16" s="193" t="s">
        <v>693</v>
      </c>
      <c r="P16">
        <v>-1.2</v>
      </c>
      <c r="Q16">
        <v>25</v>
      </c>
      <c r="R16">
        <v>53.1</v>
      </c>
      <c r="S16" s="193" t="s">
        <v>693</v>
      </c>
      <c r="T16" t="s">
        <v>693</v>
      </c>
      <c r="U16" s="193" t="s">
        <v>693</v>
      </c>
      <c r="AB16">
        <f t="shared" si="8"/>
        <v>385</v>
      </c>
      <c r="AC16" s="34">
        <f t="shared" si="5"/>
        <v>-51585.000000000058</v>
      </c>
      <c r="AD16" s="34"/>
      <c r="AE16" s="34">
        <f t="shared" si="2"/>
        <v>-80455.500000000058</v>
      </c>
      <c r="AF16" s="34"/>
      <c r="AG16" s="34">
        <f t="shared" si="6"/>
        <v>15959.999999999998</v>
      </c>
      <c r="AH16" s="34"/>
      <c r="AI16" s="34"/>
      <c r="AJ16" s="34"/>
      <c r="AK16" s="34"/>
      <c r="AL16" s="34">
        <f t="shared" si="3"/>
        <v>15959.999999999998</v>
      </c>
      <c r="AM16" s="34"/>
      <c r="AN16" s="34">
        <f t="shared" si="7"/>
        <v>12910.5</v>
      </c>
      <c r="AO16" s="34">
        <f t="shared" si="4"/>
        <v>12910.5</v>
      </c>
      <c r="AP16" s="34"/>
      <c r="AQ16" s="34"/>
      <c r="AR16" s="34"/>
      <c r="AS16" s="34"/>
    </row>
    <row r="17" spans="1:45">
      <c r="A17" s="193" t="s">
        <v>693</v>
      </c>
      <c r="B17" t="s">
        <v>693</v>
      </c>
      <c r="C17" s="193" t="s">
        <v>693</v>
      </c>
      <c r="D17" t="s">
        <v>693</v>
      </c>
      <c r="E17" t="s">
        <v>693</v>
      </c>
      <c r="F17" t="s">
        <v>693</v>
      </c>
      <c r="G17" s="193">
        <v>1600</v>
      </c>
      <c r="H17">
        <v>26.15</v>
      </c>
      <c r="I17">
        <v>33.35</v>
      </c>
      <c r="J17" s="193">
        <v>3200</v>
      </c>
      <c r="K17" s="33">
        <v>430</v>
      </c>
      <c r="L17" s="193">
        <v>3200</v>
      </c>
      <c r="M17">
        <v>17</v>
      </c>
      <c r="N17" t="s">
        <v>693</v>
      </c>
      <c r="O17" s="193" t="s">
        <v>693</v>
      </c>
      <c r="P17" t="s">
        <v>693</v>
      </c>
      <c r="Q17" t="s">
        <v>693</v>
      </c>
      <c r="R17" t="s">
        <v>693</v>
      </c>
      <c r="S17" t="s">
        <v>693</v>
      </c>
      <c r="T17" t="s">
        <v>693</v>
      </c>
      <c r="U17" s="193">
        <v>1</v>
      </c>
      <c r="AB17">
        <f t="shared" si="8"/>
        <v>390</v>
      </c>
      <c r="AC17" s="34">
        <f t="shared" si="5"/>
        <v>-51585.000000000058</v>
      </c>
      <c r="AD17" s="34"/>
      <c r="AE17" s="34">
        <f t="shared" si="2"/>
        <v>-66205.500000000058</v>
      </c>
      <c r="AF17" s="34"/>
      <c r="AG17" s="34">
        <f t="shared" si="6"/>
        <v>1709.9999999999991</v>
      </c>
      <c r="AH17" s="34"/>
      <c r="AI17" s="34"/>
      <c r="AJ17" s="34"/>
      <c r="AK17" s="34"/>
      <c r="AL17" s="34">
        <f t="shared" si="3"/>
        <v>1709.9999999999991</v>
      </c>
      <c r="AM17" s="34"/>
      <c r="AN17" s="34">
        <f t="shared" si="7"/>
        <v>12910.5</v>
      </c>
      <c r="AO17" s="34">
        <f t="shared" si="4"/>
        <v>12910.5</v>
      </c>
      <c r="AP17" s="34"/>
      <c r="AQ17" s="34"/>
      <c r="AR17" s="34"/>
      <c r="AS17" s="34"/>
    </row>
    <row r="18" spans="1:45">
      <c r="A18" s="193" t="s">
        <v>693</v>
      </c>
      <c r="B18" t="s">
        <v>693</v>
      </c>
      <c r="C18" s="193" t="s">
        <v>693</v>
      </c>
      <c r="D18" t="s">
        <v>693</v>
      </c>
      <c r="E18" t="s">
        <v>693</v>
      </c>
      <c r="F18" t="s">
        <v>693</v>
      </c>
      <c r="G18" s="193">
        <v>1600</v>
      </c>
      <c r="H18">
        <v>17.3</v>
      </c>
      <c r="I18">
        <v>25.9</v>
      </c>
      <c r="J18" s="193">
        <v>1600</v>
      </c>
      <c r="K18" s="33">
        <v>440</v>
      </c>
      <c r="L18" s="193">
        <v>1600</v>
      </c>
      <c r="M18">
        <v>22.85</v>
      </c>
      <c r="N18" t="s">
        <v>693</v>
      </c>
      <c r="O18" s="193" t="s">
        <v>693</v>
      </c>
      <c r="P18" t="s">
        <v>693</v>
      </c>
      <c r="Q18" t="s">
        <v>693</v>
      </c>
      <c r="R18" t="s">
        <v>693</v>
      </c>
      <c r="S18" t="s">
        <v>693</v>
      </c>
      <c r="T18" t="s">
        <v>693</v>
      </c>
      <c r="U18" t="s">
        <v>693</v>
      </c>
      <c r="AB18">
        <f t="shared" si="8"/>
        <v>395</v>
      </c>
      <c r="AC18" s="34">
        <f t="shared" si="5"/>
        <v>-51585.000000000051</v>
      </c>
      <c r="AD18" s="34"/>
      <c r="AE18" s="34">
        <f t="shared" si="2"/>
        <v>-51955.500000000051</v>
      </c>
      <c r="AF18" s="34"/>
      <c r="AG18" s="34">
        <f t="shared" si="6"/>
        <v>-12540.000000000002</v>
      </c>
      <c r="AH18" s="34"/>
      <c r="AI18" s="34"/>
      <c r="AJ18" s="34"/>
      <c r="AK18" s="34"/>
      <c r="AL18" s="34">
        <f t="shared" si="3"/>
        <v>-12540.000000000002</v>
      </c>
      <c r="AM18" s="34"/>
      <c r="AN18" s="34">
        <f t="shared" si="7"/>
        <v>12910.5</v>
      </c>
      <c r="AO18" s="34">
        <f t="shared" si="4"/>
        <v>12910.5</v>
      </c>
      <c r="AP18" s="34"/>
      <c r="AQ18" s="34"/>
      <c r="AR18" s="34"/>
      <c r="AS18" s="34"/>
    </row>
    <row r="19" spans="1:45">
      <c r="A19" s="193">
        <v>14</v>
      </c>
      <c r="B19">
        <v>2</v>
      </c>
      <c r="C19" s="193">
        <v>26</v>
      </c>
      <c r="D19">
        <v>47.23</v>
      </c>
      <c r="E19">
        <v>20.149999999999999</v>
      </c>
      <c r="F19">
        <v>3.4</v>
      </c>
      <c r="G19" s="193">
        <v>4800</v>
      </c>
      <c r="H19">
        <v>18.899999999999999</v>
      </c>
      <c r="I19">
        <v>20.75</v>
      </c>
      <c r="J19" s="193">
        <v>1600</v>
      </c>
      <c r="K19" s="33">
        <v>450</v>
      </c>
      <c r="L19" s="193">
        <v>1600</v>
      </c>
      <c r="M19">
        <v>29.4</v>
      </c>
      <c r="N19">
        <v>79.95</v>
      </c>
      <c r="O19" s="193">
        <v>3200</v>
      </c>
      <c r="P19" t="s">
        <v>693</v>
      </c>
      <c r="Q19" t="s">
        <v>693</v>
      </c>
      <c r="R19" t="s">
        <v>693</v>
      </c>
      <c r="S19" t="s">
        <v>693</v>
      </c>
      <c r="T19" t="s">
        <v>693</v>
      </c>
      <c r="U19" t="s">
        <v>693</v>
      </c>
      <c r="AB19">
        <f t="shared" si="8"/>
        <v>400</v>
      </c>
      <c r="AC19" s="34">
        <f t="shared" si="5"/>
        <v>-51585.000000000051</v>
      </c>
      <c r="AD19" s="34"/>
      <c r="AE19" s="34">
        <f t="shared" si="2"/>
        <v>-37705.500000000051</v>
      </c>
      <c r="AF19" s="34"/>
      <c r="AG19" s="34">
        <f t="shared" si="6"/>
        <v>-26790</v>
      </c>
      <c r="AH19" s="34"/>
      <c r="AI19" s="34"/>
      <c r="AJ19" s="34"/>
      <c r="AK19" s="34"/>
      <c r="AL19" s="34">
        <f t="shared" si="3"/>
        <v>-26790</v>
      </c>
      <c r="AM19" s="34"/>
      <c r="AN19" s="34">
        <f t="shared" si="7"/>
        <v>12910.5</v>
      </c>
      <c r="AO19" s="34">
        <f t="shared" si="4"/>
        <v>12910.5</v>
      </c>
      <c r="AP19" s="34"/>
      <c r="AQ19" s="34"/>
      <c r="AR19" s="34"/>
      <c r="AS19" s="34"/>
    </row>
    <row r="20" spans="1:45">
      <c r="A20" s="193">
        <v>8</v>
      </c>
      <c r="B20">
        <v>1</v>
      </c>
      <c r="C20" s="193">
        <v>4</v>
      </c>
      <c r="D20">
        <v>50.18</v>
      </c>
      <c r="E20">
        <v>18.5</v>
      </c>
      <c r="F20">
        <v>4.0999999999999996</v>
      </c>
      <c r="G20" s="193">
        <v>3200</v>
      </c>
      <c r="H20">
        <v>14.8</v>
      </c>
      <c r="I20">
        <v>19.8</v>
      </c>
      <c r="J20" s="193">
        <v>1600</v>
      </c>
      <c r="K20" s="33">
        <v>460</v>
      </c>
      <c r="L20" s="193">
        <v>1600</v>
      </c>
      <c r="M20">
        <v>37.049999999999997</v>
      </c>
      <c r="N20">
        <v>91</v>
      </c>
      <c r="O20" s="193">
        <v>3200</v>
      </c>
      <c r="P20" t="s">
        <v>693</v>
      </c>
      <c r="Q20" t="s">
        <v>693</v>
      </c>
      <c r="R20" t="s">
        <v>693</v>
      </c>
      <c r="S20" t="s">
        <v>693</v>
      </c>
      <c r="T20" t="s">
        <v>693</v>
      </c>
      <c r="U20" t="s">
        <v>693</v>
      </c>
      <c r="AB20">
        <f t="shared" si="8"/>
        <v>405</v>
      </c>
      <c r="AC20" s="34">
        <f t="shared" si="5"/>
        <v>-37335.000000000051</v>
      </c>
      <c r="AD20" s="34"/>
      <c r="AE20" s="34">
        <f t="shared" si="2"/>
        <v>-23455.500000000051</v>
      </c>
      <c r="AF20" s="34"/>
      <c r="AG20" s="34">
        <f t="shared" si="6"/>
        <v>-26790</v>
      </c>
      <c r="AH20" s="34"/>
      <c r="AI20" s="34"/>
      <c r="AJ20" s="34"/>
      <c r="AK20" s="34"/>
      <c r="AL20" s="34">
        <f t="shared" si="3"/>
        <v>-26790</v>
      </c>
      <c r="AM20" s="34"/>
      <c r="AN20" s="34">
        <f t="shared" si="7"/>
        <v>12910.5</v>
      </c>
      <c r="AO20" s="34">
        <f t="shared" si="4"/>
        <v>12910.5</v>
      </c>
      <c r="AP20" s="34"/>
      <c r="AQ20" s="34"/>
      <c r="AR20" s="34"/>
      <c r="AS20" s="34"/>
    </row>
    <row r="21" spans="1:45">
      <c r="A21" s="193" t="s">
        <v>693</v>
      </c>
      <c r="B21" t="s">
        <v>693</v>
      </c>
      <c r="C21" s="193" t="s">
        <v>693</v>
      </c>
      <c r="D21" t="s">
        <v>693</v>
      </c>
      <c r="E21" t="s">
        <v>693</v>
      </c>
      <c r="F21" t="s">
        <v>693</v>
      </c>
      <c r="G21" s="193">
        <v>1600</v>
      </c>
      <c r="H21">
        <v>9.1999999999999993</v>
      </c>
      <c r="I21">
        <v>20.9</v>
      </c>
      <c r="J21" s="193">
        <v>48000</v>
      </c>
      <c r="K21" s="33">
        <v>470</v>
      </c>
      <c r="L21" s="193">
        <v>28800</v>
      </c>
      <c r="M21">
        <v>31.75</v>
      </c>
      <c r="N21" t="s">
        <v>693</v>
      </c>
      <c r="O21" s="193" t="s">
        <v>693</v>
      </c>
      <c r="P21" t="s">
        <v>693</v>
      </c>
      <c r="Q21" t="s">
        <v>693</v>
      </c>
      <c r="R21" t="s">
        <v>693</v>
      </c>
      <c r="S21" t="s">
        <v>693</v>
      </c>
      <c r="T21" t="s">
        <v>693</v>
      </c>
      <c r="U21" t="s">
        <v>693</v>
      </c>
      <c r="AB21">
        <f t="shared" si="8"/>
        <v>410</v>
      </c>
      <c r="AC21" s="34">
        <f t="shared" si="5"/>
        <v>-23085.000000000051</v>
      </c>
      <c r="AD21" s="34"/>
      <c r="AE21" s="34">
        <f t="shared" si="2"/>
        <v>-9205.5000000000509</v>
      </c>
      <c r="AF21" s="34"/>
      <c r="AG21" s="34">
        <f t="shared" si="6"/>
        <v>-26790</v>
      </c>
      <c r="AH21" s="34"/>
      <c r="AI21" s="34"/>
      <c r="AJ21" s="34"/>
      <c r="AK21" s="34"/>
      <c r="AL21" s="34">
        <f t="shared" si="3"/>
        <v>-26790</v>
      </c>
      <c r="AM21" s="34"/>
      <c r="AN21" s="34">
        <f t="shared" si="7"/>
        <v>12910.5</v>
      </c>
      <c r="AO21" s="34">
        <f t="shared" si="4"/>
        <v>12910.5</v>
      </c>
      <c r="AP21" s="34"/>
      <c r="AQ21" s="34"/>
      <c r="AR21" s="34"/>
      <c r="AS21" s="34"/>
    </row>
    <row r="22" spans="1:45">
      <c r="A22" s="193">
        <v>3</v>
      </c>
      <c r="B22" t="s">
        <v>693</v>
      </c>
      <c r="C22" s="193" t="s">
        <v>693</v>
      </c>
      <c r="D22" t="s">
        <v>693</v>
      </c>
      <c r="E22" t="s">
        <v>693</v>
      </c>
      <c r="F22" t="s">
        <v>693</v>
      </c>
      <c r="G22" s="193">
        <v>1600</v>
      </c>
      <c r="H22">
        <v>4.1500000000000004</v>
      </c>
      <c r="I22">
        <v>14</v>
      </c>
      <c r="J22" s="193">
        <v>1600</v>
      </c>
      <c r="K22" s="33">
        <v>480</v>
      </c>
      <c r="L22" s="193">
        <v>22400</v>
      </c>
      <c r="M22">
        <v>39.65</v>
      </c>
      <c r="N22" t="s">
        <v>693</v>
      </c>
      <c r="O22" s="193" t="s">
        <v>693</v>
      </c>
      <c r="P22" t="s">
        <v>693</v>
      </c>
      <c r="Q22" t="s">
        <v>693</v>
      </c>
      <c r="R22" t="s">
        <v>693</v>
      </c>
      <c r="S22" t="s">
        <v>693</v>
      </c>
      <c r="T22" t="s">
        <v>693</v>
      </c>
      <c r="U22" t="s">
        <v>693</v>
      </c>
      <c r="AB22">
        <f t="shared" si="8"/>
        <v>415</v>
      </c>
      <c r="AC22" s="34">
        <f t="shared" si="5"/>
        <v>-8835.0000000000509</v>
      </c>
      <c r="AD22" s="34"/>
      <c r="AE22" s="34">
        <f t="shared" si="2"/>
        <v>5044.4999999999482</v>
      </c>
      <c r="AF22" s="34"/>
      <c r="AG22" s="34">
        <f t="shared" si="6"/>
        <v>-26790</v>
      </c>
      <c r="AH22" s="34"/>
      <c r="AI22" s="34"/>
      <c r="AJ22" s="34"/>
      <c r="AK22" s="34"/>
      <c r="AL22" s="34">
        <f t="shared" si="3"/>
        <v>-26790</v>
      </c>
      <c r="AM22" s="34"/>
      <c r="AN22" s="34">
        <f t="shared" si="7"/>
        <v>12910.5</v>
      </c>
      <c r="AO22" s="34">
        <f t="shared" si="4"/>
        <v>12910.5</v>
      </c>
      <c r="AP22" s="34"/>
      <c r="AQ22" s="34"/>
      <c r="AR22" s="34"/>
      <c r="AS22" s="34"/>
    </row>
    <row r="23" spans="1:45">
      <c r="A23" t="s">
        <v>693</v>
      </c>
      <c r="B23" t="s">
        <v>693</v>
      </c>
      <c r="C23" s="193" t="s">
        <v>693</v>
      </c>
      <c r="D23" t="s">
        <v>693</v>
      </c>
      <c r="E23" t="s">
        <v>693</v>
      </c>
      <c r="F23" t="s">
        <v>693</v>
      </c>
      <c r="G23" s="193">
        <v>6400</v>
      </c>
      <c r="H23">
        <v>0.6</v>
      </c>
      <c r="I23">
        <v>19.899999999999999</v>
      </c>
      <c r="J23" s="193">
        <v>1600</v>
      </c>
      <c r="K23" s="33">
        <v>490</v>
      </c>
      <c r="L23" s="193">
        <v>48000</v>
      </c>
      <c r="M23">
        <v>50.15</v>
      </c>
      <c r="N23" t="s">
        <v>693</v>
      </c>
      <c r="O23" s="193" t="s">
        <v>693</v>
      </c>
      <c r="P23" t="s">
        <v>693</v>
      </c>
      <c r="Q23" t="s">
        <v>693</v>
      </c>
      <c r="R23" t="s">
        <v>693</v>
      </c>
      <c r="S23" t="s">
        <v>693</v>
      </c>
      <c r="T23" t="s">
        <v>693</v>
      </c>
      <c r="U23" t="s">
        <v>693</v>
      </c>
      <c r="AB23">
        <f t="shared" si="8"/>
        <v>420</v>
      </c>
      <c r="AC23" s="34">
        <f t="shared" si="5"/>
        <v>5414.9999999999491</v>
      </c>
      <c r="AD23" s="34"/>
      <c r="AE23" s="34">
        <f t="shared" si="2"/>
        <v>19294.499999999949</v>
      </c>
      <c r="AF23" s="34"/>
      <c r="AG23" s="34">
        <f t="shared" si="6"/>
        <v>-26790</v>
      </c>
      <c r="AH23" s="34"/>
      <c r="AI23" s="34"/>
      <c r="AJ23" s="34"/>
      <c r="AK23" s="34"/>
      <c r="AL23" s="34">
        <f t="shared" si="3"/>
        <v>-26790</v>
      </c>
      <c r="AM23" s="34"/>
      <c r="AN23" s="34">
        <f t="shared" si="7"/>
        <v>12910.5</v>
      </c>
      <c r="AO23" s="34">
        <f t="shared" si="4"/>
        <v>12910.5</v>
      </c>
      <c r="AP23" s="34"/>
      <c r="AQ23" s="34"/>
      <c r="AR23" s="34"/>
      <c r="AS23" s="34"/>
    </row>
    <row r="24" spans="1:45">
      <c r="A24" s="193">
        <v>4</v>
      </c>
      <c r="B24">
        <v>1</v>
      </c>
      <c r="C24" s="193">
        <v>2</v>
      </c>
      <c r="D24">
        <v>47.85</v>
      </c>
      <c r="E24">
        <v>7.7</v>
      </c>
      <c r="F24">
        <v>-5.3</v>
      </c>
      <c r="G24" s="193">
        <v>1600</v>
      </c>
      <c r="H24">
        <v>5.15</v>
      </c>
      <c r="I24">
        <v>9.9499999999999993</v>
      </c>
      <c r="J24" s="193">
        <v>1600</v>
      </c>
      <c r="K24" s="33">
        <v>500</v>
      </c>
      <c r="L24" s="193">
        <v>48000</v>
      </c>
      <c r="M24">
        <v>62.35</v>
      </c>
      <c r="N24" t="s">
        <v>693</v>
      </c>
      <c r="O24" s="193" t="s">
        <v>693</v>
      </c>
      <c r="P24" t="s">
        <v>693</v>
      </c>
      <c r="Q24" t="s">
        <v>693</v>
      </c>
      <c r="R24" t="s">
        <v>693</v>
      </c>
      <c r="S24" t="s">
        <v>693</v>
      </c>
      <c r="T24" t="s">
        <v>693</v>
      </c>
      <c r="U24" t="s">
        <v>693</v>
      </c>
      <c r="AB24">
        <f t="shared" si="8"/>
        <v>425</v>
      </c>
      <c r="AC24" s="34">
        <f t="shared" si="5"/>
        <v>19664.999999999949</v>
      </c>
      <c r="AD24" s="34"/>
      <c r="AE24" s="34">
        <f t="shared" si="2"/>
        <v>33544.499999999949</v>
      </c>
      <c r="AF24" s="34"/>
      <c r="AG24" s="34">
        <f t="shared" si="6"/>
        <v>-26790</v>
      </c>
      <c r="AH24" s="34"/>
      <c r="AI24" s="34"/>
      <c r="AJ24" s="34"/>
      <c r="AK24" s="34"/>
      <c r="AL24" s="34">
        <f t="shared" si="3"/>
        <v>-26790</v>
      </c>
      <c r="AM24" s="34"/>
      <c r="AN24" s="34">
        <f t="shared" si="7"/>
        <v>12910.5</v>
      </c>
      <c r="AO24" s="34">
        <f t="shared" si="4"/>
        <v>12910.5</v>
      </c>
      <c r="AP24" s="34"/>
      <c r="AQ24" s="34"/>
      <c r="AR24" s="34"/>
      <c r="AS24" s="34"/>
    </row>
    <row r="25" spans="1:45">
      <c r="A25" t="s">
        <v>693</v>
      </c>
      <c r="B25" t="s">
        <v>693</v>
      </c>
      <c r="C25" t="s">
        <v>693</v>
      </c>
      <c r="D25" t="s">
        <v>693</v>
      </c>
      <c r="E25" t="s">
        <v>693</v>
      </c>
      <c r="F25" t="s">
        <v>693</v>
      </c>
      <c r="G25" s="193">
        <v>6400</v>
      </c>
      <c r="H25">
        <v>0.3</v>
      </c>
      <c r="I25">
        <v>15.05</v>
      </c>
      <c r="J25" s="193">
        <v>48000</v>
      </c>
      <c r="K25" s="33">
        <v>510</v>
      </c>
      <c r="L25" s="193">
        <v>48000</v>
      </c>
      <c r="M25">
        <v>69.05</v>
      </c>
      <c r="N25" t="s">
        <v>693</v>
      </c>
      <c r="O25" s="193" t="s">
        <v>693</v>
      </c>
      <c r="P25" t="s">
        <v>693</v>
      </c>
      <c r="Q25" t="s">
        <v>693</v>
      </c>
      <c r="R25" t="s">
        <v>693</v>
      </c>
      <c r="S25" t="s">
        <v>693</v>
      </c>
      <c r="T25" t="s">
        <v>693</v>
      </c>
      <c r="U25" t="s">
        <v>693</v>
      </c>
      <c r="AB25">
        <f t="shared" si="8"/>
        <v>430</v>
      </c>
      <c r="AC25" s="34">
        <f t="shared" si="5"/>
        <v>33914.999999999949</v>
      </c>
      <c r="AD25" s="34"/>
      <c r="AE25" s="34">
        <f t="shared" si="2"/>
        <v>47794.499999999949</v>
      </c>
      <c r="AF25" s="34"/>
      <c r="AG25" s="34">
        <f t="shared" si="6"/>
        <v>-26790</v>
      </c>
      <c r="AH25" s="34"/>
      <c r="AI25" s="34"/>
      <c r="AJ25" s="34"/>
      <c r="AK25" s="34"/>
      <c r="AL25" s="34">
        <f t="shared" si="3"/>
        <v>-26790</v>
      </c>
      <c r="AM25" s="34"/>
      <c r="AN25" s="34">
        <f t="shared" si="7"/>
        <v>12910.5</v>
      </c>
      <c r="AO25" s="34">
        <f t="shared" si="4"/>
        <v>12910.5</v>
      </c>
      <c r="AP25" s="34"/>
      <c r="AQ25" s="34"/>
      <c r="AR25" s="34"/>
      <c r="AS25" s="34"/>
    </row>
    <row r="26" spans="1:45">
      <c r="A26" t="s">
        <v>693</v>
      </c>
      <c r="B26" t="s">
        <v>693</v>
      </c>
      <c r="C26" t="s">
        <v>693</v>
      </c>
      <c r="D26" t="s">
        <v>693</v>
      </c>
      <c r="E26" t="s">
        <v>693</v>
      </c>
      <c r="F26" t="s">
        <v>693</v>
      </c>
      <c r="G26" s="193">
        <v>6400</v>
      </c>
      <c r="H26">
        <v>0.2</v>
      </c>
      <c r="I26">
        <v>15.05</v>
      </c>
      <c r="J26" s="193">
        <v>48000</v>
      </c>
      <c r="K26" s="33">
        <v>520</v>
      </c>
      <c r="L26" s="193">
        <v>48000</v>
      </c>
      <c r="M26">
        <v>80.45</v>
      </c>
      <c r="N26" t="s">
        <v>693</v>
      </c>
      <c r="O26" s="193" t="s">
        <v>693</v>
      </c>
      <c r="P26" t="s">
        <v>693</v>
      </c>
      <c r="Q26" t="s">
        <v>693</v>
      </c>
      <c r="R26" t="s">
        <v>693</v>
      </c>
      <c r="S26" t="s">
        <v>693</v>
      </c>
      <c r="T26" t="s">
        <v>693</v>
      </c>
      <c r="U26" t="s">
        <v>693</v>
      </c>
      <c r="AB26">
        <f t="shared" si="8"/>
        <v>435</v>
      </c>
      <c r="AC26" s="34">
        <f t="shared" si="5"/>
        <v>48164.999999999949</v>
      </c>
      <c r="AD26" s="34"/>
      <c r="AE26" s="34">
        <f t="shared" si="2"/>
        <v>62044.499999999949</v>
      </c>
      <c r="AF26" s="34"/>
      <c r="AG26" s="34">
        <f t="shared" si="6"/>
        <v>-26790</v>
      </c>
      <c r="AH26" s="34"/>
      <c r="AI26" s="34"/>
      <c r="AJ26" s="34"/>
      <c r="AK26" s="34"/>
      <c r="AL26" s="34">
        <f t="shared" si="3"/>
        <v>-26790</v>
      </c>
      <c r="AM26" s="34"/>
      <c r="AN26" s="34">
        <f t="shared" si="7"/>
        <v>12910.5</v>
      </c>
      <c r="AO26" s="34">
        <f t="shared" si="4"/>
        <v>12910.5</v>
      </c>
      <c r="AP26" s="34"/>
      <c r="AQ26" s="34"/>
      <c r="AR26" s="34"/>
      <c r="AS26" s="34"/>
    </row>
    <row r="27" spans="1:45">
      <c r="A27" t="s">
        <v>693</v>
      </c>
      <c r="B27" t="s">
        <v>693</v>
      </c>
      <c r="C27" t="s">
        <v>693</v>
      </c>
      <c r="D27" t="s">
        <v>693</v>
      </c>
      <c r="E27" t="s">
        <v>693</v>
      </c>
      <c r="F27" t="s">
        <v>693</v>
      </c>
      <c r="G27" s="193">
        <v>8000</v>
      </c>
      <c r="H27">
        <v>0.2</v>
      </c>
      <c r="I27">
        <v>13.95</v>
      </c>
      <c r="J27" s="193">
        <v>48000</v>
      </c>
      <c r="K27" s="33">
        <v>530</v>
      </c>
      <c r="L27" s="193">
        <v>48000</v>
      </c>
      <c r="M27">
        <v>90.7</v>
      </c>
      <c r="N27" t="s">
        <v>693</v>
      </c>
      <c r="O27" s="193" t="s">
        <v>693</v>
      </c>
      <c r="P27" t="s">
        <v>693</v>
      </c>
      <c r="Q27" t="s">
        <v>693</v>
      </c>
      <c r="R27" t="s">
        <v>693</v>
      </c>
      <c r="S27" t="s">
        <v>693</v>
      </c>
      <c r="T27" t="s">
        <v>693</v>
      </c>
      <c r="U27" t="s">
        <v>693</v>
      </c>
      <c r="AB27">
        <f t="shared" si="8"/>
        <v>440</v>
      </c>
      <c r="AC27" s="34">
        <f t="shared" si="5"/>
        <v>62414.999999999942</v>
      </c>
      <c r="AD27" s="34"/>
      <c r="AE27" s="34">
        <f t="shared" si="2"/>
        <v>76294.499999999942</v>
      </c>
      <c r="AF27" s="34"/>
      <c r="AG27" s="34">
        <f t="shared" si="6"/>
        <v>-26790</v>
      </c>
      <c r="AH27" s="34"/>
      <c r="AI27" s="34"/>
      <c r="AJ27" s="34"/>
      <c r="AK27" s="34"/>
      <c r="AL27" s="34">
        <f t="shared" si="3"/>
        <v>-26790</v>
      </c>
      <c r="AM27" s="34"/>
      <c r="AN27" s="34">
        <f t="shared" si="7"/>
        <v>12910.5</v>
      </c>
      <c r="AO27" s="34">
        <f t="shared" si="4"/>
        <v>12910.5</v>
      </c>
      <c r="AP27" s="34"/>
      <c r="AQ27" s="34"/>
      <c r="AR27" s="34"/>
      <c r="AS27" s="34"/>
    </row>
    <row r="28" spans="1:45">
      <c r="A28" t="s">
        <v>693</v>
      </c>
      <c r="B28" t="s">
        <v>693</v>
      </c>
      <c r="C28" t="s">
        <v>693</v>
      </c>
      <c r="D28" t="s">
        <v>693</v>
      </c>
      <c r="E28" t="s">
        <v>693</v>
      </c>
      <c r="F28" t="s">
        <v>693</v>
      </c>
      <c r="G28" s="193">
        <v>6400</v>
      </c>
      <c r="H28">
        <v>0.1</v>
      </c>
      <c r="I28">
        <v>13.95</v>
      </c>
      <c r="J28" s="193">
        <v>48000</v>
      </c>
      <c r="K28" s="33">
        <v>540</v>
      </c>
      <c r="L28" s="193">
        <v>48000</v>
      </c>
      <c r="M28">
        <v>97.6</v>
      </c>
      <c r="N28" t="s">
        <v>693</v>
      </c>
      <c r="O28" s="193" t="s">
        <v>693</v>
      </c>
      <c r="P28" t="s">
        <v>693</v>
      </c>
      <c r="Q28" t="s">
        <v>693</v>
      </c>
      <c r="R28" t="s">
        <v>693</v>
      </c>
      <c r="S28" t="s">
        <v>693</v>
      </c>
      <c r="T28" t="s">
        <v>693</v>
      </c>
      <c r="U28" t="s">
        <v>693</v>
      </c>
      <c r="AB28">
        <f t="shared" si="8"/>
        <v>445</v>
      </c>
      <c r="AC28" s="34">
        <f t="shared" si="5"/>
        <v>62414.999999999942</v>
      </c>
      <c r="AD28" s="34"/>
      <c r="AE28" s="34">
        <f t="shared" si="2"/>
        <v>90544.499999999942</v>
      </c>
      <c r="AF28" s="34"/>
      <c r="AG28" s="34">
        <f t="shared" si="6"/>
        <v>-26790</v>
      </c>
      <c r="AH28" s="34"/>
      <c r="AI28" s="34"/>
      <c r="AJ28" s="34"/>
      <c r="AK28" s="34"/>
      <c r="AL28" s="34">
        <f t="shared" si="3"/>
        <v>-26790</v>
      </c>
      <c r="AM28" s="34"/>
      <c r="AN28" s="34">
        <f t="shared" si="7"/>
        <v>-1339.4999999999993</v>
      </c>
      <c r="AO28" s="34">
        <f t="shared" si="4"/>
        <v>-1339.4999999999993</v>
      </c>
      <c r="AP28" s="34"/>
      <c r="AQ28" s="34"/>
      <c r="AR28" s="34"/>
      <c r="AS28" s="34"/>
    </row>
    <row r="29" spans="1:45">
      <c r="A29" t="s">
        <v>693</v>
      </c>
      <c r="B29" t="s">
        <v>693</v>
      </c>
      <c r="C29" t="s">
        <v>693</v>
      </c>
      <c r="D29" t="s">
        <v>693</v>
      </c>
      <c r="E29" t="s">
        <v>693</v>
      </c>
      <c r="F29" t="s">
        <v>693</v>
      </c>
      <c r="G29" s="193">
        <v>1600</v>
      </c>
      <c r="H29">
        <v>0.15</v>
      </c>
      <c r="I29">
        <v>5</v>
      </c>
      <c r="J29" s="193">
        <v>1600</v>
      </c>
      <c r="K29" s="33">
        <v>550</v>
      </c>
      <c r="L29" s="193">
        <v>48000</v>
      </c>
      <c r="M29">
        <v>108</v>
      </c>
      <c r="N29" t="s">
        <v>693</v>
      </c>
      <c r="O29" s="193" t="s">
        <v>693</v>
      </c>
      <c r="P29" t="s">
        <v>693</v>
      </c>
      <c r="Q29" t="s">
        <v>693</v>
      </c>
      <c r="R29" t="s">
        <v>693</v>
      </c>
      <c r="S29" t="s">
        <v>693</v>
      </c>
      <c r="T29" t="s">
        <v>693</v>
      </c>
      <c r="U29" t="s">
        <v>693</v>
      </c>
      <c r="AB29">
        <f t="shared" si="8"/>
        <v>450</v>
      </c>
      <c r="AC29" s="34">
        <f t="shared" si="5"/>
        <v>62414.999999999942</v>
      </c>
      <c r="AD29" s="34"/>
      <c r="AE29" s="34">
        <f t="shared" si="2"/>
        <v>104794.49999999994</v>
      </c>
      <c r="AF29" s="34"/>
      <c r="AG29" s="34">
        <f t="shared" si="6"/>
        <v>-26790</v>
      </c>
      <c r="AH29" s="34"/>
      <c r="AI29" s="34"/>
      <c r="AJ29" s="34"/>
      <c r="AK29" s="34"/>
      <c r="AL29" s="34">
        <f t="shared" si="3"/>
        <v>-26790</v>
      </c>
      <c r="AM29" s="34"/>
      <c r="AN29" s="34">
        <f t="shared" si="7"/>
        <v>-15589.5</v>
      </c>
      <c r="AO29" s="34">
        <f t="shared" si="4"/>
        <v>-15589.5</v>
      </c>
      <c r="AP29" s="34"/>
      <c r="AQ29" s="34"/>
      <c r="AR29" s="34"/>
      <c r="AS29" s="34"/>
    </row>
    <row r="30" spans="1:45">
      <c r="A30" t="s">
        <v>693</v>
      </c>
      <c r="B30" t="s">
        <v>693</v>
      </c>
      <c r="C30" t="s">
        <v>693</v>
      </c>
      <c r="D30" t="s">
        <v>693</v>
      </c>
      <c r="E30" t="s">
        <v>693</v>
      </c>
      <c r="F30" t="s">
        <v>693</v>
      </c>
      <c r="G30" s="193">
        <v>6400</v>
      </c>
      <c r="H30">
        <v>0.1</v>
      </c>
      <c r="I30" t="s">
        <v>693</v>
      </c>
      <c r="J30" s="193" t="s">
        <v>693</v>
      </c>
      <c r="K30" s="33">
        <v>560</v>
      </c>
      <c r="L30" s="193">
        <v>48000</v>
      </c>
      <c r="M30">
        <v>116.65</v>
      </c>
      <c r="N30" t="s">
        <v>693</v>
      </c>
      <c r="O30" s="193" t="s">
        <v>693</v>
      </c>
      <c r="P30" t="s">
        <v>693</v>
      </c>
      <c r="Q30" t="s">
        <v>693</v>
      </c>
      <c r="R30" t="s">
        <v>693</v>
      </c>
      <c r="S30" t="s">
        <v>693</v>
      </c>
      <c r="T30" t="s">
        <v>693</v>
      </c>
      <c r="U30" t="s">
        <v>693</v>
      </c>
      <c r="AB30">
        <f t="shared" si="8"/>
        <v>455</v>
      </c>
      <c r="AC30" s="34">
        <f t="shared" si="5"/>
        <v>62414.999999999942</v>
      </c>
      <c r="AD30" s="34"/>
      <c r="AE30" s="34">
        <f t="shared" si="2"/>
        <v>119044.49999999994</v>
      </c>
      <c r="AF30" s="34"/>
      <c r="AG30" s="34">
        <f t="shared" si="6"/>
        <v>-26790</v>
      </c>
      <c r="AH30" s="34"/>
      <c r="AI30" s="34"/>
      <c r="AJ30" s="34"/>
      <c r="AK30" s="34"/>
      <c r="AL30" s="34">
        <f t="shared" si="3"/>
        <v>-26790</v>
      </c>
      <c r="AM30" s="34"/>
      <c r="AN30" s="34">
        <f t="shared" si="7"/>
        <v>-29839.499999999996</v>
      </c>
      <c r="AO30" s="34">
        <f t="shared" si="4"/>
        <v>-29839.499999999996</v>
      </c>
      <c r="AP30" s="34"/>
      <c r="AQ30" s="34"/>
      <c r="AR30" s="34"/>
      <c r="AS30" s="34"/>
    </row>
    <row r="31" spans="1:45">
      <c r="A31" t="s">
        <v>693</v>
      </c>
      <c r="B31" t="s">
        <v>693</v>
      </c>
      <c r="C31" t="s">
        <v>693</v>
      </c>
      <c r="D31" t="s">
        <v>693</v>
      </c>
      <c r="E31" t="s">
        <v>693</v>
      </c>
      <c r="F31" t="s">
        <v>693</v>
      </c>
      <c r="G31" s="193">
        <v>6400</v>
      </c>
      <c r="H31">
        <v>0.1</v>
      </c>
      <c r="I31" t="s">
        <v>693</v>
      </c>
      <c r="J31" s="193" t="s">
        <v>693</v>
      </c>
      <c r="K31" s="33">
        <v>570</v>
      </c>
      <c r="L31" s="193">
        <v>48000</v>
      </c>
      <c r="M31">
        <v>125</v>
      </c>
      <c r="N31" t="s">
        <v>693</v>
      </c>
      <c r="O31" s="193" t="s">
        <v>693</v>
      </c>
      <c r="P31" t="s">
        <v>693</v>
      </c>
      <c r="Q31" t="s">
        <v>693</v>
      </c>
      <c r="R31" t="s">
        <v>693</v>
      </c>
      <c r="S31" t="s">
        <v>693</v>
      </c>
      <c r="T31" t="s">
        <v>693</v>
      </c>
      <c r="U31" t="s">
        <v>693</v>
      </c>
      <c r="AB31" s="148"/>
      <c r="AC31" s="34"/>
      <c r="AD31" s="34"/>
      <c r="AE31" s="34"/>
      <c r="AF31" s="34"/>
      <c r="AG31" s="34"/>
      <c r="AH31" s="34"/>
      <c r="AI31" s="34"/>
      <c r="AJ31" s="34"/>
      <c r="AK31" s="34"/>
      <c r="AL31" s="34"/>
      <c r="AM31" s="34"/>
      <c r="AN31" s="34"/>
      <c r="AO31" s="34"/>
      <c r="AP31" s="34"/>
      <c r="AQ31" s="34"/>
      <c r="AR31" s="34"/>
      <c r="AS31" s="34"/>
    </row>
    <row r="32" spans="1:45">
      <c r="A32" t="s">
        <v>693</v>
      </c>
      <c r="B32" t="s">
        <v>693</v>
      </c>
      <c r="C32" t="s">
        <v>693</v>
      </c>
      <c r="D32" t="s">
        <v>693</v>
      </c>
      <c r="E32" t="s">
        <v>693</v>
      </c>
      <c r="F32" t="s">
        <v>693</v>
      </c>
      <c r="G32" s="193" t="s">
        <v>693</v>
      </c>
      <c r="H32" t="s">
        <v>693</v>
      </c>
      <c r="I32" t="s">
        <v>693</v>
      </c>
      <c r="J32" s="193" t="s">
        <v>693</v>
      </c>
      <c r="K32" s="33">
        <v>580</v>
      </c>
      <c r="L32" s="193">
        <v>48000</v>
      </c>
      <c r="M32">
        <v>133.35</v>
      </c>
      <c r="N32" t="s">
        <v>693</v>
      </c>
      <c r="O32" s="193" t="s">
        <v>693</v>
      </c>
      <c r="P32" t="s">
        <v>693</v>
      </c>
      <c r="Q32" t="s">
        <v>693</v>
      </c>
      <c r="R32" t="s">
        <v>693</v>
      </c>
      <c r="S32" t="s">
        <v>693</v>
      </c>
      <c r="T32" t="s">
        <v>693</v>
      </c>
      <c r="U32" t="s">
        <v>693</v>
      </c>
      <c r="AB32" s="148"/>
      <c r="AC32" s="34"/>
      <c r="AD32" s="34"/>
      <c r="AE32" s="34"/>
      <c r="AF32" s="34"/>
      <c r="AG32" s="34"/>
      <c r="AH32" s="34"/>
      <c r="AI32" s="34"/>
      <c r="AJ32" s="34"/>
      <c r="AK32" s="34"/>
      <c r="AL32" s="34"/>
      <c r="AM32" s="34"/>
      <c r="AN32" s="34"/>
      <c r="AO32" s="34"/>
      <c r="AP32" s="34"/>
      <c r="AQ32" s="34"/>
      <c r="AR32" s="34"/>
      <c r="AS32" s="34"/>
    </row>
    <row r="33" spans="1:45">
      <c r="A33" t="s">
        <v>693</v>
      </c>
      <c r="B33" t="s">
        <v>693</v>
      </c>
      <c r="C33" t="s">
        <v>693</v>
      </c>
      <c r="D33" t="s">
        <v>693</v>
      </c>
      <c r="E33" t="s">
        <v>693</v>
      </c>
      <c r="F33" t="s">
        <v>693</v>
      </c>
      <c r="G33" s="193" t="s">
        <v>693</v>
      </c>
      <c r="H33" t="s">
        <v>693</v>
      </c>
      <c r="I33" t="s">
        <v>693</v>
      </c>
      <c r="J33" s="193" t="s">
        <v>693</v>
      </c>
      <c r="K33" s="33">
        <v>590</v>
      </c>
      <c r="L33" s="193">
        <v>48000</v>
      </c>
      <c r="M33">
        <v>150.9</v>
      </c>
      <c r="N33" t="s">
        <v>693</v>
      </c>
      <c r="O33" s="193" t="s">
        <v>693</v>
      </c>
      <c r="P33" t="s">
        <v>693</v>
      </c>
      <c r="Q33" t="s">
        <v>693</v>
      </c>
      <c r="R33" t="s">
        <v>693</v>
      </c>
      <c r="S33" t="s">
        <v>693</v>
      </c>
      <c r="T33" t="s">
        <v>693</v>
      </c>
      <c r="U33" t="s">
        <v>693</v>
      </c>
      <c r="AB33" s="148"/>
      <c r="AC33" s="34"/>
      <c r="AD33" s="34"/>
      <c r="AE33" s="34"/>
      <c r="AF33" s="34"/>
      <c r="AG33" s="34"/>
      <c r="AH33" s="34"/>
      <c r="AI33" s="34"/>
      <c r="AJ33" s="34"/>
      <c r="AK33" s="34"/>
      <c r="AL33" s="34"/>
      <c r="AM33" s="34"/>
      <c r="AN33" s="34"/>
      <c r="AO33" s="34"/>
      <c r="AP33" s="34"/>
      <c r="AQ33" s="34"/>
      <c r="AR33" s="34"/>
      <c r="AS33" s="34"/>
    </row>
    <row r="34" spans="1:45">
      <c r="A34" t="s">
        <v>693</v>
      </c>
      <c r="B34" t="s">
        <v>693</v>
      </c>
      <c r="C34" t="s">
        <v>693</v>
      </c>
      <c r="D34" t="s">
        <v>693</v>
      </c>
      <c r="E34" t="s">
        <v>693</v>
      </c>
      <c r="F34" t="s">
        <v>693</v>
      </c>
      <c r="G34" s="193" t="s">
        <v>693</v>
      </c>
      <c r="H34" t="s">
        <v>693</v>
      </c>
      <c r="I34" t="s">
        <v>693</v>
      </c>
      <c r="J34" s="193" t="s">
        <v>693</v>
      </c>
      <c r="K34" s="33">
        <v>600</v>
      </c>
      <c r="L34" s="193">
        <v>48000</v>
      </c>
      <c r="M34">
        <v>160.05000000000001</v>
      </c>
      <c r="N34" t="s">
        <v>693</v>
      </c>
      <c r="O34" s="193" t="s">
        <v>693</v>
      </c>
      <c r="P34" t="s">
        <v>693</v>
      </c>
      <c r="Q34" t="s">
        <v>693</v>
      </c>
      <c r="R34" t="s">
        <v>693</v>
      </c>
      <c r="S34" t="s">
        <v>693</v>
      </c>
      <c r="T34" t="s">
        <v>693</v>
      </c>
      <c r="U34" t="s">
        <v>693</v>
      </c>
      <c r="AB34" s="148"/>
      <c r="AC34" s="34"/>
      <c r="AD34" s="34"/>
      <c r="AE34" s="34"/>
      <c r="AF34" s="34"/>
      <c r="AG34" s="34"/>
      <c r="AH34" s="34"/>
      <c r="AI34" s="34"/>
      <c r="AJ34" s="34"/>
      <c r="AK34" s="34"/>
      <c r="AL34" s="34"/>
      <c r="AM34" s="34"/>
      <c r="AN34" s="34"/>
      <c r="AO34" s="34"/>
      <c r="AP34" s="34"/>
      <c r="AQ34" s="34"/>
      <c r="AR34" s="34"/>
      <c r="AS34" s="34"/>
    </row>
    <row r="35" spans="1:45">
      <c r="A35" t="s">
        <v>693</v>
      </c>
      <c r="B35" t="s">
        <v>693</v>
      </c>
      <c r="C35" t="s">
        <v>693</v>
      </c>
      <c r="D35" t="s">
        <v>693</v>
      </c>
      <c r="E35" t="s">
        <v>693</v>
      </c>
      <c r="F35" t="s">
        <v>693</v>
      </c>
      <c r="G35" s="193" t="s">
        <v>693</v>
      </c>
      <c r="H35" t="s">
        <v>693</v>
      </c>
      <c r="I35" t="s">
        <v>693</v>
      </c>
      <c r="J35" s="193" t="s">
        <v>693</v>
      </c>
      <c r="K35" s="33">
        <v>610</v>
      </c>
      <c r="L35" s="193">
        <v>48000</v>
      </c>
      <c r="M35">
        <v>169.2</v>
      </c>
      <c r="N35" t="s">
        <v>693</v>
      </c>
      <c r="O35" s="193" t="s">
        <v>693</v>
      </c>
      <c r="P35" t="s">
        <v>693</v>
      </c>
      <c r="Q35" t="s">
        <v>693</v>
      </c>
      <c r="R35" t="s">
        <v>693</v>
      </c>
      <c r="S35" t="s">
        <v>693</v>
      </c>
      <c r="T35" t="s">
        <v>693</v>
      </c>
      <c r="U35" t="s">
        <v>693</v>
      </c>
      <c r="AB35" s="148"/>
      <c r="AC35" s="34"/>
      <c r="AD35" s="34"/>
      <c r="AE35" s="34"/>
      <c r="AF35" s="34"/>
      <c r="AG35" s="34"/>
      <c r="AH35" s="34"/>
      <c r="AI35" s="34"/>
      <c r="AJ35" s="34"/>
      <c r="AK35" s="34"/>
      <c r="AL35" s="34"/>
      <c r="AM35" s="34"/>
      <c r="AN35" s="34"/>
      <c r="AO35" s="34"/>
      <c r="AP35" s="34"/>
      <c r="AQ35" s="34"/>
      <c r="AR35" s="34"/>
      <c r="AS35" s="34"/>
    </row>
    <row r="36" spans="1:45">
      <c r="A36" t="s">
        <v>693</v>
      </c>
      <c r="B36" t="s">
        <v>693</v>
      </c>
      <c r="C36" t="s">
        <v>693</v>
      </c>
      <c r="D36" t="s">
        <v>693</v>
      </c>
      <c r="E36" t="s">
        <v>693</v>
      </c>
      <c r="F36" t="s">
        <v>693</v>
      </c>
      <c r="G36" s="193" t="s">
        <v>693</v>
      </c>
      <c r="H36" t="s">
        <v>693</v>
      </c>
      <c r="I36" t="s">
        <v>693</v>
      </c>
      <c r="J36" s="193" t="s">
        <v>693</v>
      </c>
      <c r="K36" s="33">
        <v>620</v>
      </c>
      <c r="L36" s="193">
        <v>48000</v>
      </c>
      <c r="M36">
        <v>178</v>
      </c>
      <c r="N36" t="s">
        <v>693</v>
      </c>
      <c r="O36" s="193" t="s">
        <v>693</v>
      </c>
      <c r="P36" t="s">
        <v>693</v>
      </c>
      <c r="Q36" t="s">
        <v>693</v>
      </c>
      <c r="R36" t="s">
        <v>693</v>
      </c>
      <c r="S36" t="s">
        <v>693</v>
      </c>
      <c r="T36" t="s">
        <v>693</v>
      </c>
      <c r="U36" t="s">
        <v>693</v>
      </c>
      <c r="AB36" s="148"/>
      <c r="AC36" s="34"/>
      <c r="AD36" s="34"/>
      <c r="AE36" s="34"/>
      <c r="AF36" s="34"/>
      <c r="AG36" s="34"/>
      <c r="AH36" s="34"/>
      <c r="AI36" s="34"/>
      <c r="AJ36" s="34"/>
      <c r="AK36" s="34"/>
      <c r="AL36" s="34"/>
      <c r="AM36" s="34"/>
      <c r="AN36" s="34"/>
      <c r="AO36" s="34"/>
      <c r="AP36" s="34"/>
      <c r="AQ36" s="34"/>
      <c r="AR36" s="34"/>
      <c r="AS36" s="34"/>
    </row>
    <row r="37" spans="1:45">
      <c r="A37">
        <v>17</v>
      </c>
      <c r="B37">
        <v>1</v>
      </c>
      <c r="C37">
        <v>42</v>
      </c>
      <c r="D37">
        <v>52.86</v>
      </c>
      <c r="E37">
        <v>5.15</v>
      </c>
      <c r="F37">
        <v>1.75</v>
      </c>
      <c r="G37" s="193">
        <v>1600</v>
      </c>
      <c r="H37">
        <v>4.75</v>
      </c>
      <c r="I37">
        <v>4.95</v>
      </c>
      <c r="J37" s="193">
        <v>1600</v>
      </c>
      <c r="K37" s="33">
        <v>455</v>
      </c>
      <c r="L37" s="193">
        <v>4800</v>
      </c>
      <c r="M37">
        <v>29.35</v>
      </c>
      <c r="N37">
        <v>37.549999999999997</v>
      </c>
      <c r="O37" s="193">
        <v>4800</v>
      </c>
      <c r="P37" t="s">
        <v>693</v>
      </c>
      <c r="Q37" t="s">
        <v>693</v>
      </c>
      <c r="R37" t="s">
        <v>693</v>
      </c>
      <c r="S37" t="s">
        <v>693</v>
      </c>
      <c r="T37" t="s">
        <v>693</v>
      </c>
      <c r="U37">
        <v>3</v>
      </c>
      <c r="AB37" s="148"/>
      <c r="AC37" s="34"/>
      <c r="AD37" s="34"/>
      <c r="AE37" s="34"/>
      <c r="AF37" s="34"/>
      <c r="AG37" s="34"/>
      <c r="AH37" s="34"/>
      <c r="AI37" s="34"/>
      <c r="AJ37" s="34"/>
      <c r="AK37" s="34"/>
      <c r="AL37" s="34"/>
      <c r="AM37" s="34"/>
      <c r="AN37" s="34"/>
      <c r="AO37" s="34"/>
      <c r="AP37" s="34"/>
      <c r="AQ37" s="34"/>
      <c r="AR37" s="34"/>
      <c r="AS37" s="34"/>
    </row>
    <row r="38" spans="1:45">
      <c r="A38">
        <v>207</v>
      </c>
      <c r="B38">
        <v>11</v>
      </c>
      <c r="C38">
        <v>775</v>
      </c>
      <c r="D38">
        <v>53.31</v>
      </c>
      <c r="E38">
        <v>4.1500000000000004</v>
      </c>
      <c r="F38">
        <v>1.35</v>
      </c>
      <c r="G38">
        <v>1600</v>
      </c>
      <c r="H38">
        <v>4.1500000000000004</v>
      </c>
      <c r="I38">
        <v>4.3</v>
      </c>
      <c r="J38">
        <v>12800</v>
      </c>
      <c r="K38" s="33">
        <v>460</v>
      </c>
      <c r="L38">
        <v>3200</v>
      </c>
      <c r="M38">
        <v>34.549999999999997</v>
      </c>
      <c r="N38">
        <v>39</v>
      </c>
      <c r="O38">
        <v>8000</v>
      </c>
      <c r="P38">
        <v>-12.55</v>
      </c>
      <c r="Q38">
        <v>36.25</v>
      </c>
      <c r="R38">
        <v>57.86</v>
      </c>
      <c r="S38">
        <v>4</v>
      </c>
      <c r="T38">
        <v>-1</v>
      </c>
      <c r="U38">
        <v>41</v>
      </c>
      <c r="AB38" s="148"/>
      <c r="AC38" s="34"/>
      <c r="AD38" s="34"/>
      <c r="AE38" s="34"/>
      <c r="AF38" s="34"/>
      <c r="AG38" s="34"/>
      <c r="AH38" s="34"/>
      <c r="AI38" s="34"/>
      <c r="AJ38" s="34"/>
      <c r="AK38" s="34"/>
      <c r="AL38" s="34"/>
      <c r="AM38" s="34"/>
      <c r="AN38" s="34"/>
      <c r="AO38" s="34"/>
      <c r="AP38" s="34"/>
      <c r="AQ38" s="34"/>
      <c r="AR38" s="34"/>
      <c r="AS38" s="34"/>
    </row>
    <row r="39" spans="1:45">
      <c r="A39">
        <v>30</v>
      </c>
      <c r="B39" t="s">
        <v>693</v>
      </c>
      <c r="C39">
        <v>33</v>
      </c>
      <c r="D39">
        <v>54.7</v>
      </c>
      <c r="E39">
        <v>3.6</v>
      </c>
      <c r="F39">
        <v>1.25</v>
      </c>
      <c r="G39">
        <v>4800</v>
      </c>
      <c r="H39">
        <v>3.3</v>
      </c>
      <c r="I39">
        <v>3.55</v>
      </c>
      <c r="J39">
        <v>1600</v>
      </c>
      <c r="K39" s="33">
        <v>465</v>
      </c>
      <c r="L39">
        <v>4800</v>
      </c>
      <c r="M39">
        <v>29.25</v>
      </c>
      <c r="N39">
        <v>41.5</v>
      </c>
      <c r="O39">
        <v>1600</v>
      </c>
      <c r="P39" t="s">
        <v>693</v>
      </c>
      <c r="Q39" t="s">
        <v>693</v>
      </c>
      <c r="R39" t="s">
        <v>693</v>
      </c>
      <c r="S39" t="s">
        <v>693</v>
      </c>
      <c r="T39" t="s">
        <v>693</v>
      </c>
      <c r="U39">
        <v>2</v>
      </c>
      <c r="AB39" s="148"/>
      <c r="AC39" s="34"/>
      <c r="AD39" s="34"/>
      <c r="AE39" s="34"/>
      <c r="AF39" s="34"/>
      <c r="AG39" s="34"/>
      <c r="AH39" s="34"/>
      <c r="AI39" s="34"/>
      <c r="AJ39" s="34"/>
      <c r="AK39" s="34"/>
      <c r="AL39" s="34"/>
      <c r="AM39" s="34"/>
      <c r="AN39" s="34"/>
      <c r="AO39" s="34"/>
      <c r="AP39" s="34"/>
      <c r="AQ39" s="34"/>
      <c r="AR39" s="34"/>
      <c r="AS39" s="34"/>
    </row>
    <row r="40" spans="1:45">
      <c r="A40">
        <v>135</v>
      </c>
      <c r="B40">
        <v>-22</v>
      </c>
      <c r="C40">
        <v>585</v>
      </c>
      <c r="D40">
        <v>55.01</v>
      </c>
      <c r="E40">
        <v>2.9</v>
      </c>
      <c r="F40">
        <v>0.9</v>
      </c>
      <c r="G40">
        <v>1600</v>
      </c>
      <c r="H40">
        <v>2.8</v>
      </c>
      <c r="I40">
        <v>2.9</v>
      </c>
      <c r="J40">
        <v>1600</v>
      </c>
      <c r="K40" s="33">
        <v>470</v>
      </c>
      <c r="L40">
        <v>4800</v>
      </c>
      <c r="M40">
        <v>39.85</v>
      </c>
      <c r="N40">
        <v>44.95</v>
      </c>
      <c r="O40">
        <v>1600</v>
      </c>
      <c r="P40" t="s">
        <v>693</v>
      </c>
      <c r="Q40" t="s">
        <v>693</v>
      </c>
      <c r="R40" t="s">
        <v>693</v>
      </c>
      <c r="S40" t="s">
        <v>693</v>
      </c>
      <c r="T40" t="s">
        <v>693</v>
      </c>
      <c r="U40">
        <v>23</v>
      </c>
      <c r="AB40" s="148"/>
      <c r="AC40" s="34"/>
      <c r="AD40" s="34"/>
      <c r="AE40" s="34"/>
      <c r="AF40" s="34"/>
      <c r="AG40" s="34"/>
      <c r="AH40" s="34"/>
      <c r="AI40" s="34"/>
      <c r="AJ40" s="34"/>
      <c r="AK40" s="34"/>
      <c r="AL40" s="34"/>
      <c r="AM40" s="34"/>
      <c r="AN40" s="34"/>
      <c r="AO40" s="34"/>
      <c r="AP40" s="34"/>
      <c r="AQ40" s="34"/>
      <c r="AR40" s="34"/>
      <c r="AS40" s="34"/>
    </row>
    <row r="41" spans="1:45">
      <c r="A41">
        <v>34</v>
      </c>
      <c r="B41">
        <v>4</v>
      </c>
      <c r="C41">
        <v>37</v>
      </c>
      <c r="D41">
        <v>57.66</v>
      </c>
      <c r="E41">
        <v>2.4</v>
      </c>
      <c r="F41">
        <v>0.65</v>
      </c>
      <c r="G41">
        <v>12800</v>
      </c>
      <c r="H41">
        <v>2.25</v>
      </c>
      <c r="I41">
        <v>2.4500000000000002</v>
      </c>
      <c r="J41">
        <v>1600</v>
      </c>
      <c r="K41" s="33">
        <v>475</v>
      </c>
      <c r="L41">
        <v>48000</v>
      </c>
      <c r="M41">
        <v>38.35</v>
      </c>
      <c r="N41">
        <v>52.85</v>
      </c>
      <c r="O41">
        <v>6400</v>
      </c>
      <c r="P41">
        <v>-22</v>
      </c>
      <c r="Q41">
        <v>53</v>
      </c>
      <c r="R41">
        <v>82.56</v>
      </c>
      <c r="S41">
        <v>1</v>
      </c>
      <c r="T41" t="s">
        <v>693</v>
      </c>
      <c r="U41">
        <v>2</v>
      </c>
      <c r="AB41" s="148"/>
      <c r="AC41" s="34"/>
      <c r="AD41" s="34"/>
      <c r="AE41" s="34"/>
      <c r="AF41" s="34"/>
      <c r="AG41" s="34"/>
      <c r="AH41" s="34"/>
      <c r="AI41" s="34"/>
      <c r="AJ41" s="34"/>
      <c r="AK41" s="34"/>
      <c r="AL41" s="34"/>
      <c r="AM41" s="34"/>
      <c r="AN41" s="34"/>
      <c r="AO41" s="34"/>
      <c r="AP41" s="34"/>
      <c r="AQ41" s="34"/>
      <c r="AR41" s="34"/>
      <c r="AS41" s="34"/>
    </row>
    <row r="42" spans="1:45">
      <c r="A42">
        <v>262</v>
      </c>
      <c r="B42">
        <v>19</v>
      </c>
      <c r="C42">
        <v>476</v>
      </c>
      <c r="D42">
        <v>58.21</v>
      </c>
      <c r="E42">
        <v>2.0499999999999998</v>
      </c>
      <c r="F42">
        <v>0.6</v>
      </c>
      <c r="G42">
        <v>3200</v>
      </c>
      <c r="H42">
        <v>1.95</v>
      </c>
      <c r="I42">
        <v>2.0499999999999998</v>
      </c>
      <c r="J42">
        <v>1600</v>
      </c>
      <c r="K42" s="33">
        <v>480</v>
      </c>
      <c r="L42">
        <v>6400</v>
      </c>
      <c r="M42">
        <v>47.05</v>
      </c>
      <c r="N42">
        <v>56.6</v>
      </c>
      <c r="O42">
        <v>6400</v>
      </c>
      <c r="P42" t="s">
        <v>693</v>
      </c>
      <c r="Q42" t="s">
        <v>693</v>
      </c>
      <c r="R42" t="s">
        <v>693</v>
      </c>
      <c r="S42" t="s">
        <v>693</v>
      </c>
      <c r="T42" t="s">
        <v>693</v>
      </c>
      <c r="U42">
        <v>24</v>
      </c>
      <c r="AB42" s="148"/>
      <c r="AC42" s="34"/>
      <c r="AD42" s="34"/>
      <c r="AE42" s="34"/>
      <c r="AF42" s="34"/>
      <c r="AG42" s="34"/>
      <c r="AH42" s="34"/>
      <c r="AI42" s="34"/>
      <c r="AJ42" s="34"/>
      <c r="AK42" s="34"/>
      <c r="AL42" s="34"/>
      <c r="AM42" s="34"/>
      <c r="AN42" s="34"/>
      <c r="AO42" s="34"/>
      <c r="AP42" s="34"/>
      <c r="AQ42" s="34"/>
      <c r="AR42" s="34"/>
      <c r="AS42" s="34"/>
    </row>
    <row r="43" spans="1:45">
      <c r="A43">
        <v>15</v>
      </c>
      <c r="B43">
        <v>3</v>
      </c>
      <c r="C43">
        <v>5</v>
      </c>
      <c r="D43">
        <v>68.489999999999995</v>
      </c>
      <c r="E43">
        <v>2.4</v>
      </c>
      <c r="F43">
        <v>1.3</v>
      </c>
      <c r="G43">
        <v>6400</v>
      </c>
      <c r="H43">
        <v>1.65</v>
      </c>
      <c r="I43">
        <v>1.8</v>
      </c>
      <c r="J43">
        <v>1600</v>
      </c>
      <c r="K43" s="33">
        <v>485</v>
      </c>
      <c r="L43">
        <v>4800</v>
      </c>
      <c r="M43">
        <v>50</v>
      </c>
      <c r="N43">
        <v>63.6</v>
      </c>
      <c r="O43">
        <v>4800</v>
      </c>
      <c r="P43" t="s">
        <v>693</v>
      </c>
      <c r="Q43" t="s">
        <v>693</v>
      </c>
      <c r="R43" t="s">
        <v>693</v>
      </c>
      <c r="S43" t="s">
        <v>693</v>
      </c>
      <c r="T43" t="s">
        <v>693</v>
      </c>
      <c r="U43" t="s">
        <v>693</v>
      </c>
      <c r="AB43" s="148"/>
      <c r="AC43" s="34"/>
      <c r="AD43" s="34"/>
      <c r="AE43" s="34"/>
      <c r="AF43" s="34"/>
      <c r="AG43" s="34"/>
      <c r="AH43" s="34"/>
      <c r="AI43" s="34"/>
      <c r="AJ43" s="34"/>
      <c r="AK43" s="34"/>
      <c r="AL43" s="34"/>
      <c r="AM43" s="34"/>
      <c r="AN43" s="34"/>
      <c r="AO43" s="34"/>
      <c r="AP43" s="34"/>
      <c r="AQ43" s="34"/>
      <c r="AR43" s="34"/>
      <c r="AS43" s="34"/>
    </row>
    <row r="44" spans="1:45">
      <c r="A44">
        <v>142</v>
      </c>
      <c r="B44">
        <v>22</v>
      </c>
      <c r="C44">
        <v>189</v>
      </c>
      <c r="D44">
        <v>61.5</v>
      </c>
      <c r="E44">
        <v>1.5</v>
      </c>
      <c r="F44">
        <v>0.3</v>
      </c>
      <c r="G44">
        <v>12800</v>
      </c>
      <c r="H44">
        <v>1.35</v>
      </c>
      <c r="I44">
        <v>1.45</v>
      </c>
      <c r="J44">
        <v>3200</v>
      </c>
      <c r="K44" s="33">
        <v>490</v>
      </c>
      <c r="L44">
        <v>48000</v>
      </c>
      <c r="M44">
        <v>50.55</v>
      </c>
      <c r="N44">
        <v>69.3</v>
      </c>
      <c r="O44">
        <v>4800</v>
      </c>
      <c r="P44">
        <v>-29.45</v>
      </c>
      <c r="Q44">
        <v>70.55</v>
      </c>
      <c r="R44">
        <v>110.76</v>
      </c>
      <c r="S44">
        <v>1</v>
      </c>
      <c r="T44" t="s">
        <v>693</v>
      </c>
      <c r="U44">
        <v>16</v>
      </c>
      <c r="AB44" s="148"/>
      <c r="AC44" s="34"/>
      <c r="AD44" s="34"/>
      <c r="AE44" s="34"/>
      <c r="AF44" s="34"/>
      <c r="AG44" s="34"/>
      <c r="AH44" s="34"/>
      <c r="AI44" s="34"/>
      <c r="AJ44" s="34"/>
      <c r="AK44" s="34"/>
      <c r="AL44" s="34"/>
      <c r="AM44" s="34"/>
      <c r="AN44" s="34"/>
      <c r="AO44" s="34"/>
      <c r="AP44" s="34"/>
      <c r="AQ44" s="34"/>
      <c r="AR44" s="34"/>
      <c r="AS44" s="34"/>
    </row>
    <row r="45" spans="1:45">
      <c r="A45">
        <v>30</v>
      </c>
      <c r="B45">
        <v>9</v>
      </c>
      <c r="C45">
        <v>29</v>
      </c>
      <c r="D45">
        <v>66.099999999999994</v>
      </c>
      <c r="E45">
        <v>1.35</v>
      </c>
      <c r="F45">
        <v>0.55000000000000004</v>
      </c>
      <c r="G45">
        <v>8000</v>
      </c>
      <c r="H45">
        <v>1.2</v>
      </c>
      <c r="I45">
        <v>1.35</v>
      </c>
      <c r="J45">
        <v>1600</v>
      </c>
      <c r="K45" s="33">
        <v>495</v>
      </c>
      <c r="L45">
        <v>48000</v>
      </c>
      <c r="M45">
        <v>59.95</v>
      </c>
      <c r="N45">
        <v>71.2</v>
      </c>
      <c r="O45">
        <v>4800</v>
      </c>
      <c r="P45">
        <v>-11.1</v>
      </c>
      <c r="Q45">
        <v>74.45</v>
      </c>
      <c r="R45">
        <v>109.53</v>
      </c>
      <c r="S45">
        <v>1</v>
      </c>
      <c r="T45" t="s">
        <v>693</v>
      </c>
      <c r="U45">
        <v>2</v>
      </c>
      <c r="AB45" s="148"/>
      <c r="AC45" s="34"/>
      <c r="AD45" s="34"/>
      <c r="AE45" s="34"/>
      <c r="AF45" s="34"/>
      <c r="AG45" s="34"/>
      <c r="AH45" s="34"/>
      <c r="AI45" s="34"/>
      <c r="AJ45" s="34"/>
      <c r="AK45" s="34"/>
      <c r="AL45" s="34"/>
      <c r="AM45" s="34"/>
      <c r="AN45" s="34"/>
      <c r="AO45" s="34"/>
      <c r="AP45" s="34"/>
      <c r="AQ45" s="34"/>
      <c r="AR45" s="34"/>
      <c r="AS45" s="34"/>
    </row>
    <row r="46" spans="1:45">
      <c r="A46">
        <v>612</v>
      </c>
      <c r="B46">
        <v>25</v>
      </c>
      <c r="C46">
        <v>812</v>
      </c>
      <c r="D46">
        <v>64.489999999999995</v>
      </c>
      <c r="E46">
        <v>1.1499999999999999</v>
      </c>
      <c r="F46">
        <v>0.2</v>
      </c>
      <c r="G46">
        <v>11200</v>
      </c>
      <c r="H46">
        <v>1.1000000000000001</v>
      </c>
      <c r="I46">
        <v>1.2</v>
      </c>
      <c r="J46">
        <v>9600</v>
      </c>
      <c r="K46" s="33">
        <v>500</v>
      </c>
      <c r="L46">
        <v>4800</v>
      </c>
      <c r="M46">
        <v>67</v>
      </c>
      <c r="N46">
        <v>73.2</v>
      </c>
      <c r="O46">
        <v>1600</v>
      </c>
      <c r="P46" t="s">
        <v>693</v>
      </c>
      <c r="Q46" t="s">
        <v>693</v>
      </c>
      <c r="R46" t="s">
        <v>693</v>
      </c>
      <c r="S46" t="s">
        <v>693</v>
      </c>
      <c r="T46" t="s">
        <v>693</v>
      </c>
      <c r="U46">
        <v>72</v>
      </c>
      <c r="AB46" s="148"/>
      <c r="AC46" s="34"/>
      <c r="AD46" s="34"/>
      <c r="AE46" s="34"/>
      <c r="AF46" s="34"/>
      <c r="AG46" s="34"/>
      <c r="AH46" s="34"/>
      <c r="AI46" s="34"/>
      <c r="AJ46" s="34"/>
      <c r="AK46" s="34"/>
      <c r="AL46" s="34"/>
      <c r="AM46" s="34"/>
      <c r="AN46" s="34"/>
      <c r="AO46" s="34"/>
      <c r="AP46" s="34"/>
      <c r="AQ46" s="34"/>
      <c r="AR46" s="34"/>
      <c r="AS46" s="34"/>
    </row>
    <row r="47" spans="1:45">
      <c r="A47">
        <v>13</v>
      </c>
      <c r="B47">
        <v>13</v>
      </c>
      <c r="C47">
        <v>17</v>
      </c>
      <c r="D47">
        <v>67.680000000000007</v>
      </c>
      <c r="E47">
        <v>1</v>
      </c>
      <c r="F47">
        <v>-11.45</v>
      </c>
      <c r="G47">
        <v>8000</v>
      </c>
      <c r="H47">
        <v>0.9</v>
      </c>
      <c r="I47">
        <v>0.95</v>
      </c>
      <c r="J47">
        <v>1600</v>
      </c>
      <c r="K47" s="33">
        <v>505</v>
      </c>
      <c r="L47">
        <v>4800</v>
      </c>
      <c r="M47">
        <v>70.150000000000006</v>
      </c>
      <c r="N47">
        <v>88.15</v>
      </c>
      <c r="O47">
        <v>4800</v>
      </c>
      <c r="P47" t="s">
        <v>693</v>
      </c>
      <c r="Q47" t="s">
        <v>693</v>
      </c>
      <c r="R47" t="s">
        <v>693</v>
      </c>
      <c r="S47" t="s">
        <v>693</v>
      </c>
      <c r="T47" t="s">
        <v>693</v>
      </c>
      <c r="U47" t="s">
        <v>693</v>
      </c>
      <c r="AB47" s="148"/>
      <c r="AC47" s="34"/>
      <c r="AD47" s="34"/>
      <c r="AE47" s="34"/>
      <c r="AF47" s="34"/>
      <c r="AG47" s="34"/>
      <c r="AH47" s="34"/>
      <c r="AI47" s="34"/>
      <c r="AJ47" s="34"/>
      <c r="AK47" s="34"/>
      <c r="AL47" s="34"/>
      <c r="AM47" s="34"/>
      <c r="AN47" s="34"/>
      <c r="AO47" s="34"/>
      <c r="AP47" s="34"/>
      <c r="AQ47" s="34"/>
      <c r="AR47" s="34"/>
      <c r="AS47" s="34"/>
    </row>
    <row r="48" spans="1:45">
      <c r="A48">
        <v>92</v>
      </c>
      <c r="B48">
        <v>26</v>
      </c>
      <c r="C48">
        <v>79</v>
      </c>
      <c r="D48">
        <v>66.8</v>
      </c>
      <c r="E48">
        <v>1</v>
      </c>
      <c r="F48">
        <v>0.3</v>
      </c>
      <c r="G48">
        <v>4800</v>
      </c>
      <c r="H48">
        <v>0.8</v>
      </c>
      <c r="I48">
        <v>0.95</v>
      </c>
      <c r="J48">
        <v>1600</v>
      </c>
      <c r="K48" s="33">
        <v>510</v>
      </c>
      <c r="L48">
        <v>48000</v>
      </c>
      <c r="M48">
        <v>74.150000000000006</v>
      </c>
      <c r="N48">
        <v>91.6</v>
      </c>
      <c r="O48">
        <v>48000</v>
      </c>
      <c r="P48" t="s">
        <v>693</v>
      </c>
      <c r="Q48" t="s">
        <v>693</v>
      </c>
      <c r="R48" t="s">
        <v>693</v>
      </c>
      <c r="S48" t="s">
        <v>693</v>
      </c>
      <c r="T48" t="s">
        <v>693</v>
      </c>
      <c r="U48">
        <v>1</v>
      </c>
      <c r="AB48" s="148"/>
      <c r="AC48" s="34"/>
      <c r="AD48" s="34"/>
      <c r="AE48" s="34"/>
      <c r="AF48" s="34"/>
      <c r="AG48" s="34"/>
      <c r="AH48" s="34"/>
      <c r="AI48" s="34"/>
      <c r="AJ48" s="34"/>
      <c r="AK48" s="34"/>
      <c r="AL48" s="34"/>
      <c r="AM48" s="34"/>
      <c r="AN48" s="34"/>
      <c r="AO48" s="34"/>
      <c r="AP48" s="34"/>
      <c r="AQ48" s="34"/>
      <c r="AR48" s="34"/>
      <c r="AS48" s="34"/>
    </row>
    <row r="49" spans="1:45">
      <c r="A49">
        <v>8</v>
      </c>
      <c r="B49" t="s">
        <v>693</v>
      </c>
      <c r="C49" t="s">
        <v>693</v>
      </c>
      <c r="D49" t="s">
        <v>693</v>
      </c>
      <c r="E49" t="s">
        <v>693</v>
      </c>
      <c r="F49" t="s">
        <v>693</v>
      </c>
      <c r="G49">
        <v>1600</v>
      </c>
      <c r="H49">
        <v>0.45</v>
      </c>
      <c r="I49">
        <v>1.4</v>
      </c>
      <c r="J49">
        <v>1600</v>
      </c>
      <c r="K49" s="33">
        <v>515</v>
      </c>
      <c r="L49">
        <v>48000</v>
      </c>
      <c r="M49">
        <v>79.150000000000006</v>
      </c>
      <c r="N49">
        <v>97.75</v>
      </c>
      <c r="O49">
        <v>48000</v>
      </c>
      <c r="P49" t="s">
        <v>693</v>
      </c>
      <c r="Q49" t="s">
        <v>693</v>
      </c>
      <c r="R49" t="s">
        <v>693</v>
      </c>
      <c r="S49" t="s">
        <v>693</v>
      </c>
      <c r="T49" t="s">
        <v>693</v>
      </c>
      <c r="U49" t="s">
        <v>693</v>
      </c>
      <c r="AB49" s="148"/>
      <c r="AC49" s="34"/>
      <c r="AD49" s="34"/>
      <c r="AE49" s="34"/>
      <c r="AF49" s="34"/>
      <c r="AG49" s="34"/>
      <c r="AH49" s="34"/>
      <c r="AI49" s="34"/>
      <c r="AJ49" s="34"/>
      <c r="AK49" s="34"/>
      <c r="AL49" s="34"/>
      <c r="AM49" s="34"/>
      <c r="AN49" s="34"/>
      <c r="AO49" s="34"/>
      <c r="AP49" s="34"/>
      <c r="AQ49" s="34"/>
      <c r="AR49" s="34"/>
      <c r="AS49" s="34"/>
    </row>
    <row r="50" spans="1:45">
      <c r="A50">
        <v>107</v>
      </c>
      <c r="B50">
        <v>-3</v>
      </c>
      <c r="C50">
        <v>33</v>
      </c>
      <c r="D50">
        <v>66.13</v>
      </c>
      <c r="E50">
        <v>0.4</v>
      </c>
      <c r="F50">
        <v>-0.1</v>
      </c>
      <c r="G50">
        <v>1600</v>
      </c>
      <c r="H50">
        <v>0.4</v>
      </c>
      <c r="I50">
        <v>0.8</v>
      </c>
      <c r="J50">
        <v>3200</v>
      </c>
      <c r="K50" s="33">
        <v>520</v>
      </c>
      <c r="L50">
        <v>1600</v>
      </c>
      <c r="M50">
        <v>89.1</v>
      </c>
      <c r="N50">
        <v>99.15</v>
      </c>
      <c r="O50">
        <v>1600</v>
      </c>
      <c r="P50" t="s">
        <v>693</v>
      </c>
      <c r="Q50" t="s">
        <v>693</v>
      </c>
      <c r="R50" t="s">
        <v>693</v>
      </c>
      <c r="S50" t="s">
        <v>693</v>
      </c>
      <c r="T50" t="s">
        <v>693</v>
      </c>
      <c r="U50">
        <v>10</v>
      </c>
      <c r="AB50" s="148"/>
      <c r="AC50" s="34"/>
      <c r="AD50" s="34"/>
      <c r="AE50" s="34"/>
      <c r="AF50" s="34"/>
      <c r="AG50" s="34"/>
      <c r="AH50" s="34"/>
      <c r="AI50" s="34"/>
      <c r="AJ50" s="34"/>
      <c r="AK50" s="34"/>
      <c r="AL50" s="34"/>
      <c r="AM50" s="34"/>
      <c r="AN50" s="34"/>
      <c r="AO50" s="34"/>
      <c r="AP50" s="34"/>
      <c r="AQ50" s="34"/>
      <c r="AR50" s="34"/>
      <c r="AS50" s="34"/>
    </row>
    <row r="51" spans="1:45">
      <c r="A51">
        <v>18</v>
      </c>
      <c r="B51" t="s">
        <v>693</v>
      </c>
      <c r="C51" t="s">
        <v>693</v>
      </c>
      <c r="D51" t="s">
        <v>693</v>
      </c>
      <c r="E51" t="s">
        <v>693</v>
      </c>
      <c r="F51" t="s">
        <v>693</v>
      </c>
      <c r="G51">
        <v>8000</v>
      </c>
      <c r="H51">
        <v>0.15</v>
      </c>
      <c r="I51">
        <v>3</v>
      </c>
      <c r="J51">
        <v>48000</v>
      </c>
      <c r="K51" s="33">
        <v>525</v>
      </c>
      <c r="L51">
        <v>48000</v>
      </c>
      <c r="M51">
        <v>88.15</v>
      </c>
      <c r="N51">
        <v>111.9</v>
      </c>
      <c r="O51">
        <v>48000</v>
      </c>
      <c r="P51" t="s">
        <v>693</v>
      </c>
      <c r="Q51" t="s">
        <v>693</v>
      </c>
      <c r="R51" t="s">
        <v>693</v>
      </c>
      <c r="S51" t="s">
        <v>693</v>
      </c>
      <c r="T51" t="s">
        <v>693</v>
      </c>
      <c r="U51" t="s">
        <v>693</v>
      </c>
      <c r="AB51" s="148"/>
      <c r="AC51" s="34"/>
      <c r="AD51" s="34"/>
      <c r="AE51" s="34"/>
      <c r="AF51" s="34"/>
      <c r="AG51" s="34"/>
      <c r="AH51" s="34"/>
      <c r="AI51" s="34"/>
      <c r="AJ51" s="34"/>
      <c r="AK51" s="34"/>
      <c r="AL51" s="34"/>
      <c r="AM51" s="34"/>
      <c r="AN51" s="34"/>
      <c r="AO51" s="34"/>
      <c r="AP51" s="34"/>
      <c r="AQ51" s="34"/>
      <c r="AR51" s="34"/>
      <c r="AS51" s="34"/>
    </row>
    <row r="52" spans="1:45">
      <c r="A52">
        <v>57</v>
      </c>
      <c r="B52" t="s">
        <v>693</v>
      </c>
      <c r="C52" t="s">
        <v>693</v>
      </c>
      <c r="D52" t="s">
        <v>693</v>
      </c>
      <c r="E52" t="s">
        <v>693</v>
      </c>
      <c r="F52" t="s">
        <v>693</v>
      </c>
      <c r="G52">
        <v>4800</v>
      </c>
      <c r="H52">
        <v>0.25</v>
      </c>
      <c r="I52">
        <v>1.1000000000000001</v>
      </c>
      <c r="J52">
        <v>3200</v>
      </c>
      <c r="K52" s="33">
        <v>530</v>
      </c>
      <c r="L52">
        <v>48000</v>
      </c>
      <c r="M52">
        <v>92.35</v>
      </c>
      <c r="N52">
        <v>113.9</v>
      </c>
      <c r="O52">
        <v>48000</v>
      </c>
      <c r="P52" t="s">
        <v>693</v>
      </c>
      <c r="Q52" t="s">
        <v>693</v>
      </c>
      <c r="R52" t="s">
        <v>693</v>
      </c>
      <c r="S52" t="s">
        <v>693</v>
      </c>
      <c r="T52" t="s">
        <v>693</v>
      </c>
      <c r="U52">
        <v>1</v>
      </c>
      <c r="AB52" s="148"/>
      <c r="AC52" s="34"/>
      <c r="AD52" s="34"/>
      <c r="AE52" s="34"/>
      <c r="AF52" s="34"/>
      <c r="AG52" s="34"/>
      <c r="AH52" s="34"/>
      <c r="AI52" s="34"/>
      <c r="AJ52" s="34"/>
      <c r="AK52" s="34"/>
      <c r="AL52" s="34"/>
      <c r="AM52" s="34"/>
      <c r="AN52" s="34"/>
      <c r="AO52" s="34"/>
      <c r="AP52" s="34"/>
      <c r="AQ52" s="34"/>
      <c r="AR52" s="34"/>
      <c r="AS52" s="34"/>
    </row>
    <row r="53" spans="1:45">
      <c r="A53" t="s">
        <v>693</v>
      </c>
      <c r="B53" t="s">
        <v>693</v>
      </c>
      <c r="C53" t="s">
        <v>693</v>
      </c>
      <c r="D53" t="s">
        <v>693</v>
      </c>
      <c r="E53" t="s">
        <v>693</v>
      </c>
      <c r="F53" t="s">
        <v>693</v>
      </c>
      <c r="G53">
        <v>3200</v>
      </c>
      <c r="H53">
        <v>0.05</v>
      </c>
      <c r="I53">
        <v>2.35</v>
      </c>
      <c r="J53">
        <v>48000</v>
      </c>
      <c r="K53" s="33">
        <v>535</v>
      </c>
      <c r="L53">
        <v>48000</v>
      </c>
      <c r="M53">
        <v>96.2</v>
      </c>
      <c r="N53">
        <v>119.55</v>
      </c>
      <c r="O53">
        <v>48000</v>
      </c>
      <c r="P53" t="s">
        <v>693</v>
      </c>
      <c r="Q53" t="s">
        <v>693</v>
      </c>
      <c r="R53" t="s">
        <v>693</v>
      </c>
      <c r="S53" t="s">
        <v>693</v>
      </c>
      <c r="T53" t="s">
        <v>693</v>
      </c>
      <c r="U53" t="s">
        <v>693</v>
      </c>
      <c r="AB53" s="148"/>
      <c r="AC53" s="34"/>
      <c r="AD53" s="34"/>
      <c r="AE53" s="34"/>
      <c r="AF53" s="34"/>
      <c r="AG53" s="34"/>
      <c r="AH53" s="34"/>
      <c r="AI53" s="34"/>
      <c r="AJ53" s="34"/>
      <c r="AK53" s="34"/>
      <c r="AL53" s="34"/>
      <c r="AM53" s="34"/>
      <c r="AN53" s="34"/>
      <c r="AO53" s="34"/>
      <c r="AP53" s="34"/>
      <c r="AQ53" s="34"/>
      <c r="AR53" s="34"/>
      <c r="AS53" s="34"/>
    </row>
    <row r="54" spans="1:45">
      <c r="A54">
        <v>23</v>
      </c>
      <c r="B54" t="s">
        <v>693</v>
      </c>
      <c r="C54">
        <v>1</v>
      </c>
      <c r="D54">
        <v>75.06</v>
      </c>
      <c r="E54">
        <v>0.35</v>
      </c>
      <c r="F54" t="s">
        <v>693</v>
      </c>
      <c r="G54">
        <v>16000</v>
      </c>
      <c r="H54">
        <v>0.2</v>
      </c>
      <c r="I54">
        <v>0.35</v>
      </c>
      <c r="J54">
        <v>1600</v>
      </c>
      <c r="K54" s="33">
        <v>540</v>
      </c>
      <c r="L54">
        <v>48000</v>
      </c>
      <c r="M54">
        <v>100.7</v>
      </c>
      <c r="N54">
        <v>127.45</v>
      </c>
      <c r="O54">
        <v>48000</v>
      </c>
      <c r="P54" t="s">
        <v>693</v>
      </c>
      <c r="Q54" t="s">
        <v>693</v>
      </c>
      <c r="R54" t="s">
        <v>693</v>
      </c>
      <c r="S54" t="s">
        <v>693</v>
      </c>
      <c r="T54" t="s">
        <v>693</v>
      </c>
      <c r="U54" t="s">
        <v>693</v>
      </c>
      <c r="AB54" s="148"/>
      <c r="AC54" s="34"/>
      <c r="AD54" s="34"/>
      <c r="AE54" s="34"/>
      <c r="AF54" s="34"/>
      <c r="AG54" s="34"/>
      <c r="AH54" s="34"/>
      <c r="AI54" s="34"/>
      <c r="AJ54" s="34"/>
      <c r="AK54" s="34"/>
      <c r="AL54" s="34"/>
      <c r="AM54" s="34"/>
      <c r="AN54" s="34"/>
      <c r="AO54" s="34"/>
      <c r="AP54" s="34"/>
      <c r="AQ54" s="34"/>
      <c r="AR54" s="34"/>
      <c r="AS54" s="34"/>
    </row>
    <row r="55" spans="1:45">
      <c r="A55" t="s">
        <v>693</v>
      </c>
      <c r="B55" t="s">
        <v>693</v>
      </c>
      <c r="C55" t="s">
        <v>693</v>
      </c>
      <c r="D55" t="s">
        <v>693</v>
      </c>
      <c r="E55" t="s">
        <v>693</v>
      </c>
      <c r="F55" t="s">
        <v>693</v>
      </c>
      <c r="G55">
        <v>3200</v>
      </c>
      <c r="H55">
        <v>0.05</v>
      </c>
      <c r="I55" t="s">
        <v>693</v>
      </c>
      <c r="J55" t="s">
        <v>693</v>
      </c>
      <c r="K55" s="33">
        <v>545</v>
      </c>
      <c r="L55">
        <v>48000</v>
      </c>
      <c r="M55">
        <v>104.95</v>
      </c>
      <c r="N55">
        <v>133.25</v>
      </c>
      <c r="O55">
        <v>48000</v>
      </c>
      <c r="P55" t="s">
        <v>693</v>
      </c>
      <c r="Q55" t="s">
        <v>693</v>
      </c>
      <c r="R55" t="s">
        <v>693</v>
      </c>
      <c r="S55" t="s">
        <v>693</v>
      </c>
      <c r="T55" t="s">
        <v>693</v>
      </c>
      <c r="U55" t="s">
        <v>693</v>
      </c>
    </row>
    <row r="56" spans="1:45">
      <c r="A56">
        <v>97</v>
      </c>
      <c r="B56">
        <v>-10</v>
      </c>
      <c r="C56">
        <v>59</v>
      </c>
      <c r="D56">
        <v>68.040000000000006</v>
      </c>
      <c r="E56">
        <v>0.1</v>
      </c>
      <c r="F56">
        <v>-0.1</v>
      </c>
      <c r="G56">
        <v>1600</v>
      </c>
      <c r="H56">
        <v>0.15</v>
      </c>
      <c r="I56">
        <v>0.25</v>
      </c>
      <c r="J56">
        <v>1600</v>
      </c>
      <c r="K56" s="33">
        <v>550</v>
      </c>
      <c r="L56">
        <v>48000</v>
      </c>
      <c r="M56">
        <v>108.05</v>
      </c>
      <c r="N56">
        <v>136.55000000000001</v>
      </c>
      <c r="O56">
        <v>48000</v>
      </c>
      <c r="P56" t="s">
        <v>693</v>
      </c>
      <c r="Q56" t="s">
        <v>693</v>
      </c>
      <c r="R56" t="s">
        <v>693</v>
      </c>
      <c r="S56" t="s">
        <v>693</v>
      </c>
      <c r="T56" t="s">
        <v>693</v>
      </c>
      <c r="U56">
        <v>1</v>
      </c>
    </row>
    <row r="57" spans="1:45">
      <c r="A57" t="s">
        <v>693</v>
      </c>
      <c r="B57" t="s">
        <v>693</v>
      </c>
      <c r="C57" t="s">
        <v>693</v>
      </c>
      <c r="D57" t="s">
        <v>693</v>
      </c>
      <c r="E57" t="s">
        <v>693</v>
      </c>
      <c r="F57" t="s">
        <v>693</v>
      </c>
      <c r="G57" t="s">
        <v>693</v>
      </c>
      <c r="H57" t="s">
        <v>693</v>
      </c>
      <c r="I57">
        <v>2.35</v>
      </c>
      <c r="J57">
        <v>48000</v>
      </c>
      <c r="K57" s="33">
        <v>555</v>
      </c>
      <c r="L57">
        <v>48000</v>
      </c>
      <c r="M57">
        <v>114.45</v>
      </c>
      <c r="N57">
        <v>142.85</v>
      </c>
      <c r="O57">
        <v>48000</v>
      </c>
      <c r="P57" t="s">
        <v>693</v>
      </c>
      <c r="Q57" t="s">
        <v>693</v>
      </c>
      <c r="R57" t="s">
        <v>693</v>
      </c>
      <c r="S57" t="s">
        <v>693</v>
      </c>
      <c r="T57" t="s">
        <v>693</v>
      </c>
      <c r="U57" t="s">
        <v>693</v>
      </c>
    </row>
    <row r="58" spans="1:45">
      <c r="A58">
        <v>8</v>
      </c>
      <c r="B58">
        <v>-3</v>
      </c>
      <c r="C58">
        <v>7</v>
      </c>
      <c r="D58">
        <v>75.81</v>
      </c>
      <c r="E58">
        <v>0.15</v>
      </c>
      <c r="F58">
        <v>-1.55</v>
      </c>
      <c r="G58">
        <v>1600</v>
      </c>
      <c r="H58">
        <v>0.1</v>
      </c>
      <c r="I58">
        <v>1.1000000000000001</v>
      </c>
      <c r="J58">
        <v>3200</v>
      </c>
      <c r="K58" s="33">
        <v>560</v>
      </c>
      <c r="L58">
        <v>48000</v>
      </c>
      <c r="M58">
        <v>118.85</v>
      </c>
      <c r="N58">
        <v>147.75</v>
      </c>
      <c r="O58">
        <v>48000</v>
      </c>
      <c r="P58" t="s">
        <v>693</v>
      </c>
      <c r="Q58" t="s">
        <v>693</v>
      </c>
      <c r="R58" t="s">
        <v>693</v>
      </c>
      <c r="S58" t="s">
        <v>693</v>
      </c>
      <c r="T58" t="s">
        <v>693</v>
      </c>
      <c r="U58" t="s">
        <v>693</v>
      </c>
    </row>
    <row r="59" spans="1:45">
      <c r="A59" t="s">
        <v>693</v>
      </c>
      <c r="B59" t="s">
        <v>693</v>
      </c>
      <c r="C59" t="s">
        <v>693</v>
      </c>
      <c r="D59" t="s">
        <v>693</v>
      </c>
      <c r="E59" t="s">
        <v>693</v>
      </c>
      <c r="F59" t="s">
        <v>693</v>
      </c>
      <c r="G59" t="s">
        <v>693</v>
      </c>
      <c r="H59" t="s">
        <v>693</v>
      </c>
      <c r="I59" t="s">
        <v>693</v>
      </c>
      <c r="J59" t="s">
        <v>693</v>
      </c>
      <c r="K59" s="33">
        <v>565</v>
      </c>
      <c r="L59">
        <v>48000</v>
      </c>
      <c r="M59">
        <v>122.65</v>
      </c>
      <c r="N59">
        <v>153.30000000000001</v>
      </c>
      <c r="O59">
        <v>48000</v>
      </c>
      <c r="P59" t="s">
        <v>693</v>
      </c>
      <c r="Q59" t="s">
        <v>693</v>
      </c>
      <c r="R59" t="s">
        <v>693</v>
      </c>
      <c r="S59" t="s">
        <v>693</v>
      </c>
      <c r="T59" t="s">
        <v>693</v>
      </c>
      <c r="U59" t="s">
        <v>693</v>
      </c>
    </row>
    <row r="60" spans="1:45">
      <c r="A60">
        <v>14</v>
      </c>
      <c r="B60" t="s">
        <v>693</v>
      </c>
      <c r="C60">
        <v>1</v>
      </c>
      <c r="D60">
        <v>85.41</v>
      </c>
      <c r="E60">
        <v>0.25</v>
      </c>
      <c r="F60">
        <v>-0.25</v>
      </c>
      <c r="G60">
        <v>1600</v>
      </c>
      <c r="H60">
        <v>0.2</v>
      </c>
      <c r="I60">
        <v>2.65</v>
      </c>
      <c r="J60">
        <v>1600</v>
      </c>
      <c r="K60" s="33">
        <v>570</v>
      </c>
      <c r="L60">
        <v>48000</v>
      </c>
      <c r="M60">
        <v>127.3</v>
      </c>
      <c r="N60">
        <v>158.35</v>
      </c>
      <c r="O60">
        <v>48000</v>
      </c>
      <c r="P60" t="s">
        <v>693</v>
      </c>
      <c r="Q60" t="s">
        <v>693</v>
      </c>
      <c r="R60" t="s">
        <v>693</v>
      </c>
      <c r="S60" t="s">
        <v>693</v>
      </c>
      <c r="T60" t="s">
        <v>693</v>
      </c>
      <c r="U60" t="s">
        <v>693</v>
      </c>
    </row>
    <row r="61" spans="1:45">
      <c r="A61" t="s">
        <v>693</v>
      </c>
      <c r="B61" t="s">
        <v>693</v>
      </c>
      <c r="C61" t="s">
        <v>693</v>
      </c>
      <c r="D61" t="s">
        <v>693</v>
      </c>
      <c r="E61" t="s">
        <v>693</v>
      </c>
      <c r="F61" t="s">
        <v>693</v>
      </c>
      <c r="G61" t="s">
        <v>693</v>
      </c>
      <c r="H61" t="s">
        <v>693</v>
      </c>
      <c r="I61">
        <v>2.25</v>
      </c>
      <c r="J61">
        <v>48000</v>
      </c>
      <c r="K61" s="33">
        <v>575</v>
      </c>
      <c r="L61">
        <v>48000</v>
      </c>
      <c r="M61">
        <v>131.5</v>
      </c>
      <c r="N61">
        <v>167.45</v>
      </c>
      <c r="O61">
        <v>48000</v>
      </c>
      <c r="P61" t="s">
        <v>693</v>
      </c>
      <c r="Q61" t="s">
        <v>693</v>
      </c>
      <c r="R61" t="s">
        <v>693</v>
      </c>
      <c r="S61" t="s">
        <v>693</v>
      </c>
      <c r="T61" t="s">
        <v>693</v>
      </c>
      <c r="U61" t="s">
        <v>693</v>
      </c>
    </row>
    <row r="62" spans="1:45">
      <c r="A62">
        <v>9</v>
      </c>
      <c r="B62" t="s">
        <v>693</v>
      </c>
      <c r="C62" t="s">
        <v>693</v>
      </c>
      <c r="D62" t="s">
        <v>693</v>
      </c>
      <c r="E62" t="s">
        <v>693</v>
      </c>
      <c r="F62" t="s">
        <v>693</v>
      </c>
      <c r="G62">
        <v>1600</v>
      </c>
      <c r="H62">
        <v>0.05</v>
      </c>
      <c r="I62">
        <v>3.05</v>
      </c>
      <c r="J62">
        <v>1600</v>
      </c>
      <c r="K62" s="33">
        <v>580</v>
      </c>
      <c r="L62">
        <v>48000</v>
      </c>
      <c r="M62">
        <v>136</v>
      </c>
      <c r="N62">
        <v>173.1</v>
      </c>
      <c r="O62">
        <v>48000</v>
      </c>
      <c r="P62" t="s">
        <v>693</v>
      </c>
      <c r="Q62" t="s">
        <v>693</v>
      </c>
      <c r="R62" t="s">
        <v>693</v>
      </c>
      <c r="S62" t="s">
        <v>693</v>
      </c>
      <c r="T62" t="s">
        <v>693</v>
      </c>
      <c r="U62" t="s">
        <v>693</v>
      </c>
    </row>
    <row r="63" spans="1:45">
      <c r="A63" t="s">
        <v>693</v>
      </c>
      <c r="B63" t="s">
        <v>693</v>
      </c>
      <c r="C63" t="s">
        <v>693</v>
      </c>
      <c r="D63" t="s">
        <v>693</v>
      </c>
      <c r="E63" t="s">
        <v>693</v>
      </c>
      <c r="F63" t="s">
        <v>693</v>
      </c>
      <c r="G63" t="s">
        <v>693</v>
      </c>
      <c r="H63" t="s">
        <v>693</v>
      </c>
      <c r="I63">
        <v>2.95</v>
      </c>
      <c r="J63">
        <v>3200</v>
      </c>
      <c r="K63" s="33">
        <v>590</v>
      </c>
      <c r="L63">
        <v>48000</v>
      </c>
      <c r="M63">
        <v>145.25</v>
      </c>
      <c r="N63">
        <v>183.8</v>
      </c>
      <c r="O63">
        <v>48000</v>
      </c>
      <c r="P63" t="s">
        <v>693</v>
      </c>
      <c r="Q63" t="s">
        <v>693</v>
      </c>
      <c r="R63" t="s">
        <v>693</v>
      </c>
      <c r="S63" t="s">
        <v>693</v>
      </c>
      <c r="T63" t="s">
        <v>693</v>
      </c>
      <c r="U63" t="s">
        <v>693</v>
      </c>
    </row>
    <row r="64" spans="1:45">
      <c r="A64">
        <v>28</v>
      </c>
      <c r="B64" t="s">
        <v>693</v>
      </c>
      <c r="C64">
        <v>1</v>
      </c>
      <c r="D64">
        <v>92.32</v>
      </c>
      <c r="E64">
        <v>0.15</v>
      </c>
      <c r="F64" t="s">
        <v>693</v>
      </c>
      <c r="G64">
        <v>1600</v>
      </c>
      <c r="H64">
        <v>0.1</v>
      </c>
      <c r="I64">
        <v>0.4</v>
      </c>
      <c r="J64">
        <v>1600</v>
      </c>
      <c r="K64" s="33">
        <v>600</v>
      </c>
      <c r="L64">
        <v>48000</v>
      </c>
      <c r="M64">
        <v>160.30000000000001</v>
      </c>
      <c r="N64">
        <v>193.55</v>
      </c>
      <c r="O64">
        <v>48000</v>
      </c>
      <c r="P64" t="s">
        <v>693</v>
      </c>
      <c r="Q64" t="s">
        <v>693</v>
      </c>
      <c r="R64" t="s">
        <v>693</v>
      </c>
      <c r="S64" t="s">
        <v>693</v>
      </c>
      <c r="T64" t="s">
        <v>693</v>
      </c>
      <c r="U64" t="s">
        <v>693</v>
      </c>
    </row>
    <row r="65" spans="1:21">
      <c r="A65" t="s">
        <v>693</v>
      </c>
      <c r="B65" t="s">
        <v>693</v>
      </c>
      <c r="C65" t="s">
        <v>693</v>
      </c>
      <c r="D65" t="s">
        <v>693</v>
      </c>
      <c r="E65" t="s">
        <v>693</v>
      </c>
      <c r="F65" t="s">
        <v>693</v>
      </c>
      <c r="G65" t="s">
        <v>693</v>
      </c>
      <c r="H65" t="s">
        <v>693</v>
      </c>
      <c r="I65" t="s">
        <v>693</v>
      </c>
      <c r="J65" t="s">
        <v>693</v>
      </c>
      <c r="K65" s="33">
        <v>610</v>
      </c>
      <c r="L65">
        <v>48000</v>
      </c>
      <c r="M65">
        <v>168.55</v>
      </c>
      <c r="N65">
        <v>204.6</v>
      </c>
      <c r="O65">
        <v>48000</v>
      </c>
      <c r="P65" t="s">
        <v>693</v>
      </c>
      <c r="Q65" t="s">
        <v>693</v>
      </c>
      <c r="R65" t="s">
        <v>693</v>
      </c>
      <c r="S65" t="s">
        <v>693</v>
      </c>
      <c r="T65" t="s">
        <v>693</v>
      </c>
      <c r="U65" t="s">
        <v>693</v>
      </c>
    </row>
    <row r="66" spans="1:21">
      <c r="A66">
        <v>3</v>
      </c>
      <c r="B66" t="s">
        <v>693</v>
      </c>
      <c r="C66" t="s">
        <v>693</v>
      </c>
      <c r="D66" t="s">
        <v>693</v>
      </c>
      <c r="E66" t="s">
        <v>693</v>
      </c>
      <c r="F66" t="s">
        <v>693</v>
      </c>
      <c r="G66" t="s">
        <v>693</v>
      </c>
      <c r="H66" t="s">
        <v>693</v>
      </c>
      <c r="I66">
        <v>1.45</v>
      </c>
      <c r="J66">
        <v>1600</v>
      </c>
      <c r="K66" s="33">
        <v>620</v>
      </c>
      <c r="L66">
        <v>48000</v>
      </c>
      <c r="M66">
        <v>178.25</v>
      </c>
      <c r="N66">
        <v>218.25</v>
      </c>
      <c r="O66">
        <v>48000</v>
      </c>
      <c r="P66" t="s">
        <v>693</v>
      </c>
      <c r="Q66" t="s">
        <v>693</v>
      </c>
      <c r="R66" t="s">
        <v>693</v>
      </c>
      <c r="S66" t="s">
        <v>693</v>
      </c>
      <c r="T66" t="s">
        <v>693</v>
      </c>
      <c r="U66" t="s">
        <v>693</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AL316"/>
  <sheetViews>
    <sheetView zoomScale="85" zoomScaleNormal="85" workbookViewId="0">
      <selection activeCell="A18" sqref="A18"/>
    </sheetView>
  </sheetViews>
  <sheetFormatPr defaultRowHeight="15.75" outlineLevelRow="1"/>
  <cols>
    <col min="1" max="1" width="4" style="11" customWidth="1"/>
    <col min="2" max="2" width="17.85546875" style="11" bestFit="1" customWidth="1"/>
    <col min="3" max="4" width="5.5703125" style="22" customWidth="1"/>
    <col min="5" max="5" width="8" style="23" customWidth="1"/>
    <col min="6" max="6" width="13.28515625" style="11" customWidth="1"/>
    <col min="7" max="7" width="11.7109375" style="11" bestFit="1" customWidth="1"/>
    <col min="8" max="8" width="11.140625" style="11" customWidth="1"/>
    <col min="9" max="10" width="11.7109375" style="11" bestFit="1" customWidth="1"/>
    <col min="11" max="11" width="10.85546875" style="11" bestFit="1" customWidth="1"/>
    <col min="12" max="12" width="10.85546875" style="11" customWidth="1"/>
    <col min="13" max="13" width="13.140625" style="11" bestFit="1" customWidth="1"/>
    <col min="14" max="15" width="13.140625" style="11" customWidth="1"/>
    <col min="16" max="16" width="17.85546875" style="11" customWidth="1"/>
    <col min="17" max="17" width="15" style="11" hidden="1" customWidth="1"/>
    <col min="18" max="18" width="14.42578125" style="11" bestFit="1" customWidth="1"/>
    <col min="19" max="19" width="14.5703125" style="11" bestFit="1" customWidth="1"/>
    <col min="20" max="20" width="13.85546875" style="11" bestFit="1" customWidth="1"/>
    <col min="21" max="21" width="11.7109375" style="11" bestFit="1" customWidth="1"/>
    <col min="22" max="22" width="13.85546875" style="11" bestFit="1" customWidth="1"/>
    <col min="23" max="23" width="13.42578125" style="11" bestFit="1" customWidth="1"/>
    <col min="24" max="24" width="13.42578125" style="11" hidden="1" customWidth="1"/>
    <col min="25" max="25" width="13.42578125" style="11" customWidth="1"/>
    <col min="26" max="26" width="12.42578125" style="11" bestFit="1" customWidth="1"/>
    <col min="27" max="30" width="11.7109375" style="11" bestFit="1" customWidth="1"/>
    <col min="31" max="31" width="11.7109375" style="11" hidden="1" customWidth="1"/>
    <col min="32" max="38" width="11.7109375" style="11" bestFit="1" customWidth="1"/>
    <col min="39" max="16384" width="9.140625" style="11"/>
  </cols>
  <sheetData>
    <row r="2" spans="1:38" ht="30">
      <c r="B2" s="157">
        <f ca="1">TODAY()</f>
        <v>44756</v>
      </c>
      <c r="E2" s="202" t="s">
        <v>51</v>
      </c>
      <c r="F2" s="202"/>
      <c r="G2" s="174" t="s">
        <v>52</v>
      </c>
      <c r="H2" s="196" t="s">
        <v>604</v>
      </c>
      <c r="I2" s="197"/>
      <c r="J2" s="196" t="s">
        <v>611</v>
      </c>
      <c r="K2" s="197"/>
      <c r="L2" s="176"/>
      <c r="M2" s="165" t="s">
        <v>629</v>
      </c>
      <c r="N2" s="165"/>
      <c r="O2" s="165"/>
      <c r="P2" s="174" t="s">
        <v>117</v>
      </c>
      <c r="T2" s="104"/>
      <c r="W2" s="18"/>
      <c r="X2" s="18"/>
    </row>
    <row r="3" spans="1:38">
      <c r="E3" s="203">
        <f>SUM(P8:P100)</f>
        <v>-35998.086479999962</v>
      </c>
      <c r="F3" s="203"/>
      <c r="G3" s="103">
        <f>E3/AVERAGEIF(R8:R100,"&gt;0",R8:R100)</f>
        <v>-6.1164067564400834E-2</v>
      </c>
      <c r="H3" s="200">
        <f>J3+E3</f>
        <v>16441.913520000031</v>
      </c>
      <c r="I3" s="201"/>
      <c r="J3" s="200">
        <f>SUMIFS(R8:R100,C8:C100,"S",K8:K100,0)</f>
        <v>52439.999999999993</v>
      </c>
      <c r="K3" s="201"/>
      <c r="L3" s="177"/>
      <c r="M3" s="103">
        <f>J3/P3</f>
        <v>3.3642907748818118E-2</v>
      </c>
      <c r="N3" s="103"/>
      <c r="O3" s="103"/>
      <c r="P3" s="175">
        <v>1558723.77</v>
      </c>
      <c r="S3" s="30"/>
      <c r="W3" s="159"/>
      <c r="X3" s="159"/>
    </row>
    <row r="4" spans="1:38">
      <c r="W4" s="159"/>
      <c r="X4" s="159"/>
    </row>
    <row r="5" spans="1:38">
      <c r="W5" s="30"/>
      <c r="X5" s="30"/>
      <c r="Y5" s="30"/>
    </row>
    <row r="6" spans="1:38">
      <c r="M6" s="155">
        <v>0.25</v>
      </c>
      <c r="N6" s="179"/>
      <c r="O6" s="179"/>
      <c r="R6" s="155">
        <f t="array" ref="R6">SUM(IF(ISERROR(R8:R100),"",R8:R100))</f>
        <v>3531297.5</v>
      </c>
      <c r="S6" s="170">
        <f t="array" ref="S6">SUM(IF(ISERROR(S8:S100),"",S8:S100))</f>
        <v>0</v>
      </c>
      <c r="T6" s="171">
        <f>S6/$J$3</f>
        <v>0</v>
      </c>
      <c r="U6" s="11">
        <v>0.9</v>
      </c>
      <c r="Z6" s="169">
        <f t="array" aca="1" ref="Z6" ca="1">SUM(IF(ISERROR(Z8:Z100),"",Z8:Z100))</f>
        <v>0</v>
      </c>
      <c r="AA6" s="169">
        <f t="array" aca="1" ref="AA6" ca="1">SUM(IF(ISERROR(AA8:AA100),"",AA8:AA100))</f>
        <v>6600</v>
      </c>
      <c r="AB6" s="169">
        <f t="array" aca="1" ref="AB6" ca="1">SUM(IF(ISERROR(AB8:AB100),"",AB8:AB100))</f>
        <v>0</v>
      </c>
      <c r="AC6" s="169" t="e">
        <f ca="1">SUMPRODUCT($R$8:$R100,AC8:AC100)/SUM($R$8:$R$100)</f>
        <v>#VALUE!</v>
      </c>
    </row>
    <row r="7" spans="1:38">
      <c r="A7" s="123">
        <v>0</v>
      </c>
      <c r="B7" s="123" t="s">
        <v>19</v>
      </c>
      <c r="C7" s="123" t="s">
        <v>1</v>
      </c>
      <c r="D7" s="123" t="s">
        <v>636</v>
      </c>
      <c r="E7" s="12" t="s">
        <v>540</v>
      </c>
      <c r="F7" s="123" t="s">
        <v>21</v>
      </c>
      <c r="G7" s="174" t="s">
        <v>22</v>
      </c>
      <c r="H7" s="174" t="s">
        <v>78</v>
      </c>
      <c r="I7" s="174" t="s">
        <v>483</v>
      </c>
      <c r="J7" s="174" t="s">
        <v>23</v>
      </c>
      <c r="K7" s="174" t="s">
        <v>49</v>
      </c>
      <c r="L7" s="174" t="s">
        <v>633</v>
      </c>
      <c r="M7" s="174" t="s">
        <v>614</v>
      </c>
      <c r="N7" s="178" t="s">
        <v>500</v>
      </c>
      <c r="O7" s="178" t="s">
        <v>637</v>
      </c>
      <c r="P7" s="174" t="s">
        <v>51</v>
      </c>
      <c r="Q7" s="174" t="s">
        <v>50</v>
      </c>
      <c r="R7" s="174" t="s">
        <v>20</v>
      </c>
      <c r="S7" s="174" t="s">
        <v>626</v>
      </c>
      <c r="T7" s="12" t="s">
        <v>627</v>
      </c>
      <c r="U7" s="174" t="s">
        <v>628</v>
      </c>
      <c r="V7" s="174" t="s">
        <v>548</v>
      </c>
      <c r="W7" s="174" t="s">
        <v>505</v>
      </c>
      <c r="X7" s="174"/>
      <c r="Y7" s="174" t="s">
        <v>487</v>
      </c>
      <c r="Z7" s="174" t="s">
        <v>503</v>
      </c>
      <c r="AA7" s="174" t="s">
        <v>500</v>
      </c>
      <c r="AB7" s="174" t="s">
        <v>75</v>
      </c>
      <c r="AC7" s="174" t="s">
        <v>77</v>
      </c>
      <c r="AD7" s="174" t="s">
        <v>537</v>
      </c>
      <c r="AE7" s="12" t="s">
        <v>549</v>
      </c>
      <c r="AF7" s="174" t="s">
        <v>5</v>
      </c>
      <c r="AG7" s="174" t="s">
        <v>14</v>
      </c>
      <c r="AH7" s="174" t="s">
        <v>9</v>
      </c>
      <c r="AI7" s="174" t="s">
        <v>10</v>
      </c>
      <c r="AJ7" s="174" t="s">
        <v>11</v>
      </c>
      <c r="AK7" s="174" t="s">
        <v>12</v>
      </c>
      <c r="AL7" s="12" t="s">
        <v>53</v>
      </c>
    </row>
    <row r="8" spans="1:38" s="119" customFormat="1" ht="15" customHeight="1" outlineLevel="1">
      <c r="A8" s="13">
        <f t="shared" ref="A8:A72" si="0">A7+1</f>
        <v>1</v>
      </c>
      <c r="B8" s="128">
        <v>44574</v>
      </c>
      <c r="C8" s="121" t="s">
        <v>6</v>
      </c>
      <c r="D8" s="120" t="s">
        <v>634</v>
      </c>
      <c r="E8" s="120" t="s">
        <v>632</v>
      </c>
      <c r="F8" s="121" t="s">
        <v>126</v>
      </c>
      <c r="G8" s="120"/>
      <c r="H8" s="122">
        <v>44588</v>
      </c>
      <c r="I8" s="120">
        <v>3750</v>
      </c>
      <c r="J8" s="120">
        <v>272.75</v>
      </c>
      <c r="K8" s="120">
        <v>0</v>
      </c>
      <c r="L8" s="120">
        <v>285</v>
      </c>
      <c r="M8" s="164">
        <f>J8+(L8-J8)*$M$6*IF(C8="B",-1,1)</f>
        <v>269.6875</v>
      </c>
      <c r="N8" s="164">
        <f>IF($E8="FUT",1,OptionDelta(LEFT(E8),VALUE(V8),G8,AE8,RISKFREE_RATE,W8,0))*IF(C8="B",1,-1)</f>
        <v>1</v>
      </c>
      <c r="O8" s="164">
        <f>1/N8</f>
        <v>1</v>
      </c>
      <c r="P8" s="124">
        <f t="shared" ref="P8:P9" si="1">IF(AND(K8&lt;&gt;0,I8&lt;&gt;0),(IF(C8="B",1,-1))*(K8-J8)*I8,0)</f>
        <v>0</v>
      </c>
      <c r="Q8" s="120">
        <f t="shared" ref="Q8:Q10" si="2">K8/$J8</f>
        <v>0</v>
      </c>
      <c r="R8" s="168">
        <f t="shared" ref="R8:R71" si="3">$J8*$I8</f>
        <v>1022812.5</v>
      </c>
      <c r="S8" s="168" t="e">
        <f t="shared" ref="S8:S13" si="4">(Y8-J8)*I8*IF(C8="B",1,-1)*IF(K8=0,1,0)</f>
        <v>#N/A</v>
      </c>
      <c r="T8" s="125">
        <f t="shared" ref="T8:T11" si="5">IFERROR(S8/R8,0)</f>
        <v>0</v>
      </c>
      <c r="U8" s="124">
        <f t="shared" ref="U8:U13" si="6">(1-$U$6)*J8</f>
        <v>27.274999999999995</v>
      </c>
      <c r="V8" s="120">
        <f>VLOOKUP($F8,Reference!$B$2:$D$182,2,0)</f>
        <v>162.15</v>
      </c>
      <c r="W8" s="125">
        <f t="shared" ref="W8:W11" si="7">AD8</f>
        <v>0</v>
      </c>
      <c r="X8" s="125" t="str">
        <f t="shared" ref="X8:X13" si="8">TRIM(E8)&amp;TRIM(F8)&amp;TRIM(G8)&amp;TRIM(H8)</f>
        <v>FUTIEX44588</v>
      </c>
      <c r="Y8" s="166" t="e">
        <f>VLOOKUP(X8,Reference!$F$10:$G$34,2,0)</f>
        <v>#N/A</v>
      </c>
      <c r="Z8" s="168" t="e">
        <f t="shared" ref="Z8:Z13" si="9">IF($E8="FUT",Y8,OptionPrice(LEFT($E8),$V8,$G8,$AE8,RISKFREE_RATE,$W8,NIFTY_DIVYLD))*IF(C8="B",1,-1)*IF(I8=0,0,1)*IF(K8=0,1,0)*I8</f>
        <v>#N/A</v>
      </c>
      <c r="AA8" s="168">
        <f t="shared" ref="AA8:AA13" si="10">IF($E8="FUT",1,OptionDelta(LEFT(E8),V8,G8,AE8,RISKFREE_RATE,W8,NIFTY_DIVYLD))*IF(C8="B",1,-1)*IF(I8=0,0,1)*IF(K8=0,1,0)*I8</f>
        <v>3750</v>
      </c>
      <c r="AB8" s="168">
        <f t="shared" ref="AB8:AB13" si="11">IF($E8="FUT",0,OptionTheta(LEFT(E8),V8,G8,AE8,RISKFREE_RATE,W8,NIFTY_DIVYLD))*IF(C8="B",1,-1)*IF(I8=0,0,1)*IF(K8=0,1,0)*I8</f>
        <v>0</v>
      </c>
      <c r="AC8" s="168">
        <f t="shared" ref="AC8:AC13" si="12">IF($E8="FUT",0,OptionGamma(V8,G8,AE8,RISKFREE_RATE,W8,NIFTY_DIVYLD))*IF(C8="B",1,-1)*IF(I8=0,0,1)*IF(K8=0,1,0)</f>
        <v>0</v>
      </c>
      <c r="AD8" s="124">
        <f>IF($E8="FUT",0,ImpliedVolatility(LEFT(E8),V8,G8,RISKFREE_RATE,AE8,NIFTY_DIVYLD,Y8,24%))</f>
        <v>0</v>
      </c>
      <c r="AE8" s="120">
        <f t="shared" ref="AE8:AE13" ca="1" si="13">(H8-TODAY())/365</f>
        <v>-0.46027397260273972</v>
      </c>
      <c r="AF8" s="120">
        <f t="shared" ref="AF8:AF13" si="14">IF(I8&lt;&gt;0,20,0)</f>
        <v>20</v>
      </c>
      <c r="AG8" s="120">
        <f t="shared" ref="AG8:AG13" si="15">0.053%*$R8</f>
        <v>542.09062499999993</v>
      </c>
      <c r="AH8" s="120">
        <f t="shared" ref="AH8:AH11" si="16">18%*(AF8+AG8)</f>
        <v>101.17631249999998</v>
      </c>
      <c r="AI8" s="120">
        <f t="shared" ref="AI8:AI13" si="17">0.05%*$R8*(IF($C8="B",0,1))</f>
        <v>0</v>
      </c>
      <c r="AJ8" s="120">
        <f t="shared" ref="AJ8:AJ13" si="18">10/10000000*$R8</f>
        <v>1.0228124999999999</v>
      </c>
      <c r="AK8" s="120">
        <f t="shared" ref="AK8:AK13" si="19">300/10000000*$R8*(IF($C8="B",1,0))</f>
        <v>30.684374999999999</v>
      </c>
      <c r="AL8" s="120">
        <f t="shared" ref="AL8:AL11" si="20">SUM(AF8:AK8)</f>
        <v>694.97412499999996</v>
      </c>
    </row>
    <row r="9" spans="1:38" ht="15" customHeight="1" outlineLevel="1">
      <c r="A9" s="13">
        <f t="shared" si="0"/>
        <v>2</v>
      </c>
      <c r="B9" s="128">
        <v>44574</v>
      </c>
      <c r="C9" s="121" t="s">
        <v>8</v>
      </c>
      <c r="D9" s="120" t="s">
        <v>634</v>
      </c>
      <c r="E9" s="120" t="s">
        <v>481</v>
      </c>
      <c r="F9" s="121" t="s">
        <v>126</v>
      </c>
      <c r="G9" s="120">
        <v>310</v>
      </c>
      <c r="H9" s="122">
        <v>44588</v>
      </c>
      <c r="I9" s="120">
        <v>3750</v>
      </c>
      <c r="J9" s="120">
        <v>2.08</v>
      </c>
      <c r="K9" s="120">
        <v>2.1</v>
      </c>
      <c r="L9" s="120">
        <v>2.1</v>
      </c>
      <c r="M9" s="164">
        <f t="shared" ref="M9:M10" si="21">J9+(L9-J9)*$M$6*IF(C9="B",-1,1)</f>
        <v>2.085</v>
      </c>
      <c r="N9" s="164" t="e">
        <f ca="1">IF($E9="FUT",1,OptionDelta(LEFT(E9),VALUE(V9),G9,AE9,RISKFREE_RATE,W9,0))*IF(C9="B",1,-1)</f>
        <v>#VALUE!</v>
      </c>
      <c r="O9" s="164" t="e">
        <f ca="1">1/N9</f>
        <v>#VALUE!</v>
      </c>
      <c r="P9" s="124">
        <f t="shared" si="1"/>
        <v>-75.000000000000071</v>
      </c>
      <c r="Q9" s="120">
        <f t="shared" si="2"/>
        <v>1.0096153846153846</v>
      </c>
      <c r="R9" s="168">
        <f t="shared" si="3"/>
        <v>7800</v>
      </c>
      <c r="S9" s="168" t="e">
        <f t="shared" si="4"/>
        <v>#N/A</v>
      </c>
      <c r="T9" s="125">
        <f t="shared" si="5"/>
        <v>0</v>
      </c>
      <c r="U9" s="124">
        <f t="shared" si="6"/>
        <v>0.20799999999999996</v>
      </c>
      <c r="V9" s="120">
        <f>VLOOKUP($F9,Reference!$B$2:$D$182,2,0)</f>
        <v>162.15</v>
      </c>
      <c r="W9" s="125" t="e">
        <f t="shared" ca="1" si="7"/>
        <v>#VALUE!</v>
      </c>
      <c r="X9" s="125" t="str">
        <f t="shared" si="8"/>
        <v>CEIEX31044588</v>
      </c>
      <c r="Y9" s="166" t="e">
        <f>VLOOKUP(X9,Reference!$F$10:$G$54,2,0)</f>
        <v>#N/A</v>
      </c>
      <c r="Z9" s="168" t="e">
        <f t="shared" ca="1" si="9"/>
        <v>#VALUE!</v>
      </c>
      <c r="AA9" s="168" t="e">
        <f t="shared" ca="1" si="10"/>
        <v>#VALUE!</v>
      </c>
      <c r="AB9" s="168" t="e">
        <f t="shared" ca="1" si="11"/>
        <v>#VALUE!</v>
      </c>
      <c r="AC9" s="168" t="e">
        <f t="shared" ca="1" si="12"/>
        <v>#VALUE!</v>
      </c>
      <c r="AD9" s="124" t="e">
        <f ca="1">IF($E9="FUT",0,ImpliedVolatility(LEFT(E9),V9,G9,RISKFREE_RATE,AE9,0,Y9,56%))</f>
        <v>#VALUE!</v>
      </c>
      <c r="AE9" s="120">
        <f t="shared" ca="1" si="13"/>
        <v>-0.46027397260273972</v>
      </c>
      <c r="AF9" s="120">
        <f t="shared" si="14"/>
        <v>20</v>
      </c>
      <c r="AG9" s="120">
        <f t="shared" si="15"/>
        <v>4.1339999999999995</v>
      </c>
      <c r="AH9" s="120">
        <f t="shared" si="16"/>
        <v>4.3441200000000002</v>
      </c>
      <c r="AI9" s="120">
        <f t="shared" si="17"/>
        <v>3.9</v>
      </c>
      <c r="AJ9" s="120">
        <f t="shared" si="18"/>
        <v>7.7999999999999996E-3</v>
      </c>
      <c r="AK9" s="120">
        <f t="shared" si="19"/>
        <v>0</v>
      </c>
      <c r="AL9" s="120">
        <f t="shared" si="20"/>
        <v>32.385920000000006</v>
      </c>
    </row>
    <row r="10" spans="1:38" outlineLevel="1">
      <c r="A10" s="13">
        <f t="shared" si="0"/>
        <v>3</v>
      </c>
      <c r="B10" s="128">
        <v>44564</v>
      </c>
      <c r="C10" s="121" t="s">
        <v>8</v>
      </c>
      <c r="D10" s="120" t="s">
        <v>635</v>
      </c>
      <c r="E10" s="120" t="s">
        <v>481</v>
      </c>
      <c r="F10" s="121" t="s">
        <v>502</v>
      </c>
      <c r="G10" s="120">
        <v>18000</v>
      </c>
      <c r="H10" s="122">
        <v>44588</v>
      </c>
      <c r="I10" s="120">
        <v>500</v>
      </c>
      <c r="J10" s="120">
        <v>70.7</v>
      </c>
      <c r="K10" s="120">
        <f>157-6.25</f>
        <v>150.75</v>
      </c>
      <c r="L10" s="120">
        <f>157-6.25</f>
        <v>150.75</v>
      </c>
      <c r="M10" s="164">
        <f t="shared" si="21"/>
        <v>90.712500000000006</v>
      </c>
      <c r="N10" s="164"/>
      <c r="O10" s="164"/>
      <c r="P10" s="124">
        <f>IF(AND(K10&lt;&gt;0,I10&lt;&gt;0),(IF(C10="B",1,-1))*(K10-J10)*I10-AL10*2,0)</f>
        <v>-40151.836479999998</v>
      </c>
      <c r="Q10" s="120">
        <f t="shared" si="2"/>
        <v>2.132248939179632</v>
      </c>
      <c r="R10" s="168">
        <f t="shared" si="3"/>
        <v>35350</v>
      </c>
      <c r="S10" s="168" t="e">
        <f t="shared" si="4"/>
        <v>#N/A</v>
      </c>
      <c r="T10" s="125">
        <f t="shared" si="5"/>
        <v>0</v>
      </c>
      <c r="U10" s="124">
        <f t="shared" si="6"/>
        <v>7.0699999999999985</v>
      </c>
      <c r="V10" s="120">
        <f>VLOOKUP($F10,Reference!$B$2:$D$182,2,0)</f>
        <v>15938.65</v>
      </c>
      <c r="W10" s="125" t="e">
        <f t="shared" ca="1" si="7"/>
        <v>#VALUE!</v>
      </c>
      <c r="X10" s="125" t="str">
        <f t="shared" si="8"/>
        <v>CENIFTY1800044588</v>
      </c>
      <c r="Y10" s="166" t="e">
        <f>VLOOKUP(X10,Reference!$F$10:$G$34,2,0)</f>
        <v>#N/A</v>
      </c>
      <c r="Z10" s="168" t="e">
        <f t="shared" ca="1" si="9"/>
        <v>#VALUE!</v>
      </c>
      <c r="AA10" s="168" t="e">
        <f t="shared" ca="1" si="10"/>
        <v>#VALUE!</v>
      </c>
      <c r="AB10" s="168" t="e">
        <f t="shared" ca="1" si="11"/>
        <v>#VALUE!</v>
      </c>
      <c r="AC10" s="168" t="e">
        <f t="shared" ca="1" si="12"/>
        <v>#VALUE!</v>
      </c>
      <c r="AD10" s="124" t="e">
        <f ca="1">IF($E10="FUT",0,ImpliedVolatility(LEFT(E10),V10,G10,RISKFREE_RATE,AE10,NIFTY_DIVYLD,Y10,24%))</f>
        <v>#VALUE!</v>
      </c>
      <c r="AE10" s="120">
        <f t="shared" ca="1" si="13"/>
        <v>-0.46027397260273972</v>
      </c>
      <c r="AF10" s="120">
        <f t="shared" si="14"/>
        <v>20</v>
      </c>
      <c r="AG10" s="120">
        <f t="shared" si="15"/>
        <v>18.735499999999998</v>
      </c>
      <c r="AH10" s="120">
        <f t="shared" si="16"/>
        <v>6.9723899999999999</v>
      </c>
      <c r="AI10" s="120">
        <f t="shared" si="17"/>
        <v>17.675000000000001</v>
      </c>
      <c r="AJ10" s="120">
        <f t="shared" si="18"/>
        <v>3.5349999999999999E-2</v>
      </c>
      <c r="AK10" s="120">
        <f t="shared" si="19"/>
        <v>0</v>
      </c>
      <c r="AL10" s="120">
        <f t="shared" si="20"/>
        <v>63.418240000000004</v>
      </c>
    </row>
    <row r="11" spans="1:38" outlineLevel="1">
      <c r="A11" s="13">
        <f>A10+1</f>
        <v>4</v>
      </c>
      <c r="B11" s="128">
        <v>44572</v>
      </c>
      <c r="C11" s="121" t="s">
        <v>6</v>
      </c>
      <c r="D11" s="120" t="s">
        <v>635</v>
      </c>
      <c r="E11" s="120" t="s">
        <v>632</v>
      </c>
      <c r="F11" s="121" t="s">
        <v>506</v>
      </c>
      <c r="G11" s="120"/>
      <c r="H11" s="122">
        <v>44616</v>
      </c>
      <c r="I11" s="120">
        <v>25</v>
      </c>
      <c r="J11" s="120">
        <v>38529.699999999997</v>
      </c>
      <c r="K11" s="120">
        <v>38698.85</v>
      </c>
      <c r="L11" s="120">
        <v>38698.85</v>
      </c>
      <c r="M11" s="164">
        <f>J11+(L11-J11)*$M$6*IF(C11="B",-1,1)</f>
        <v>38487.412499999999</v>
      </c>
      <c r="N11" s="164"/>
      <c r="O11" s="164"/>
      <c r="P11" s="124">
        <f>IF(AND(K11&lt;&gt;0,I11&lt;&gt;0),(IF(C11="B",1,-1))*(K11-J11)*I11,0)</f>
        <v>4228.7500000000364</v>
      </c>
      <c r="Q11" s="120">
        <f>K11/$J11</f>
        <v>1.0043901198296379</v>
      </c>
      <c r="R11" s="168">
        <f t="shared" si="3"/>
        <v>963242.49999999988</v>
      </c>
      <c r="S11" s="168" t="e">
        <f t="shared" si="4"/>
        <v>#N/A</v>
      </c>
      <c r="T11" s="125">
        <f t="shared" si="5"/>
        <v>0</v>
      </c>
      <c r="U11" s="124">
        <f t="shared" si="6"/>
        <v>3852.9699999999989</v>
      </c>
      <c r="V11" s="120">
        <f>VLOOKUP($F11,Reference!$B$2:$D$182,2,0)</f>
        <v>34651.199999999997</v>
      </c>
      <c r="W11" s="125">
        <f t="shared" si="7"/>
        <v>0</v>
      </c>
      <c r="X11" s="125" t="str">
        <f t="shared" si="8"/>
        <v>FUTBANKNIFTY44616</v>
      </c>
      <c r="Y11" s="166" t="e">
        <f>VLOOKUP(X11,Reference!$F$10:$G$34,2,0)</f>
        <v>#N/A</v>
      </c>
      <c r="Z11" s="168" t="e">
        <f t="shared" si="9"/>
        <v>#N/A</v>
      </c>
      <c r="AA11" s="168">
        <f t="shared" si="10"/>
        <v>0</v>
      </c>
      <c r="AB11" s="168">
        <f t="shared" si="11"/>
        <v>0</v>
      </c>
      <c r="AC11" s="168">
        <f t="shared" si="12"/>
        <v>0</v>
      </c>
      <c r="AD11" s="124">
        <f>IF($E11="FUT",0,ImpliedVolatility(LEFT(E11),V11,G11,RISKFREE_RATE,AE11,NIFTY_DIVYLD,Y11,24%))</f>
        <v>0</v>
      </c>
      <c r="AE11" s="120">
        <f t="shared" ca="1" si="13"/>
        <v>-0.38356164383561642</v>
      </c>
      <c r="AF11" s="120">
        <f t="shared" si="14"/>
        <v>20</v>
      </c>
      <c r="AG11" s="120">
        <f t="shared" si="15"/>
        <v>510.5185249999999</v>
      </c>
      <c r="AH11" s="120">
        <f t="shared" si="16"/>
        <v>95.493334499999989</v>
      </c>
      <c r="AI11" s="120">
        <f t="shared" si="17"/>
        <v>0</v>
      </c>
      <c r="AJ11" s="120">
        <f t="shared" si="18"/>
        <v>0.96324249999999989</v>
      </c>
      <c r="AK11" s="120">
        <f t="shared" si="19"/>
        <v>28.897274999999997</v>
      </c>
      <c r="AL11" s="120">
        <f t="shared" si="20"/>
        <v>655.87237699999991</v>
      </c>
    </row>
    <row r="12" spans="1:38" outlineLevel="1">
      <c r="A12" s="13">
        <f t="shared" si="0"/>
        <v>5</v>
      </c>
      <c r="B12" s="128">
        <v>44574</v>
      </c>
      <c r="C12" s="121" t="s">
        <v>6</v>
      </c>
      <c r="D12" s="121" t="s">
        <v>634</v>
      </c>
      <c r="E12" s="120" t="s">
        <v>632</v>
      </c>
      <c r="F12" s="121" t="s">
        <v>284</v>
      </c>
      <c r="G12" s="120"/>
      <c r="H12" s="122">
        <v>44616</v>
      </c>
      <c r="I12" s="120">
        <v>2850</v>
      </c>
      <c r="J12" s="120">
        <v>508.65</v>
      </c>
      <c r="K12" s="120">
        <v>0</v>
      </c>
      <c r="L12" s="120">
        <v>530</v>
      </c>
      <c r="M12" s="164">
        <f>J12+(L12-J12)*$M$6*IF(C12="B",-1,1)</f>
        <v>503.3125</v>
      </c>
      <c r="N12" s="164">
        <f>IF($E12="FUT",1,OptionDelta(LEFT(E12),VALUE(V12),G12,AE12,RISKFREE_RATE,W12,0))*IF(C12="B",1,-1)</f>
        <v>1</v>
      </c>
      <c r="O12" s="164">
        <f>1/N12</f>
        <v>1</v>
      </c>
      <c r="P12" s="124">
        <f t="shared" ref="P12:P13" si="22">IF(AND(K12&lt;&gt;0,I12&lt;&gt;0),(IF(C12="B",1,-1))*(K12-J12)*I12,0)</f>
        <v>0</v>
      </c>
      <c r="Q12" s="120">
        <f t="shared" ref="Q12:Q13" si="23">K12/$J12</f>
        <v>0</v>
      </c>
      <c r="R12" s="168">
        <f t="shared" si="3"/>
        <v>1449652.5</v>
      </c>
      <c r="S12" s="168" t="e">
        <f t="shared" si="4"/>
        <v>#N/A</v>
      </c>
      <c r="T12" s="125">
        <f t="shared" ref="T12:T13" si="24">IFERROR(S12/R12,0)</f>
        <v>0</v>
      </c>
      <c r="U12" s="124">
        <f t="shared" si="6"/>
        <v>50.864999999999988</v>
      </c>
      <c r="V12" s="120">
        <f>VLOOKUP($F12,Reference!$B$2:$D$182,2,0)</f>
        <v>428</v>
      </c>
      <c r="W12" s="125">
        <f t="shared" ref="W12:W13" si="25">AD12</f>
        <v>0</v>
      </c>
      <c r="X12" s="125" t="str">
        <f t="shared" si="8"/>
        <v>FUTTATAMOTORS44616</v>
      </c>
      <c r="Y12" s="166" t="e">
        <f>VLOOKUP(X12,Reference!$F$10:$G$34,2,0)</f>
        <v>#N/A</v>
      </c>
      <c r="Z12" s="168" t="e">
        <f t="shared" si="9"/>
        <v>#N/A</v>
      </c>
      <c r="AA12" s="168">
        <f t="shared" si="10"/>
        <v>2850</v>
      </c>
      <c r="AB12" s="168">
        <f t="shared" si="11"/>
        <v>0</v>
      </c>
      <c r="AC12" s="168">
        <f t="shared" si="12"/>
        <v>0</v>
      </c>
      <c r="AD12" s="124">
        <f>IF($E12="FUT",0,ImpliedVolatility(LEFT(E12),V12,G12,RISKFREE_RATE,AE12,NIFTY_DIVYLD,Y12,24%))</f>
        <v>0</v>
      </c>
      <c r="AE12" s="120">
        <f t="shared" ca="1" si="13"/>
        <v>-0.38356164383561642</v>
      </c>
      <c r="AF12" s="120">
        <f t="shared" si="14"/>
        <v>20</v>
      </c>
      <c r="AG12" s="120">
        <f t="shared" si="15"/>
        <v>768.31582500000002</v>
      </c>
      <c r="AH12" s="120">
        <f t="shared" ref="AH12:AH13" si="26">18%*(AF12+AG12)</f>
        <v>141.8968485</v>
      </c>
      <c r="AI12" s="120">
        <f t="shared" si="17"/>
        <v>0</v>
      </c>
      <c r="AJ12" s="120">
        <f t="shared" si="18"/>
        <v>1.4496525</v>
      </c>
      <c r="AK12" s="120">
        <f t="shared" si="19"/>
        <v>43.489575000000002</v>
      </c>
      <c r="AL12" s="120">
        <f t="shared" ref="AL12:AL13" si="27">SUM(AF12:AK12)</f>
        <v>975.15190099999995</v>
      </c>
    </row>
    <row r="13" spans="1:38" outlineLevel="1">
      <c r="A13" s="13">
        <f t="shared" si="0"/>
        <v>6</v>
      </c>
      <c r="B13" s="128">
        <v>44574</v>
      </c>
      <c r="C13" s="121" t="s">
        <v>8</v>
      </c>
      <c r="D13" s="121" t="s">
        <v>634</v>
      </c>
      <c r="E13" s="120" t="s">
        <v>481</v>
      </c>
      <c r="F13" s="121" t="s">
        <v>284</v>
      </c>
      <c r="G13" s="120">
        <v>540</v>
      </c>
      <c r="H13" s="122">
        <v>44588</v>
      </c>
      <c r="I13" s="120">
        <f>I12*4</f>
        <v>11400</v>
      </c>
      <c r="J13" s="120">
        <v>4.5999999999999996</v>
      </c>
      <c r="K13" s="120">
        <v>0</v>
      </c>
      <c r="L13" s="120">
        <v>0</v>
      </c>
      <c r="M13" s="164">
        <f t="shared" ref="M13" si="28">J13+(L13-J13)*$M$6*IF(C13="B",-1,1)</f>
        <v>3.4499999999999997</v>
      </c>
      <c r="N13" s="164" t="e">
        <f ca="1">IF($E13="FUT",1,OptionDelta(LEFT(E13),VALUE(V13),G13,AE13,RISKFREE_RATE,W13,0))*IF(C13="B",1,-1)</f>
        <v>#VALUE!</v>
      </c>
      <c r="O13" s="164" t="e">
        <f ca="1">1/N13</f>
        <v>#VALUE!</v>
      </c>
      <c r="P13" s="124">
        <f t="shared" si="22"/>
        <v>0</v>
      </c>
      <c r="Q13" s="120">
        <f t="shared" si="23"/>
        <v>0</v>
      </c>
      <c r="R13" s="168">
        <f t="shared" si="3"/>
        <v>52439.999999999993</v>
      </c>
      <c r="S13" s="168" t="e">
        <f t="shared" si="4"/>
        <v>#N/A</v>
      </c>
      <c r="T13" s="125">
        <f t="shared" si="24"/>
        <v>0</v>
      </c>
      <c r="U13" s="124">
        <f t="shared" si="6"/>
        <v>0.45999999999999985</v>
      </c>
      <c r="V13" s="120">
        <f>VLOOKUP($F13,Reference!$B$2:$D$182,2,0)</f>
        <v>428</v>
      </c>
      <c r="W13" s="125" t="e">
        <f t="shared" ca="1" si="25"/>
        <v>#VALUE!</v>
      </c>
      <c r="X13" s="125" t="str">
        <f t="shared" si="8"/>
        <v>CETATAMOTORS54044588</v>
      </c>
      <c r="Y13" s="166" t="e">
        <f>VLOOKUP(X13,Reference!$F$10:$G$54,2,0)</f>
        <v>#N/A</v>
      </c>
      <c r="Z13" s="168" t="e">
        <f t="shared" ca="1" si="9"/>
        <v>#VALUE!</v>
      </c>
      <c r="AA13" s="168" t="e">
        <f t="shared" ca="1" si="10"/>
        <v>#VALUE!</v>
      </c>
      <c r="AB13" s="168" t="e">
        <f t="shared" ca="1" si="11"/>
        <v>#VALUE!</v>
      </c>
      <c r="AC13" s="168" t="e">
        <f t="shared" ca="1" si="12"/>
        <v>#VALUE!</v>
      </c>
      <c r="AD13" s="124" t="e">
        <f ca="1">IF($E13="FUT",0,ImpliedVolatility(LEFT(E13),V13,G13,RISKFREE_RATE,AE13,0,Y13,56%))</f>
        <v>#VALUE!</v>
      </c>
      <c r="AE13" s="120">
        <f t="shared" ca="1" si="13"/>
        <v>-0.46027397260273972</v>
      </c>
      <c r="AF13" s="120">
        <f t="shared" si="14"/>
        <v>20</v>
      </c>
      <c r="AG13" s="120">
        <f t="shared" si="15"/>
        <v>27.793199999999995</v>
      </c>
      <c r="AH13" s="120">
        <f t="shared" si="26"/>
        <v>8.6027759999999986</v>
      </c>
      <c r="AI13" s="120">
        <f t="shared" si="17"/>
        <v>26.219999999999995</v>
      </c>
      <c r="AJ13" s="120">
        <f t="shared" si="18"/>
        <v>5.2439999999999994E-2</v>
      </c>
      <c r="AK13" s="120">
        <f t="shared" si="19"/>
        <v>0</v>
      </c>
      <c r="AL13" s="120">
        <f t="shared" si="27"/>
        <v>82.668415999999993</v>
      </c>
    </row>
    <row r="14" spans="1:38" outlineLevel="1">
      <c r="A14" s="13">
        <f t="shared" si="0"/>
        <v>7</v>
      </c>
      <c r="B14" s="128"/>
      <c r="C14" s="121"/>
      <c r="D14" s="121"/>
      <c r="E14" s="120"/>
      <c r="F14" s="121"/>
      <c r="G14" s="120"/>
      <c r="H14" s="122"/>
      <c r="I14" s="120"/>
      <c r="J14" s="120"/>
      <c r="K14" s="120"/>
      <c r="L14" s="120"/>
      <c r="M14" s="164"/>
      <c r="N14" s="164"/>
      <c r="O14" s="164"/>
      <c r="P14" s="124"/>
      <c r="Q14" s="120"/>
      <c r="R14" s="168"/>
      <c r="S14" s="168"/>
      <c r="T14" s="125"/>
      <c r="U14" s="124"/>
      <c r="V14" s="120"/>
      <c r="W14" s="125"/>
      <c r="X14" s="125"/>
      <c r="Y14" s="166"/>
      <c r="Z14" s="168"/>
      <c r="AA14" s="168"/>
      <c r="AB14" s="168"/>
      <c r="AC14" s="168"/>
      <c r="AD14" s="124"/>
      <c r="AE14" s="120"/>
      <c r="AF14" s="120"/>
      <c r="AG14" s="120"/>
      <c r="AH14" s="120"/>
      <c r="AI14" s="120"/>
      <c r="AJ14" s="120"/>
      <c r="AK14" s="120"/>
      <c r="AL14" s="120"/>
    </row>
    <row r="15" spans="1:38" outlineLevel="1">
      <c r="A15" s="13">
        <f t="shared" si="0"/>
        <v>8</v>
      </c>
      <c r="B15" s="128"/>
      <c r="C15" s="121"/>
      <c r="D15" s="121"/>
      <c r="E15" s="120"/>
      <c r="F15" s="121"/>
      <c r="G15" s="120"/>
      <c r="H15" s="122"/>
      <c r="I15" s="120"/>
      <c r="J15" s="120"/>
      <c r="K15" s="120"/>
      <c r="L15" s="120"/>
      <c r="M15" s="164"/>
      <c r="N15" s="164"/>
      <c r="O15" s="164"/>
      <c r="P15" s="124"/>
      <c r="Q15" s="120"/>
      <c r="R15" s="168"/>
      <c r="S15" s="168"/>
      <c r="T15" s="125"/>
      <c r="U15" s="124"/>
      <c r="V15" s="120"/>
      <c r="W15" s="125"/>
      <c r="X15" s="125"/>
      <c r="Y15" s="166"/>
      <c r="Z15" s="168"/>
      <c r="AA15" s="168"/>
      <c r="AB15" s="168"/>
      <c r="AC15" s="168"/>
      <c r="AD15" s="124"/>
      <c r="AE15" s="120"/>
      <c r="AF15" s="120"/>
      <c r="AG15" s="120"/>
      <c r="AH15" s="120"/>
      <c r="AI15" s="120"/>
      <c r="AJ15" s="120"/>
      <c r="AK15" s="120"/>
      <c r="AL15" s="120"/>
    </row>
    <row r="16" spans="1:38" outlineLevel="1">
      <c r="A16" s="13">
        <f t="shared" si="0"/>
        <v>9</v>
      </c>
      <c r="B16" s="128"/>
      <c r="C16" s="121"/>
      <c r="D16" s="121"/>
      <c r="E16" s="120"/>
      <c r="F16" s="121"/>
      <c r="G16" s="120"/>
      <c r="H16" s="122"/>
      <c r="I16" s="120"/>
      <c r="J16" s="120"/>
      <c r="K16" s="120"/>
      <c r="L16" s="120"/>
      <c r="M16" s="164"/>
      <c r="N16" s="164"/>
      <c r="O16" s="164"/>
      <c r="P16" s="124"/>
      <c r="Q16" s="120"/>
      <c r="R16" s="168"/>
      <c r="S16" s="168"/>
      <c r="T16" s="125"/>
      <c r="U16" s="124"/>
      <c r="V16" s="120"/>
      <c r="W16" s="125"/>
      <c r="X16" s="125"/>
      <c r="Y16" s="166"/>
      <c r="Z16" s="168"/>
      <c r="AA16" s="168"/>
      <c r="AB16" s="168"/>
      <c r="AC16" s="168"/>
      <c r="AD16" s="124"/>
      <c r="AE16" s="120"/>
      <c r="AF16" s="120"/>
      <c r="AG16" s="120"/>
      <c r="AH16" s="120"/>
      <c r="AI16" s="120"/>
      <c r="AJ16" s="120"/>
      <c r="AK16" s="120"/>
      <c r="AL16" s="120"/>
    </row>
    <row r="17" spans="1:38" outlineLevel="1">
      <c r="A17" s="13">
        <f t="shared" si="0"/>
        <v>10</v>
      </c>
      <c r="B17" s="128"/>
      <c r="C17" s="121"/>
      <c r="D17" s="121"/>
      <c r="E17" s="120"/>
      <c r="F17" s="121"/>
      <c r="G17" s="120"/>
      <c r="H17" s="122"/>
      <c r="I17" s="120"/>
      <c r="J17" s="120"/>
      <c r="K17" s="120"/>
      <c r="L17" s="120"/>
      <c r="M17" s="164"/>
      <c r="N17" s="164"/>
      <c r="O17" s="164"/>
      <c r="P17" s="124"/>
      <c r="Q17" s="120"/>
      <c r="R17" s="168"/>
      <c r="S17" s="168"/>
      <c r="T17" s="125"/>
      <c r="U17" s="124"/>
      <c r="V17" s="120"/>
      <c r="W17" s="125"/>
      <c r="X17" s="125"/>
      <c r="Y17" s="166"/>
      <c r="Z17" s="168"/>
      <c r="AA17" s="168"/>
      <c r="AB17" s="168"/>
      <c r="AC17" s="168"/>
      <c r="AD17" s="124"/>
      <c r="AE17" s="120"/>
      <c r="AF17" s="120"/>
      <c r="AG17" s="120"/>
      <c r="AH17" s="120"/>
      <c r="AI17" s="120"/>
      <c r="AJ17" s="120"/>
      <c r="AK17" s="120"/>
      <c r="AL17" s="120"/>
    </row>
    <row r="18" spans="1:38" outlineLevel="1">
      <c r="A18" s="13">
        <f t="shared" si="0"/>
        <v>11</v>
      </c>
      <c r="B18" s="128"/>
      <c r="C18" s="121"/>
      <c r="D18" s="121"/>
      <c r="E18" s="120"/>
      <c r="F18" s="121"/>
      <c r="G18" s="120"/>
      <c r="H18" s="122"/>
      <c r="I18" s="120"/>
      <c r="J18" s="120"/>
      <c r="K18" s="120"/>
      <c r="L18" s="120"/>
      <c r="M18" s="164"/>
      <c r="N18" s="164"/>
      <c r="O18" s="164"/>
      <c r="P18" s="124"/>
      <c r="Q18" s="120"/>
      <c r="R18" s="168"/>
      <c r="S18" s="168"/>
      <c r="T18" s="125"/>
      <c r="U18" s="124"/>
      <c r="V18" s="120"/>
      <c r="W18" s="125"/>
      <c r="X18" s="125"/>
      <c r="Y18" s="166"/>
      <c r="Z18" s="168"/>
      <c r="AA18" s="168"/>
      <c r="AB18" s="168"/>
      <c r="AC18" s="168"/>
      <c r="AD18" s="124"/>
      <c r="AE18" s="120"/>
      <c r="AF18" s="120"/>
      <c r="AG18" s="120"/>
      <c r="AH18" s="120"/>
      <c r="AI18" s="120"/>
      <c r="AJ18" s="120"/>
      <c r="AK18" s="120"/>
      <c r="AL18" s="120"/>
    </row>
    <row r="19" spans="1:38" outlineLevel="1">
      <c r="A19" s="13">
        <f>A18+1</f>
        <v>12</v>
      </c>
      <c r="B19" s="128"/>
      <c r="C19" s="121"/>
      <c r="D19" s="121"/>
      <c r="E19" s="120"/>
      <c r="F19" s="121"/>
      <c r="G19" s="120"/>
      <c r="H19" s="122"/>
      <c r="I19" s="120"/>
      <c r="J19" s="120"/>
      <c r="K19" s="120"/>
      <c r="L19" s="120"/>
      <c r="M19" s="164"/>
      <c r="N19" s="164"/>
      <c r="O19" s="164"/>
      <c r="P19" s="124"/>
      <c r="Q19" s="120"/>
      <c r="R19" s="168"/>
      <c r="S19" s="168"/>
      <c r="T19" s="125"/>
      <c r="U19" s="124"/>
      <c r="V19" s="120"/>
      <c r="W19" s="125"/>
      <c r="X19" s="125"/>
      <c r="Y19" s="166"/>
      <c r="Z19" s="168"/>
      <c r="AA19" s="168"/>
      <c r="AB19" s="168"/>
      <c r="AC19" s="168"/>
      <c r="AD19" s="124"/>
      <c r="AE19" s="120"/>
      <c r="AF19" s="120"/>
      <c r="AG19" s="120"/>
      <c r="AH19" s="120"/>
      <c r="AI19" s="120"/>
      <c r="AJ19" s="120"/>
      <c r="AK19" s="120"/>
      <c r="AL19" s="120"/>
    </row>
    <row r="20" spans="1:38" outlineLevel="1">
      <c r="A20" s="13">
        <f t="shared" si="0"/>
        <v>13</v>
      </c>
      <c r="B20" s="128"/>
      <c r="C20" s="121"/>
      <c r="D20" s="121"/>
      <c r="E20" s="120"/>
      <c r="F20" s="121"/>
      <c r="G20" s="120"/>
      <c r="H20" s="122"/>
      <c r="I20" s="120"/>
      <c r="J20" s="120"/>
      <c r="K20" s="120"/>
      <c r="L20" s="120"/>
      <c r="M20" s="164"/>
      <c r="N20" s="164"/>
      <c r="O20" s="164"/>
      <c r="P20" s="168"/>
      <c r="Q20" s="120"/>
      <c r="R20" s="168"/>
      <c r="S20" s="168"/>
      <c r="T20" s="125"/>
      <c r="U20" s="124"/>
      <c r="V20" s="120"/>
      <c r="W20" s="125"/>
      <c r="X20" s="125"/>
      <c r="Y20" s="166"/>
      <c r="Z20" s="168"/>
      <c r="AA20" s="168"/>
      <c r="AB20" s="168"/>
      <c r="AC20" s="168"/>
      <c r="AD20" s="124"/>
      <c r="AE20" s="120"/>
      <c r="AF20" s="120"/>
      <c r="AG20" s="120"/>
      <c r="AH20" s="120"/>
      <c r="AI20" s="120"/>
      <c r="AJ20" s="120"/>
      <c r="AK20" s="120"/>
      <c r="AL20" s="120"/>
    </row>
    <row r="21" spans="1:38" outlineLevel="1">
      <c r="A21" s="13">
        <f t="shared" si="0"/>
        <v>14</v>
      </c>
      <c r="B21" s="128"/>
      <c r="C21" s="121"/>
      <c r="D21" s="121"/>
      <c r="E21" s="120"/>
      <c r="F21" s="121"/>
      <c r="G21" s="120"/>
      <c r="H21" s="122"/>
      <c r="I21" s="120"/>
      <c r="J21" s="120"/>
      <c r="K21" s="120"/>
      <c r="L21" s="120"/>
      <c r="M21" s="164"/>
      <c r="N21" s="164"/>
      <c r="O21" s="164"/>
      <c r="P21" s="124"/>
      <c r="Q21" s="120"/>
      <c r="R21" s="168"/>
      <c r="S21" s="168"/>
      <c r="T21" s="125"/>
      <c r="U21" s="124"/>
      <c r="V21" s="120"/>
      <c r="W21" s="125"/>
      <c r="X21" s="125"/>
      <c r="Y21" s="166"/>
      <c r="Z21" s="168"/>
      <c r="AA21" s="168"/>
      <c r="AB21" s="168"/>
      <c r="AC21" s="168"/>
      <c r="AD21" s="124"/>
      <c r="AE21" s="120"/>
      <c r="AF21" s="120"/>
      <c r="AG21" s="120"/>
      <c r="AH21" s="120"/>
      <c r="AI21" s="120"/>
      <c r="AJ21" s="120"/>
      <c r="AK21" s="120"/>
      <c r="AL21" s="120"/>
    </row>
    <row r="22" spans="1:38" outlineLevel="1">
      <c r="A22" s="13">
        <f t="shared" si="0"/>
        <v>15</v>
      </c>
      <c r="B22" s="128"/>
      <c r="C22" s="121"/>
      <c r="D22" s="121"/>
      <c r="E22" s="120"/>
      <c r="F22" s="121"/>
      <c r="G22" s="120"/>
      <c r="H22" s="122"/>
      <c r="I22" s="120"/>
      <c r="J22" s="120"/>
      <c r="K22" s="120"/>
      <c r="L22" s="120"/>
      <c r="M22" s="164"/>
      <c r="N22" s="164"/>
      <c r="O22" s="164"/>
      <c r="P22" s="124"/>
      <c r="Q22" s="120"/>
      <c r="R22" s="168"/>
      <c r="S22" s="168"/>
      <c r="T22" s="125"/>
      <c r="U22" s="124"/>
      <c r="V22" s="120"/>
      <c r="W22" s="125"/>
      <c r="X22" s="125"/>
      <c r="Y22" s="166"/>
      <c r="Z22" s="168"/>
      <c r="AA22" s="168"/>
      <c r="AB22" s="168"/>
      <c r="AC22" s="168"/>
      <c r="AD22" s="124"/>
      <c r="AE22" s="120"/>
      <c r="AF22" s="120"/>
      <c r="AG22" s="120"/>
      <c r="AH22" s="120"/>
      <c r="AI22" s="120"/>
      <c r="AJ22" s="120"/>
      <c r="AK22" s="120"/>
      <c r="AL22" s="120"/>
    </row>
    <row r="23" spans="1:38" outlineLevel="1">
      <c r="A23" s="13">
        <f t="shared" si="0"/>
        <v>16</v>
      </c>
      <c r="B23" s="128"/>
      <c r="C23" s="121"/>
      <c r="D23" s="121"/>
      <c r="E23" s="120"/>
      <c r="F23" s="121"/>
      <c r="G23" s="120"/>
      <c r="H23" s="122"/>
      <c r="I23" s="120"/>
      <c r="J23" s="120"/>
      <c r="K23" s="120"/>
      <c r="L23" s="120"/>
      <c r="M23" s="164"/>
      <c r="N23" s="164"/>
      <c r="O23" s="164"/>
      <c r="P23" s="124"/>
      <c r="Q23" s="120"/>
      <c r="R23" s="168"/>
      <c r="S23" s="168"/>
      <c r="T23" s="125"/>
      <c r="U23" s="124"/>
      <c r="V23" s="120"/>
      <c r="W23" s="125"/>
      <c r="X23" s="125"/>
      <c r="Y23" s="166"/>
      <c r="Z23" s="168"/>
      <c r="AA23" s="168"/>
      <c r="AB23" s="168"/>
      <c r="AC23" s="168"/>
      <c r="AD23" s="124"/>
      <c r="AE23" s="120"/>
      <c r="AF23" s="120"/>
      <c r="AG23" s="120"/>
      <c r="AH23" s="120"/>
      <c r="AI23" s="120"/>
      <c r="AJ23" s="120"/>
      <c r="AK23" s="120"/>
      <c r="AL23" s="120"/>
    </row>
    <row r="24" spans="1:38" outlineLevel="1">
      <c r="A24" s="13">
        <f t="shared" si="0"/>
        <v>17</v>
      </c>
      <c r="B24" s="128"/>
      <c r="C24" s="121"/>
      <c r="D24" s="121"/>
      <c r="E24" s="120"/>
      <c r="F24" s="121"/>
      <c r="G24" s="120"/>
      <c r="H24" s="122"/>
      <c r="I24" s="120"/>
      <c r="J24" s="120"/>
      <c r="K24" s="120"/>
      <c r="L24" s="120"/>
      <c r="M24" s="164"/>
      <c r="N24" s="164"/>
      <c r="O24" s="164"/>
      <c r="P24" s="124"/>
      <c r="Q24" s="120"/>
      <c r="R24" s="168"/>
      <c r="S24" s="168"/>
      <c r="T24" s="125"/>
      <c r="U24" s="124"/>
      <c r="V24" s="120"/>
      <c r="W24" s="125"/>
      <c r="X24" s="125"/>
      <c r="Y24" s="166"/>
      <c r="Z24" s="168"/>
      <c r="AA24" s="168"/>
      <c r="AB24" s="168"/>
      <c r="AC24" s="168"/>
      <c r="AD24" s="124"/>
      <c r="AE24" s="120"/>
      <c r="AF24" s="120"/>
      <c r="AG24" s="120"/>
      <c r="AH24" s="120"/>
      <c r="AI24" s="120"/>
      <c r="AJ24" s="120"/>
      <c r="AK24" s="120"/>
      <c r="AL24" s="120"/>
    </row>
    <row r="25" spans="1:38" outlineLevel="1">
      <c r="A25" s="13">
        <f t="shared" si="0"/>
        <v>18</v>
      </c>
      <c r="B25" s="128"/>
      <c r="C25" s="121"/>
      <c r="D25" s="121"/>
      <c r="E25" s="120"/>
      <c r="F25" s="121"/>
      <c r="G25" s="120"/>
      <c r="H25" s="122"/>
      <c r="I25" s="120"/>
      <c r="J25" s="120"/>
      <c r="K25" s="120"/>
      <c r="L25" s="120"/>
      <c r="M25" s="164"/>
      <c r="N25" s="164"/>
      <c r="O25" s="164"/>
      <c r="P25" s="124"/>
      <c r="Q25" s="120"/>
      <c r="R25" s="168"/>
      <c r="S25" s="168"/>
      <c r="T25" s="125"/>
      <c r="U25" s="124"/>
      <c r="V25" s="120"/>
      <c r="W25" s="125"/>
      <c r="X25" s="125"/>
      <c r="Y25" s="166"/>
      <c r="Z25" s="168"/>
      <c r="AA25" s="168"/>
      <c r="AB25" s="168"/>
      <c r="AC25" s="168"/>
      <c r="AD25" s="124"/>
      <c r="AE25" s="120"/>
      <c r="AF25" s="120"/>
      <c r="AG25" s="120"/>
      <c r="AH25" s="120"/>
      <c r="AI25" s="120"/>
      <c r="AJ25" s="120"/>
      <c r="AK25" s="120"/>
      <c r="AL25" s="120"/>
    </row>
    <row r="26" spans="1:38" outlineLevel="1">
      <c r="A26" s="13">
        <f t="shared" si="0"/>
        <v>19</v>
      </c>
      <c r="B26" s="128"/>
      <c r="C26" s="121"/>
      <c r="D26" s="121"/>
      <c r="E26" s="120"/>
      <c r="F26" s="121"/>
      <c r="G26" s="120"/>
      <c r="H26" s="122"/>
      <c r="I26" s="120"/>
      <c r="J26" s="120"/>
      <c r="K26" s="120"/>
      <c r="L26" s="120"/>
      <c r="M26" s="164"/>
      <c r="N26" s="164"/>
      <c r="O26" s="164"/>
      <c r="P26" s="124"/>
      <c r="Q26" s="120"/>
      <c r="R26" s="168"/>
      <c r="S26" s="168"/>
      <c r="T26" s="125"/>
      <c r="U26" s="124"/>
      <c r="V26" s="120"/>
      <c r="W26" s="125"/>
      <c r="X26" s="125"/>
      <c r="Y26" s="166"/>
      <c r="Z26" s="168"/>
      <c r="AA26" s="168"/>
      <c r="AB26" s="168"/>
      <c r="AC26" s="168"/>
      <c r="AD26" s="124"/>
      <c r="AE26" s="120"/>
      <c r="AF26" s="120"/>
      <c r="AG26" s="120"/>
      <c r="AH26" s="120"/>
      <c r="AI26" s="120"/>
      <c r="AJ26" s="120"/>
      <c r="AK26" s="120"/>
      <c r="AL26" s="120"/>
    </row>
    <row r="27" spans="1:38" outlineLevel="1">
      <c r="A27" s="13">
        <f t="shared" si="0"/>
        <v>20</v>
      </c>
      <c r="B27" s="128"/>
      <c r="C27" s="121"/>
      <c r="D27" s="121"/>
      <c r="E27" s="120"/>
      <c r="F27" s="121"/>
      <c r="G27" s="120"/>
      <c r="H27" s="122"/>
      <c r="I27" s="120"/>
      <c r="J27" s="120"/>
      <c r="K27" s="120"/>
      <c r="L27" s="120"/>
      <c r="M27" s="164"/>
      <c r="N27" s="164"/>
      <c r="O27" s="164"/>
      <c r="P27" s="124"/>
      <c r="Q27" s="120"/>
      <c r="R27" s="168"/>
      <c r="S27" s="168"/>
      <c r="T27" s="125"/>
      <c r="U27" s="124"/>
      <c r="V27" s="120"/>
      <c r="W27" s="125"/>
      <c r="X27" s="125"/>
      <c r="Y27" s="166"/>
      <c r="Z27" s="168"/>
      <c r="AA27" s="168"/>
      <c r="AB27" s="168"/>
      <c r="AC27" s="168"/>
      <c r="AD27" s="124"/>
      <c r="AE27" s="120"/>
      <c r="AF27" s="120"/>
      <c r="AG27" s="120"/>
      <c r="AH27" s="120"/>
      <c r="AI27" s="120"/>
      <c r="AJ27" s="120"/>
      <c r="AK27" s="120"/>
      <c r="AL27" s="120"/>
    </row>
    <row r="28" spans="1:38" outlineLevel="1">
      <c r="A28" s="13">
        <f t="shared" si="0"/>
        <v>21</v>
      </c>
      <c r="B28" s="128"/>
      <c r="C28" s="121"/>
      <c r="D28" s="121"/>
      <c r="E28" s="120"/>
      <c r="F28" s="121"/>
      <c r="G28" s="120"/>
      <c r="H28" s="122"/>
      <c r="I28" s="120"/>
      <c r="J28" s="120"/>
      <c r="K28" s="120"/>
      <c r="L28" s="120"/>
      <c r="M28" s="164"/>
      <c r="N28" s="164"/>
      <c r="O28" s="164"/>
      <c r="P28" s="124"/>
      <c r="Q28" s="120"/>
      <c r="R28" s="168"/>
      <c r="S28" s="168"/>
      <c r="T28" s="125"/>
      <c r="U28" s="124"/>
      <c r="V28" s="120"/>
      <c r="W28" s="125"/>
      <c r="X28" s="125"/>
      <c r="Y28" s="166"/>
      <c r="Z28" s="168"/>
      <c r="AA28" s="168"/>
      <c r="AB28" s="168"/>
      <c r="AC28" s="168"/>
      <c r="AD28" s="124"/>
      <c r="AE28" s="120"/>
      <c r="AF28" s="120"/>
      <c r="AG28" s="120"/>
      <c r="AH28" s="120"/>
      <c r="AI28" s="120"/>
      <c r="AJ28" s="120"/>
      <c r="AK28" s="120"/>
      <c r="AL28" s="120"/>
    </row>
    <row r="29" spans="1:38" outlineLevel="1">
      <c r="A29" s="13">
        <f t="shared" si="0"/>
        <v>22</v>
      </c>
      <c r="B29" s="128"/>
      <c r="C29" s="121"/>
      <c r="D29" s="121"/>
      <c r="E29" s="120"/>
      <c r="F29" s="121"/>
      <c r="G29" s="120"/>
      <c r="H29" s="122"/>
      <c r="I29" s="120"/>
      <c r="J29" s="120"/>
      <c r="K29" s="120"/>
      <c r="L29" s="120"/>
      <c r="M29" s="164"/>
      <c r="N29" s="164"/>
      <c r="O29" s="164"/>
      <c r="P29" s="124"/>
      <c r="Q29" s="120"/>
      <c r="R29" s="168"/>
      <c r="S29" s="168"/>
      <c r="T29" s="125"/>
      <c r="U29" s="124"/>
      <c r="V29" s="120"/>
      <c r="W29" s="125"/>
      <c r="X29" s="125"/>
      <c r="Y29" s="166"/>
      <c r="Z29" s="168"/>
      <c r="AA29" s="168"/>
      <c r="AB29" s="168"/>
      <c r="AC29" s="168"/>
      <c r="AD29" s="124"/>
      <c r="AE29" s="120"/>
      <c r="AF29" s="120"/>
      <c r="AG29" s="120"/>
      <c r="AH29" s="120"/>
      <c r="AI29" s="120"/>
      <c r="AJ29" s="120"/>
      <c r="AK29" s="120"/>
      <c r="AL29" s="120"/>
    </row>
    <row r="30" spans="1:38" outlineLevel="1">
      <c r="A30" s="13">
        <f t="shared" si="0"/>
        <v>23</v>
      </c>
      <c r="B30" s="128"/>
      <c r="C30" s="121"/>
      <c r="D30" s="121"/>
      <c r="E30" s="120"/>
      <c r="F30" s="121"/>
      <c r="G30" s="120"/>
      <c r="H30" s="122"/>
      <c r="I30" s="120"/>
      <c r="J30" s="120"/>
      <c r="K30" s="120"/>
      <c r="L30" s="120"/>
      <c r="M30" s="164"/>
      <c r="N30" s="164"/>
      <c r="O30" s="164"/>
      <c r="P30" s="124"/>
      <c r="Q30" s="120"/>
      <c r="R30" s="168"/>
      <c r="S30" s="168"/>
      <c r="T30" s="125"/>
      <c r="U30" s="124"/>
      <c r="V30" s="120"/>
      <c r="W30" s="125"/>
      <c r="X30" s="125"/>
      <c r="Y30" s="166"/>
      <c r="Z30" s="168"/>
      <c r="AA30" s="168"/>
      <c r="AB30" s="168"/>
      <c r="AC30" s="168"/>
      <c r="AD30" s="124"/>
      <c r="AE30" s="120"/>
      <c r="AF30" s="120"/>
      <c r="AG30" s="120"/>
      <c r="AH30" s="120"/>
      <c r="AI30" s="120"/>
      <c r="AJ30" s="120"/>
      <c r="AK30" s="120"/>
      <c r="AL30" s="120"/>
    </row>
    <row r="31" spans="1:38" outlineLevel="1">
      <c r="A31" s="13">
        <f t="shared" si="0"/>
        <v>24</v>
      </c>
      <c r="B31" s="128"/>
      <c r="C31" s="121"/>
      <c r="D31" s="121"/>
      <c r="E31" s="120"/>
      <c r="F31" s="121"/>
      <c r="G31" s="120"/>
      <c r="H31" s="122"/>
      <c r="I31" s="120"/>
      <c r="J31" s="120"/>
      <c r="K31" s="120"/>
      <c r="L31" s="120"/>
      <c r="M31" s="164"/>
      <c r="N31" s="164"/>
      <c r="O31" s="164"/>
      <c r="P31" s="124"/>
      <c r="Q31" s="120"/>
      <c r="R31" s="168"/>
      <c r="S31" s="168"/>
      <c r="T31" s="125"/>
      <c r="U31" s="124"/>
      <c r="V31" s="120"/>
      <c r="W31" s="125"/>
      <c r="X31" s="125"/>
      <c r="Y31" s="166"/>
      <c r="Z31" s="168"/>
      <c r="AA31" s="168"/>
      <c r="AB31" s="168"/>
      <c r="AC31" s="168"/>
      <c r="AD31" s="124"/>
      <c r="AE31" s="120"/>
      <c r="AF31" s="120"/>
      <c r="AG31" s="120"/>
      <c r="AH31" s="120"/>
      <c r="AI31" s="120"/>
      <c r="AJ31" s="120"/>
      <c r="AK31" s="120"/>
      <c r="AL31" s="120"/>
    </row>
    <row r="32" spans="1:38">
      <c r="A32" s="13">
        <f t="shared" si="0"/>
        <v>25</v>
      </c>
      <c r="B32" s="128"/>
      <c r="C32" s="121"/>
      <c r="D32" s="121"/>
      <c r="E32" s="120"/>
      <c r="F32" s="121"/>
      <c r="G32" s="120"/>
      <c r="H32" s="122"/>
      <c r="I32" s="120"/>
      <c r="J32" s="120"/>
      <c r="K32" s="120"/>
      <c r="L32" s="120"/>
      <c r="M32" s="164"/>
      <c r="N32" s="164"/>
      <c r="O32" s="164"/>
      <c r="P32" s="124"/>
      <c r="Q32" s="120"/>
      <c r="R32" s="168"/>
      <c r="S32" s="168"/>
      <c r="T32" s="125"/>
      <c r="U32" s="124"/>
      <c r="V32" s="120"/>
      <c r="W32" s="125"/>
      <c r="X32" s="125"/>
      <c r="Y32" s="166"/>
      <c r="Z32" s="168"/>
      <c r="AA32" s="168"/>
      <c r="AB32" s="168"/>
      <c r="AC32" s="168"/>
      <c r="AD32" s="124"/>
      <c r="AE32" s="120"/>
      <c r="AF32" s="120"/>
      <c r="AG32" s="120"/>
      <c r="AH32" s="120"/>
      <c r="AI32" s="120"/>
      <c r="AJ32" s="120"/>
      <c r="AK32" s="120"/>
      <c r="AL32" s="120"/>
    </row>
    <row r="33" spans="1:38">
      <c r="A33" s="13">
        <f t="shared" si="0"/>
        <v>26</v>
      </c>
      <c r="B33" s="128"/>
      <c r="C33" s="121"/>
      <c r="D33" s="121"/>
      <c r="E33" s="120"/>
      <c r="F33" s="121"/>
      <c r="G33" s="120"/>
      <c r="H33" s="122"/>
      <c r="I33" s="120"/>
      <c r="J33" s="120"/>
      <c r="K33" s="120"/>
      <c r="L33" s="120"/>
      <c r="M33" s="164"/>
      <c r="N33" s="164"/>
      <c r="O33" s="164"/>
      <c r="P33" s="124"/>
      <c r="Q33" s="120"/>
      <c r="R33" s="168"/>
      <c r="S33" s="168"/>
      <c r="T33" s="125"/>
      <c r="U33" s="124"/>
      <c r="V33" s="120"/>
      <c r="W33" s="125"/>
      <c r="X33" s="125"/>
      <c r="Y33" s="166"/>
      <c r="Z33" s="168"/>
      <c r="AA33" s="168"/>
      <c r="AB33" s="168"/>
      <c r="AC33" s="168"/>
      <c r="AD33" s="124"/>
      <c r="AE33" s="120"/>
      <c r="AF33" s="120"/>
      <c r="AG33" s="120"/>
      <c r="AH33" s="120"/>
      <c r="AI33" s="120"/>
      <c r="AJ33" s="120"/>
      <c r="AK33" s="120"/>
      <c r="AL33" s="120"/>
    </row>
    <row r="34" spans="1:38">
      <c r="A34" s="13">
        <f>A33+1</f>
        <v>27</v>
      </c>
      <c r="B34" s="128"/>
      <c r="C34" s="121"/>
      <c r="D34" s="121"/>
      <c r="E34" s="120"/>
      <c r="F34" s="121"/>
      <c r="G34" s="120"/>
      <c r="H34" s="122"/>
      <c r="I34" s="120"/>
      <c r="J34" s="120"/>
      <c r="K34" s="120"/>
      <c r="L34" s="120"/>
      <c r="M34" s="164"/>
      <c r="N34" s="164"/>
      <c r="O34" s="164"/>
      <c r="P34" s="124"/>
      <c r="Q34" s="120"/>
      <c r="R34" s="168"/>
      <c r="S34" s="168"/>
      <c r="T34" s="125"/>
      <c r="U34" s="124"/>
      <c r="V34" s="120"/>
      <c r="W34" s="125"/>
      <c r="X34" s="125"/>
      <c r="Y34" s="166"/>
      <c r="Z34" s="168"/>
      <c r="AA34" s="168"/>
      <c r="AB34" s="168"/>
      <c r="AC34" s="168"/>
      <c r="AD34" s="124"/>
      <c r="AE34" s="120"/>
      <c r="AF34" s="120"/>
      <c r="AG34" s="120"/>
      <c r="AH34" s="120"/>
      <c r="AI34" s="120"/>
      <c r="AJ34" s="120"/>
      <c r="AK34" s="120"/>
      <c r="AL34" s="120"/>
    </row>
    <row r="35" spans="1:38">
      <c r="A35" s="13">
        <f t="shared" si="0"/>
        <v>28</v>
      </c>
      <c r="B35" s="128"/>
      <c r="C35" s="121"/>
      <c r="D35" s="121"/>
      <c r="E35" s="120"/>
      <c r="F35" s="121"/>
      <c r="G35" s="120"/>
      <c r="H35" s="122"/>
      <c r="I35" s="120"/>
      <c r="J35" s="120"/>
      <c r="K35" s="120"/>
      <c r="L35" s="120"/>
      <c r="M35" s="164"/>
      <c r="N35" s="164"/>
      <c r="O35" s="164"/>
      <c r="P35" s="124"/>
      <c r="Q35" s="120"/>
      <c r="R35" s="168"/>
      <c r="S35" s="168"/>
      <c r="T35" s="125"/>
      <c r="U35" s="124"/>
      <c r="V35" s="120"/>
      <c r="W35" s="125"/>
      <c r="X35" s="125"/>
      <c r="Y35" s="166"/>
      <c r="Z35" s="168"/>
      <c r="AA35" s="168"/>
      <c r="AB35" s="168"/>
      <c r="AC35" s="168"/>
      <c r="AD35" s="124"/>
      <c r="AE35" s="120"/>
      <c r="AF35" s="120"/>
      <c r="AG35" s="120"/>
      <c r="AH35" s="120"/>
      <c r="AI35" s="120"/>
      <c r="AJ35" s="120"/>
      <c r="AK35" s="120"/>
      <c r="AL35" s="120"/>
    </row>
    <row r="36" spans="1:38">
      <c r="A36" s="13">
        <f t="shared" si="0"/>
        <v>29</v>
      </c>
      <c r="B36" s="128"/>
      <c r="C36" s="121"/>
      <c r="D36" s="121"/>
      <c r="E36" s="120"/>
      <c r="F36" s="121"/>
      <c r="G36" s="120"/>
      <c r="H36" s="122"/>
      <c r="I36" s="120"/>
      <c r="J36" s="120"/>
      <c r="K36" s="120"/>
      <c r="L36" s="120"/>
      <c r="M36" s="164"/>
      <c r="N36" s="164"/>
      <c r="O36" s="164"/>
      <c r="P36" s="124"/>
      <c r="Q36" s="120"/>
      <c r="R36" s="168"/>
      <c r="S36" s="168"/>
      <c r="T36" s="125"/>
      <c r="U36" s="124"/>
      <c r="V36" s="120"/>
      <c r="W36" s="125"/>
      <c r="X36" s="125"/>
      <c r="Y36" s="166"/>
      <c r="Z36" s="168"/>
      <c r="AA36" s="168"/>
      <c r="AB36" s="168"/>
      <c r="AC36" s="168"/>
      <c r="AD36" s="124"/>
      <c r="AE36" s="120"/>
      <c r="AF36" s="120"/>
      <c r="AG36" s="120"/>
      <c r="AH36" s="120"/>
      <c r="AI36" s="120"/>
      <c r="AJ36" s="120"/>
      <c r="AK36" s="120"/>
      <c r="AL36" s="120"/>
    </row>
    <row r="37" spans="1:38">
      <c r="A37" s="13">
        <f t="shared" si="0"/>
        <v>30</v>
      </c>
      <c r="B37" s="128"/>
      <c r="C37" s="121"/>
      <c r="D37" s="121"/>
      <c r="E37" s="120"/>
      <c r="F37" s="121"/>
      <c r="G37" s="120"/>
      <c r="H37" s="122"/>
      <c r="I37" s="120"/>
      <c r="J37" s="120"/>
      <c r="K37" s="120"/>
      <c r="L37" s="120"/>
      <c r="M37" s="164"/>
      <c r="N37" s="164"/>
      <c r="O37" s="164"/>
      <c r="P37" s="124"/>
      <c r="Q37" s="120"/>
      <c r="R37" s="168"/>
      <c r="S37" s="168"/>
      <c r="T37" s="125"/>
      <c r="U37" s="124"/>
      <c r="V37" s="120"/>
      <c r="W37" s="125"/>
      <c r="X37" s="125"/>
      <c r="Y37" s="166"/>
      <c r="Z37" s="168"/>
      <c r="AA37" s="168"/>
      <c r="AB37" s="168"/>
      <c r="AC37" s="168"/>
      <c r="AD37" s="124"/>
      <c r="AE37" s="120"/>
      <c r="AF37" s="120"/>
      <c r="AG37" s="120"/>
      <c r="AH37" s="120"/>
      <c r="AI37" s="120"/>
      <c r="AJ37" s="120"/>
      <c r="AK37" s="120"/>
      <c r="AL37" s="120"/>
    </row>
    <row r="38" spans="1:38">
      <c r="A38" s="13">
        <f t="shared" si="0"/>
        <v>31</v>
      </c>
      <c r="B38" s="128"/>
      <c r="C38" s="121"/>
      <c r="D38" s="121"/>
      <c r="E38" s="120"/>
      <c r="F38" s="121"/>
      <c r="G38" s="120"/>
      <c r="H38" s="122"/>
      <c r="I38" s="120"/>
      <c r="J38" s="120"/>
      <c r="K38" s="120"/>
      <c r="L38" s="120"/>
      <c r="M38" s="164"/>
      <c r="N38" s="164"/>
      <c r="O38" s="164"/>
      <c r="P38" s="124"/>
      <c r="Q38" s="120"/>
      <c r="R38" s="168"/>
      <c r="S38" s="168"/>
      <c r="T38" s="125"/>
      <c r="U38" s="124"/>
      <c r="V38" s="120"/>
      <c r="W38" s="125"/>
      <c r="X38" s="125"/>
      <c r="Y38" s="166"/>
      <c r="Z38" s="168"/>
      <c r="AA38" s="168"/>
      <c r="AB38" s="168"/>
      <c r="AC38" s="168"/>
      <c r="AD38" s="124"/>
      <c r="AE38" s="120"/>
      <c r="AF38" s="120"/>
      <c r="AG38" s="120"/>
      <c r="AH38" s="120"/>
      <c r="AI38" s="120"/>
      <c r="AJ38" s="120"/>
      <c r="AK38" s="120"/>
      <c r="AL38" s="120"/>
    </row>
    <row r="39" spans="1:38">
      <c r="A39" s="13">
        <f t="shared" si="0"/>
        <v>32</v>
      </c>
      <c r="B39" s="128"/>
      <c r="C39" s="121"/>
      <c r="D39" s="121"/>
      <c r="E39" s="120"/>
      <c r="F39" s="121"/>
      <c r="G39" s="120"/>
      <c r="H39" s="122"/>
      <c r="I39" s="120"/>
      <c r="J39" s="120"/>
      <c r="K39" s="120"/>
      <c r="L39" s="120"/>
      <c r="M39" s="164"/>
      <c r="N39" s="164"/>
      <c r="O39" s="164"/>
      <c r="P39" s="124"/>
      <c r="Q39" s="120"/>
      <c r="R39" s="168"/>
      <c r="S39" s="168"/>
      <c r="T39" s="125"/>
      <c r="U39" s="124"/>
      <c r="V39" s="120"/>
      <c r="W39" s="125"/>
      <c r="X39" s="125"/>
      <c r="Y39" s="166"/>
      <c r="Z39" s="168"/>
      <c r="AA39" s="168"/>
      <c r="AB39" s="168"/>
      <c r="AC39" s="168"/>
      <c r="AD39" s="124"/>
      <c r="AE39" s="120"/>
      <c r="AF39" s="120"/>
      <c r="AG39" s="120"/>
      <c r="AH39" s="120"/>
      <c r="AI39" s="120"/>
      <c r="AJ39" s="120"/>
      <c r="AK39" s="120"/>
      <c r="AL39" s="120"/>
    </row>
    <row r="40" spans="1:38">
      <c r="A40" s="13">
        <f t="shared" si="0"/>
        <v>33</v>
      </c>
      <c r="B40" s="128"/>
      <c r="C40" s="121"/>
      <c r="D40" s="121"/>
      <c r="E40" s="120"/>
      <c r="F40" s="121"/>
      <c r="G40" s="120"/>
      <c r="H40" s="122"/>
      <c r="I40" s="120"/>
      <c r="J40" s="120"/>
      <c r="K40" s="120"/>
      <c r="L40" s="120"/>
      <c r="M40" s="164"/>
      <c r="N40" s="164"/>
      <c r="O40" s="164"/>
      <c r="P40" s="124"/>
      <c r="Q40" s="120"/>
      <c r="R40" s="168"/>
      <c r="S40" s="168"/>
      <c r="T40" s="125"/>
      <c r="U40" s="124"/>
      <c r="V40" s="120"/>
      <c r="W40" s="125"/>
      <c r="X40" s="125"/>
      <c r="Y40" s="166"/>
      <c r="Z40" s="168"/>
      <c r="AA40" s="168"/>
      <c r="AB40" s="168"/>
      <c r="AC40" s="168"/>
      <c r="AD40" s="124"/>
      <c r="AE40" s="120"/>
      <c r="AF40" s="120"/>
      <c r="AG40" s="120"/>
      <c r="AH40" s="120"/>
      <c r="AI40" s="120"/>
      <c r="AJ40" s="120"/>
      <c r="AK40" s="120"/>
      <c r="AL40" s="120"/>
    </row>
    <row r="41" spans="1:38">
      <c r="A41" s="13">
        <f t="shared" si="0"/>
        <v>34</v>
      </c>
      <c r="B41" s="128"/>
      <c r="C41" s="121"/>
      <c r="D41" s="121"/>
      <c r="E41" s="120"/>
      <c r="F41" s="121"/>
      <c r="G41" s="120"/>
      <c r="H41" s="122"/>
      <c r="I41" s="120"/>
      <c r="J41" s="120"/>
      <c r="K41" s="120"/>
      <c r="L41" s="120"/>
      <c r="M41" s="164"/>
      <c r="N41" s="164"/>
      <c r="O41" s="164"/>
      <c r="P41" s="124"/>
      <c r="Q41" s="120"/>
      <c r="R41" s="168"/>
      <c r="S41" s="168"/>
      <c r="T41" s="125"/>
      <c r="U41" s="124"/>
      <c r="V41" s="120"/>
      <c r="W41" s="125"/>
      <c r="X41" s="125"/>
      <c r="Y41" s="166"/>
      <c r="Z41" s="168"/>
      <c r="AA41" s="168"/>
      <c r="AB41" s="168"/>
      <c r="AC41" s="168"/>
      <c r="AD41" s="124"/>
      <c r="AE41" s="120"/>
      <c r="AF41" s="120"/>
      <c r="AG41" s="120"/>
      <c r="AH41" s="120"/>
      <c r="AI41" s="120"/>
      <c r="AJ41" s="120"/>
      <c r="AK41" s="120"/>
      <c r="AL41" s="120"/>
    </row>
    <row r="42" spans="1:38">
      <c r="A42" s="13">
        <f t="shared" si="0"/>
        <v>35</v>
      </c>
      <c r="B42" s="128"/>
      <c r="C42" s="121"/>
      <c r="D42" s="121"/>
      <c r="E42" s="120"/>
      <c r="F42" s="121"/>
      <c r="G42" s="120"/>
      <c r="H42" s="122"/>
      <c r="I42" s="120"/>
      <c r="J42" s="120"/>
      <c r="K42" s="120"/>
      <c r="L42" s="120"/>
      <c r="M42" s="164"/>
      <c r="N42" s="164"/>
      <c r="O42" s="164"/>
      <c r="P42" s="124"/>
      <c r="Q42" s="120"/>
      <c r="R42" s="168"/>
      <c r="S42" s="168"/>
      <c r="T42" s="125"/>
      <c r="U42" s="124"/>
      <c r="V42" s="120"/>
      <c r="W42" s="125"/>
      <c r="X42" s="125"/>
      <c r="Y42" s="166"/>
      <c r="Z42" s="168"/>
      <c r="AA42" s="168"/>
      <c r="AB42" s="168"/>
      <c r="AC42" s="168"/>
      <c r="AD42" s="124"/>
      <c r="AE42" s="120"/>
      <c r="AF42" s="120"/>
      <c r="AG42" s="120"/>
      <c r="AH42" s="120"/>
      <c r="AI42" s="120"/>
      <c r="AJ42" s="120"/>
      <c r="AK42" s="120"/>
      <c r="AL42" s="120"/>
    </row>
    <row r="43" spans="1:38">
      <c r="A43" s="13">
        <f t="shared" si="0"/>
        <v>36</v>
      </c>
      <c r="B43" s="128"/>
      <c r="C43" s="121"/>
      <c r="D43" s="121"/>
      <c r="E43" s="120"/>
      <c r="F43" s="121"/>
      <c r="G43" s="120"/>
      <c r="H43" s="122"/>
      <c r="I43" s="120"/>
      <c r="J43" s="120"/>
      <c r="K43" s="120"/>
      <c r="L43" s="120"/>
      <c r="M43" s="164"/>
      <c r="N43" s="164"/>
      <c r="O43" s="164"/>
      <c r="P43" s="124"/>
      <c r="Q43" s="120"/>
      <c r="R43" s="168"/>
      <c r="S43" s="168"/>
      <c r="T43" s="125"/>
      <c r="U43" s="124"/>
      <c r="V43" s="120"/>
      <c r="W43" s="125"/>
      <c r="X43" s="125"/>
      <c r="Y43" s="166"/>
      <c r="Z43" s="168"/>
      <c r="AA43" s="168"/>
      <c r="AB43" s="168"/>
      <c r="AC43" s="168"/>
      <c r="AD43" s="124"/>
      <c r="AE43" s="120"/>
      <c r="AF43" s="120"/>
      <c r="AG43" s="120"/>
      <c r="AH43" s="120"/>
      <c r="AI43" s="120"/>
      <c r="AJ43" s="120"/>
      <c r="AK43" s="120"/>
      <c r="AL43" s="120"/>
    </row>
    <row r="44" spans="1:38">
      <c r="A44" s="13">
        <f t="shared" si="0"/>
        <v>37</v>
      </c>
      <c r="B44" s="128"/>
      <c r="C44" s="121"/>
      <c r="D44" s="121"/>
      <c r="E44" s="120"/>
      <c r="F44" s="121"/>
      <c r="G44" s="120"/>
      <c r="H44" s="122"/>
      <c r="I44" s="120"/>
      <c r="J44" s="120"/>
      <c r="K44" s="120"/>
      <c r="L44" s="120"/>
      <c r="M44" s="164"/>
      <c r="N44" s="164"/>
      <c r="O44" s="164"/>
      <c r="P44" s="124"/>
      <c r="Q44" s="120"/>
      <c r="R44" s="168"/>
      <c r="S44" s="168"/>
      <c r="T44" s="125"/>
      <c r="U44" s="124"/>
      <c r="V44" s="120"/>
      <c r="W44" s="125"/>
      <c r="X44" s="125"/>
      <c r="Y44" s="166"/>
      <c r="Z44" s="168"/>
      <c r="AA44" s="168"/>
      <c r="AB44" s="168"/>
      <c r="AC44" s="168"/>
      <c r="AD44" s="124"/>
      <c r="AE44" s="120"/>
      <c r="AF44" s="120"/>
      <c r="AG44" s="120"/>
      <c r="AH44" s="120"/>
      <c r="AI44" s="120"/>
      <c r="AJ44" s="120"/>
      <c r="AK44" s="120"/>
      <c r="AL44" s="120"/>
    </row>
    <row r="45" spans="1:38">
      <c r="A45" s="13">
        <f t="shared" si="0"/>
        <v>38</v>
      </c>
      <c r="B45" s="128"/>
      <c r="C45" s="121"/>
      <c r="D45" s="121"/>
      <c r="E45" s="120"/>
      <c r="F45" s="121"/>
      <c r="G45" s="120"/>
      <c r="H45" s="122"/>
      <c r="I45" s="120"/>
      <c r="J45" s="120"/>
      <c r="K45" s="120"/>
      <c r="L45" s="120"/>
      <c r="M45" s="164"/>
      <c r="N45" s="164"/>
      <c r="O45" s="164"/>
      <c r="P45" s="124"/>
      <c r="Q45" s="120"/>
      <c r="R45" s="168"/>
      <c r="S45" s="168"/>
      <c r="T45" s="125"/>
      <c r="U45" s="124"/>
      <c r="V45" s="120"/>
      <c r="W45" s="125"/>
      <c r="X45" s="125"/>
      <c r="Y45" s="166"/>
      <c r="Z45" s="168"/>
      <c r="AA45" s="168"/>
      <c r="AB45" s="168"/>
      <c r="AC45" s="168"/>
      <c r="AD45" s="124"/>
      <c r="AE45" s="120"/>
      <c r="AF45" s="120"/>
      <c r="AG45" s="120"/>
      <c r="AH45" s="120"/>
      <c r="AI45" s="120"/>
      <c r="AJ45" s="120"/>
      <c r="AK45" s="120"/>
      <c r="AL45" s="120"/>
    </row>
    <row r="46" spans="1:38">
      <c r="A46" s="13">
        <f t="shared" si="0"/>
        <v>39</v>
      </c>
      <c r="B46" s="128"/>
      <c r="C46" s="121"/>
      <c r="D46" s="121"/>
      <c r="E46" s="120"/>
      <c r="F46" s="121"/>
      <c r="G46" s="120"/>
      <c r="H46" s="122"/>
      <c r="I46" s="120"/>
      <c r="J46" s="120"/>
      <c r="K46" s="120"/>
      <c r="L46" s="120"/>
      <c r="M46" s="164"/>
      <c r="N46" s="164"/>
      <c r="O46" s="164"/>
      <c r="P46" s="124"/>
      <c r="Q46" s="120"/>
      <c r="R46" s="168"/>
      <c r="S46" s="168"/>
      <c r="T46" s="125"/>
      <c r="U46" s="124"/>
      <c r="V46" s="120"/>
      <c r="W46" s="125"/>
      <c r="X46" s="125"/>
      <c r="Y46" s="166"/>
      <c r="Z46" s="168"/>
      <c r="AA46" s="168"/>
      <c r="AB46" s="168"/>
      <c r="AC46" s="168"/>
      <c r="AD46" s="124"/>
      <c r="AE46" s="120"/>
      <c r="AF46" s="120"/>
      <c r="AG46" s="120"/>
      <c r="AH46" s="120"/>
      <c r="AI46" s="120"/>
      <c r="AJ46" s="120"/>
      <c r="AK46" s="120"/>
      <c r="AL46" s="120"/>
    </row>
    <row r="47" spans="1:38">
      <c r="A47" s="13">
        <f t="shared" si="0"/>
        <v>40</v>
      </c>
      <c r="B47" s="128"/>
      <c r="C47" s="121"/>
      <c r="D47" s="121"/>
      <c r="E47" s="120"/>
      <c r="F47" s="121"/>
      <c r="G47" s="120"/>
      <c r="H47" s="122"/>
      <c r="I47" s="120"/>
      <c r="J47" s="120"/>
      <c r="K47" s="120"/>
      <c r="L47" s="120"/>
      <c r="M47" s="164"/>
      <c r="N47" s="164"/>
      <c r="O47" s="164"/>
      <c r="P47" s="124"/>
      <c r="Q47" s="120"/>
      <c r="R47" s="168"/>
      <c r="S47" s="168"/>
      <c r="T47" s="125"/>
      <c r="U47" s="124"/>
      <c r="V47" s="120"/>
      <c r="W47" s="125"/>
      <c r="X47" s="125"/>
      <c r="Y47" s="166"/>
      <c r="Z47" s="168"/>
      <c r="AA47" s="168"/>
      <c r="AB47" s="168"/>
      <c r="AC47" s="168"/>
      <c r="AD47" s="124"/>
      <c r="AE47" s="120"/>
      <c r="AF47" s="120"/>
      <c r="AG47" s="120"/>
      <c r="AH47" s="120"/>
      <c r="AI47" s="120"/>
      <c r="AJ47" s="120"/>
      <c r="AK47" s="120"/>
      <c r="AL47" s="120"/>
    </row>
    <row r="48" spans="1:38">
      <c r="A48" s="13">
        <f t="shared" si="0"/>
        <v>41</v>
      </c>
      <c r="B48" s="128"/>
      <c r="C48" s="121"/>
      <c r="D48" s="121"/>
      <c r="E48" s="120"/>
      <c r="F48" s="121"/>
      <c r="G48" s="120"/>
      <c r="H48" s="122"/>
      <c r="I48" s="120"/>
      <c r="J48" s="120"/>
      <c r="K48" s="120"/>
      <c r="L48" s="120"/>
      <c r="M48" s="164"/>
      <c r="N48" s="164"/>
      <c r="O48" s="164"/>
      <c r="P48" s="124"/>
      <c r="Q48" s="120"/>
      <c r="R48" s="168"/>
      <c r="S48" s="168"/>
      <c r="T48" s="125"/>
      <c r="U48" s="124"/>
      <c r="V48" s="120"/>
      <c r="W48" s="125"/>
      <c r="X48" s="125"/>
      <c r="Y48" s="166"/>
      <c r="Z48" s="168"/>
      <c r="AA48" s="168"/>
      <c r="AB48" s="168"/>
      <c r="AC48" s="168"/>
      <c r="AD48" s="124"/>
      <c r="AE48" s="120"/>
      <c r="AF48" s="120"/>
      <c r="AG48" s="120"/>
      <c r="AH48" s="120"/>
      <c r="AI48" s="120"/>
      <c r="AJ48" s="120"/>
      <c r="AK48" s="120"/>
      <c r="AL48" s="120"/>
    </row>
    <row r="49" spans="1:38">
      <c r="A49" s="13">
        <f t="shared" si="0"/>
        <v>42</v>
      </c>
      <c r="B49" s="128"/>
      <c r="C49" s="121"/>
      <c r="D49" s="121"/>
      <c r="E49" s="120"/>
      <c r="F49" s="121"/>
      <c r="G49" s="120"/>
      <c r="H49" s="122"/>
      <c r="I49" s="120"/>
      <c r="J49" s="120"/>
      <c r="K49" s="120"/>
      <c r="L49" s="120"/>
      <c r="M49" s="164"/>
      <c r="N49" s="164"/>
      <c r="O49" s="164"/>
      <c r="P49" s="124"/>
      <c r="Q49" s="120"/>
      <c r="R49" s="168"/>
      <c r="S49" s="168"/>
      <c r="T49" s="125"/>
      <c r="U49" s="124"/>
      <c r="V49" s="120"/>
      <c r="W49" s="125"/>
      <c r="X49" s="125"/>
      <c r="Y49" s="166"/>
      <c r="Z49" s="168"/>
      <c r="AA49" s="168"/>
      <c r="AB49" s="168"/>
      <c r="AC49" s="168"/>
      <c r="AD49" s="124"/>
      <c r="AE49" s="120"/>
      <c r="AF49" s="120"/>
      <c r="AG49" s="120"/>
      <c r="AH49" s="120"/>
      <c r="AI49" s="120"/>
      <c r="AJ49" s="120"/>
      <c r="AK49" s="120"/>
      <c r="AL49" s="120"/>
    </row>
    <row r="50" spans="1:38">
      <c r="A50" s="13">
        <f t="shared" si="0"/>
        <v>43</v>
      </c>
      <c r="B50" s="128"/>
      <c r="C50" s="121"/>
      <c r="D50" s="121"/>
      <c r="E50" s="120"/>
      <c r="F50" s="121"/>
      <c r="G50" s="120"/>
      <c r="H50" s="122"/>
      <c r="I50" s="120"/>
      <c r="J50" s="120"/>
      <c r="K50" s="120"/>
      <c r="L50" s="120"/>
      <c r="M50" s="164"/>
      <c r="N50" s="164"/>
      <c r="O50" s="164"/>
      <c r="P50" s="124"/>
      <c r="Q50" s="120"/>
      <c r="R50" s="168"/>
      <c r="S50" s="168"/>
      <c r="T50" s="125"/>
      <c r="U50" s="124"/>
      <c r="V50" s="120"/>
      <c r="W50" s="125"/>
      <c r="X50" s="125"/>
      <c r="Y50" s="166"/>
      <c r="Z50" s="168"/>
      <c r="AA50" s="168"/>
      <c r="AB50" s="168"/>
      <c r="AC50" s="168"/>
      <c r="AD50" s="124"/>
      <c r="AE50" s="120"/>
      <c r="AF50" s="120"/>
      <c r="AG50" s="120"/>
      <c r="AH50" s="120"/>
      <c r="AI50" s="120"/>
      <c r="AJ50" s="120"/>
      <c r="AK50" s="120"/>
      <c r="AL50" s="120"/>
    </row>
    <row r="51" spans="1:38">
      <c r="A51" s="13">
        <f t="shared" si="0"/>
        <v>44</v>
      </c>
      <c r="B51" s="128"/>
      <c r="C51" s="121"/>
      <c r="D51" s="121"/>
      <c r="E51" s="120"/>
      <c r="F51" s="121"/>
      <c r="G51" s="120"/>
      <c r="H51" s="122"/>
      <c r="I51" s="120"/>
      <c r="J51" s="120"/>
      <c r="K51" s="120"/>
      <c r="L51" s="120"/>
      <c r="M51" s="164"/>
      <c r="N51" s="164"/>
      <c r="O51" s="164"/>
      <c r="P51" s="124"/>
      <c r="Q51" s="120"/>
      <c r="R51" s="168"/>
      <c r="S51" s="168"/>
      <c r="T51" s="125"/>
      <c r="U51" s="124"/>
      <c r="V51" s="120"/>
      <c r="W51" s="125"/>
      <c r="X51" s="125"/>
      <c r="Y51" s="166"/>
      <c r="Z51" s="168"/>
      <c r="AA51" s="168"/>
      <c r="AB51" s="168"/>
      <c r="AC51" s="168"/>
      <c r="AD51" s="124"/>
      <c r="AE51" s="120"/>
      <c r="AF51" s="120"/>
      <c r="AG51" s="120"/>
      <c r="AH51" s="120"/>
      <c r="AI51" s="120"/>
      <c r="AJ51" s="120"/>
      <c r="AK51" s="120"/>
      <c r="AL51" s="120"/>
    </row>
    <row r="52" spans="1:38">
      <c r="A52" s="13">
        <f t="shared" si="0"/>
        <v>45</v>
      </c>
      <c r="B52" s="128"/>
      <c r="C52" s="121"/>
      <c r="D52" s="121"/>
      <c r="E52" s="120"/>
      <c r="F52" s="121"/>
      <c r="G52" s="120"/>
      <c r="H52" s="122"/>
      <c r="I52" s="120"/>
      <c r="J52" s="120"/>
      <c r="K52" s="120"/>
      <c r="L52" s="120"/>
      <c r="M52" s="164"/>
      <c r="N52" s="164"/>
      <c r="O52" s="164"/>
      <c r="P52" s="124"/>
      <c r="Q52" s="120"/>
      <c r="R52" s="168"/>
      <c r="S52" s="168"/>
      <c r="T52" s="125"/>
      <c r="U52" s="124"/>
      <c r="V52" s="120"/>
      <c r="W52" s="125"/>
      <c r="X52" s="125"/>
      <c r="Y52" s="166"/>
      <c r="Z52" s="168"/>
      <c r="AA52" s="168"/>
      <c r="AB52" s="168"/>
      <c r="AC52" s="168"/>
      <c r="AD52" s="124"/>
      <c r="AE52" s="120"/>
      <c r="AF52" s="120"/>
      <c r="AG52" s="120"/>
      <c r="AH52" s="120"/>
      <c r="AI52" s="120"/>
      <c r="AJ52" s="120"/>
      <c r="AK52" s="120"/>
      <c r="AL52" s="120"/>
    </row>
    <row r="53" spans="1:38">
      <c r="A53" s="13">
        <f t="shared" si="0"/>
        <v>46</v>
      </c>
      <c r="B53" s="128"/>
      <c r="C53" s="121"/>
      <c r="D53" s="121"/>
      <c r="E53" s="120"/>
      <c r="F53" s="121"/>
      <c r="G53" s="120"/>
      <c r="H53" s="122"/>
      <c r="I53" s="120"/>
      <c r="J53" s="120"/>
      <c r="K53" s="120"/>
      <c r="L53" s="120"/>
      <c r="M53" s="164">
        <f t="shared" ref="M53:M116" si="29">J53*(1+$M$6*IF(C53="B",-1,1))</f>
        <v>0</v>
      </c>
      <c r="N53" s="164"/>
      <c r="O53" s="164"/>
      <c r="P53" s="124">
        <f t="shared" ref="P53:P116" si="30">IF(AND(K53&lt;&gt;0,I53&lt;&gt;0),(IF(C53="B",1,-1))*(K53-J53)*I53-AL53*2,0)</f>
        <v>0</v>
      </c>
      <c r="Q53" s="120" t="e">
        <f t="shared" ref="Q53:Q71" si="31">K53/$J53</f>
        <v>#DIV/0!</v>
      </c>
      <c r="R53" s="168">
        <f t="shared" si="3"/>
        <v>0</v>
      </c>
      <c r="S53" s="168">
        <f t="shared" ref="S53:S116" si="32">(Y53-J53)*I53*IF(C53="B",1,-1)*IF(K53=0,1,0)</f>
        <v>0</v>
      </c>
      <c r="T53" s="125"/>
      <c r="U53" s="124"/>
      <c r="V53" s="120"/>
      <c r="W53" s="125"/>
      <c r="X53" s="125"/>
      <c r="Y53" s="166"/>
      <c r="Z53" s="168"/>
      <c r="AA53" s="168"/>
      <c r="AB53" s="168"/>
      <c r="AC53" s="168"/>
      <c r="AD53" s="124"/>
      <c r="AE53" s="120"/>
      <c r="AF53" s="120"/>
      <c r="AG53" s="120"/>
      <c r="AH53" s="120"/>
      <c r="AI53" s="120"/>
      <c r="AJ53" s="120"/>
      <c r="AK53" s="120"/>
      <c r="AL53" s="120"/>
    </row>
    <row r="54" spans="1:38">
      <c r="A54" s="13">
        <f t="shared" si="0"/>
        <v>47</v>
      </c>
      <c r="B54" s="128"/>
      <c r="C54" s="121"/>
      <c r="D54" s="121"/>
      <c r="E54" s="120"/>
      <c r="F54" s="121"/>
      <c r="G54" s="120"/>
      <c r="H54" s="122"/>
      <c r="I54" s="120"/>
      <c r="J54" s="120"/>
      <c r="K54" s="120"/>
      <c r="L54" s="120"/>
      <c r="M54" s="164">
        <f t="shared" si="29"/>
        <v>0</v>
      </c>
      <c r="N54" s="164"/>
      <c r="O54" s="164"/>
      <c r="P54" s="124">
        <f t="shared" si="30"/>
        <v>0</v>
      </c>
      <c r="Q54" s="120" t="e">
        <f t="shared" si="31"/>
        <v>#DIV/0!</v>
      </c>
      <c r="R54" s="168">
        <f t="shared" si="3"/>
        <v>0</v>
      </c>
      <c r="S54" s="168">
        <f t="shared" si="32"/>
        <v>0</v>
      </c>
      <c r="T54" s="125"/>
      <c r="U54" s="124"/>
      <c r="V54" s="120"/>
      <c r="W54" s="125"/>
      <c r="X54" s="125"/>
      <c r="Y54" s="166"/>
      <c r="Z54" s="168"/>
      <c r="AA54" s="168"/>
      <c r="AB54" s="168"/>
      <c r="AC54" s="168"/>
      <c r="AD54" s="124"/>
      <c r="AE54" s="120"/>
      <c r="AF54" s="120"/>
      <c r="AG54" s="120"/>
      <c r="AH54" s="120"/>
      <c r="AI54" s="120"/>
      <c r="AJ54" s="120"/>
      <c r="AK54" s="120"/>
      <c r="AL54" s="120"/>
    </row>
    <row r="55" spans="1:38">
      <c r="A55" s="13">
        <f t="shared" si="0"/>
        <v>48</v>
      </c>
      <c r="B55" s="128"/>
      <c r="C55" s="121"/>
      <c r="D55" s="121"/>
      <c r="E55" s="120"/>
      <c r="F55" s="121"/>
      <c r="G55" s="120"/>
      <c r="H55" s="122"/>
      <c r="I55" s="120"/>
      <c r="J55" s="120"/>
      <c r="K55" s="120"/>
      <c r="L55" s="120"/>
      <c r="M55" s="164">
        <f t="shared" si="29"/>
        <v>0</v>
      </c>
      <c r="N55" s="164"/>
      <c r="O55" s="164"/>
      <c r="P55" s="124">
        <f t="shared" si="30"/>
        <v>0</v>
      </c>
      <c r="Q55" s="120" t="e">
        <f t="shared" si="31"/>
        <v>#DIV/0!</v>
      </c>
      <c r="R55" s="168">
        <f t="shared" si="3"/>
        <v>0</v>
      </c>
      <c r="S55" s="168">
        <f t="shared" si="32"/>
        <v>0</v>
      </c>
      <c r="T55" s="125"/>
      <c r="U55" s="124"/>
      <c r="V55" s="120"/>
      <c r="W55" s="125"/>
      <c r="X55" s="125"/>
      <c r="Y55" s="166"/>
      <c r="Z55" s="168"/>
      <c r="AA55" s="168"/>
      <c r="AB55" s="168"/>
      <c r="AC55" s="168"/>
      <c r="AD55" s="124"/>
      <c r="AE55" s="120"/>
      <c r="AF55" s="120"/>
      <c r="AG55" s="120"/>
      <c r="AH55" s="120"/>
      <c r="AI55" s="120"/>
      <c r="AJ55" s="120"/>
      <c r="AK55" s="120"/>
      <c r="AL55" s="120"/>
    </row>
    <row r="56" spans="1:38">
      <c r="A56" s="13">
        <f t="shared" si="0"/>
        <v>49</v>
      </c>
      <c r="B56" s="128"/>
      <c r="C56" s="121"/>
      <c r="D56" s="121"/>
      <c r="E56" s="120"/>
      <c r="F56" s="121"/>
      <c r="G56" s="120"/>
      <c r="H56" s="122"/>
      <c r="I56" s="120"/>
      <c r="J56" s="120"/>
      <c r="K56" s="120"/>
      <c r="L56" s="120"/>
      <c r="M56" s="164">
        <f t="shared" si="29"/>
        <v>0</v>
      </c>
      <c r="N56" s="164"/>
      <c r="O56" s="164"/>
      <c r="P56" s="124">
        <f t="shared" si="30"/>
        <v>0</v>
      </c>
      <c r="Q56" s="120" t="e">
        <f t="shared" si="31"/>
        <v>#DIV/0!</v>
      </c>
      <c r="R56" s="168">
        <f t="shared" si="3"/>
        <v>0</v>
      </c>
      <c r="S56" s="168">
        <f t="shared" si="32"/>
        <v>0</v>
      </c>
      <c r="T56" s="125"/>
      <c r="U56" s="124"/>
      <c r="V56" s="120"/>
      <c r="W56" s="125"/>
      <c r="X56" s="125"/>
      <c r="Y56" s="166"/>
      <c r="Z56" s="168"/>
      <c r="AA56" s="168"/>
      <c r="AB56" s="168"/>
      <c r="AC56" s="168"/>
      <c r="AD56" s="124"/>
      <c r="AE56" s="120"/>
      <c r="AF56" s="120"/>
      <c r="AG56" s="120"/>
      <c r="AH56" s="120"/>
      <c r="AI56" s="120"/>
      <c r="AJ56" s="120"/>
      <c r="AK56" s="120"/>
      <c r="AL56" s="120"/>
    </row>
    <row r="57" spans="1:38">
      <c r="A57" s="13">
        <f t="shared" si="0"/>
        <v>50</v>
      </c>
      <c r="B57" s="128"/>
      <c r="C57" s="121"/>
      <c r="D57" s="121"/>
      <c r="E57" s="120"/>
      <c r="F57" s="121"/>
      <c r="G57" s="120"/>
      <c r="H57" s="122"/>
      <c r="I57" s="120"/>
      <c r="J57" s="120"/>
      <c r="K57" s="120"/>
      <c r="L57" s="120"/>
      <c r="M57" s="164">
        <f t="shared" si="29"/>
        <v>0</v>
      </c>
      <c r="N57" s="164"/>
      <c r="O57" s="164"/>
      <c r="P57" s="124">
        <f t="shared" si="30"/>
        <v>0</v>
      </c>
      <c r="Q57" s="120" t="e">
        <f t="shared" si="31"/>
        <v>#DIV/0!</v>
      </c>
      <c r="R57" s="168">
        <f t="shared" si="3"/>
        <v>0</v>
      </c>
      <c r="S57" s="168">
        <f t="shared" si="32"/>
        <v>0</v>
      </c>
      <c r="T57" s="125"/>
      <c r="U57" s="124"/>
      <c r="V57" s="120"/>
      <c r="W57" s="125"/>
      <c r="X57" s="125"/>
      <c r="Y57" s="166"/>
      <c r="Z57" s="168"/>
      <c r="AA57" s="168"/>
      <c r="AB57" s="168"/>
      <c r="AC57" s="168"/>
      <c r="AD57" s="124"/>
      <c r="AE57" s="120"/>
      <c r="AF57" s="120"/>
      <c r="AG57" s="120"/>
      <c r="AH57" s="120"/>
      <c r="AI57" s="120"/>
      <c r="AJ57" s="120"/>
      <c r="AK57" s="120"/>
      <c r="AL57" s="120"/>
    </row>
    <row r="58" spans="1:38">
      <c r="A58" s="13">
        <f t="shared" si="0"/>
        <v>51</v>
      </c>
      <c r="B58" s="128"/>
      <c r="C58" s="121"/>
      <c r="D58" s="121"/>
      <c r="E58" s="120"/>
      <c r="F58" s="121"/>
      <c r="G58" s="120"/>
      <c r="H58" s="122"/>
      <c r="I58" s="120"/>
      <c r="J58" s="120"/>
      <c r="K58" s="120"/>
      <c r="L58" s="120"/>
      <c r="M58" s="164">
        <f t="shared" si="29"/>
        <v>0</v>
      </c>
      <c r="N58" s="164"/>
      <c r="O58" s="164"/>
      <c r="P58" s="124">
        <f t="shared" si="30"/>
        <v>0</v>
      </c>
      <c r="Q58" s="120" t="e">
        <f t="shared" si="31"/>
        <v>#DIV/0!</v>
      </c>
      <c r="R58" s="168">
        <f t="shared" si="3"/>
        <v>0</v>
      </c>
      <c r="S58" s="168">
        <f t="shared" si="32"/>
        <v>0</v>
      </c>
      <c r="T58" s="125"/>
      <c r="U58" s="124"/>
      <c r="V58" s="120"/>
      <c r="W58" s="125"/>
      <c r="X58" s="125"/>
      <c r="Y58" s="166"/>
      <c r="Z58" s="168"/>
      <c r="AA58" s="168"/>
      <c r="AB58" s="168"/>
      <c r="AC58" s="168"/>
      <c r="AD58" s="124"/>
      <c r="AE58" s="120"/>
      <c r="AF58" s="120"/>
      <c r="AG58" s="120"/>
      <c r="AH58" s="120"/>
      <c r="AI58" s="120"/>
      <c r="AJ58" s="120"/>
      <c r="AK58" s="120"/>
      <c r="AL58" s="120"/>
    </row>
    <row r="59" spans="1:38">
      <c r="A59" s="13">
        <f t="shared" si="0"/>
        <v>52</v>
      </c>
      <c r="B59" s="128"/>
      <c r="C59" s="121"/>
      <c r="D59" s="121"/>
      <c r="E59" s="120"/>
      <c r="F59" s="121"/>
      <c r="G59" s="120"/>
      <c r="H59" s="122"/>
      <c r="I59" s="120"/>
      <c r="J59" s="120"/>
      <c r="K59" s="120"/>
      <c r="L59" s="120"/>
      <c r="M59" s="164">
        <f t="shared" si="29"/>
        <v>0</v>
      </c>
      <c r="N59" s="164"/>
      <c r="O59" s="164"/>
      <c r="P59" s="124">
        <f t="shared" si="30"/>
        <v>0</v>
      </c>
      <c r="Q59" s="120" t="e">
        <f t="shared" si="31"/>
        <v>#DIV/0!</v>
      </c>
      <c r="R59" s="168">
        <f t="shared" si="3"/>
        <v>0</v>
      </c>
      <c r="S59" s="168">
        <f t="shared" si="32"/>
        <v>0</v>
      </c>
      <c r="T59" s="125"/>
      <c r="U59" s="124"/>
      <c r="V59" s="120"/>
      <c r="W59" s="125"/>
      <c r="X59" s="125"/>
      <c r="Y59" s="166"/>
      <c r="Z59" s="168"/>
      <c r="AA59" s="168"/>
      <c r="AB59" s="168"/>
      <c r="AC59" s="168"/>
      <c r="AD59" s="124"/>
      <c r="AE59" s="120"/>
      <c r="AF59" s="120"/>
      <c r="AG59" s="120"/>
      <c r="AH59" s="120"/>
      <c r="AI59" s="120"/>
      <c r="AJ59" s="120"/>
      <c r="AK59" s="120"/>
      <c r="AL59" s="120"/>
    </row>
    <row r="60" spans="1:38">
      <c r="A60" s="13">
        <f t="shared" si="0"/>
        <v>53</v>
      </c>
      <c r="B60" s="128"/>
      <c r="C60" s="121"/>
      <c r="D60" s="121"/>
      <c r="E60" s="120"/>
      <c r="F60" s="121"/>
      <c r="G60" s="120"/>
      <c r="H60" s="122"/>
      <c r="I60" s="120"/>
      <c r="J60" s="120"/>
      <c r="K60" s="120"/>
      <c r="L60" s="120"/>
      <c r="M60" s="164">
        <f t="shared" si="29"/>
        <v>0</v>
      </c>
      <c r="N60" s="164"/>
      <c r="O60" s="164"/>
      <c r="P60" s="124">
        <f t="shared" si="30"/>
        <v>0</v>
      </c>
      <c r="Q60" s="120" t="e">
        <f t="shared" si="31"/>
        <v>#DIV/0!</v>
      </c>
      <c r="R60" s="168">
        <f t="shared" si="3"/>
        <v>0</v>
      </c>
      <c r="S60" s="168">
        <f t="shared" si="32"/>
        <v>0</v>
      </c>
      <c r="T60" s="125"/>
      <c r="U60" s="124"/>
      <c r="V60" s="120"/>
      <c r="W60" s="125"/>
      <c r="X60" s="125"/>
      <c r="Y60" s="166"/>
      <c r="Z60" s="168"/>
      <c r="AA60" s="168"/>
      <c r="AB60" s="168"/>
      <c r="AC60" s="168"/>
      <c r="AD60" s="124"/>
      <c r="AE60" s="120"/>
      <c r="AF60" s="120"/>
      <c r="AG60" s="120"/>
      <c r="AH60" s="120"/>
      <c r="AI60" s="120"/>
      <c r="AJ60" s="120"/>
      <c r="AK60" s="120"/>
      <c r="AL60" s="120"/>
    </row>
    <row r="61" spans="1:38">
      <c r="A61" s="13">
        <f t="shared" si="0"/>
        <v>54</v>
      </c>
      <c r="B61" s="128"/>
      <c r="C61" s="121"/>
      <c r="D61" s="121"/>
      <c r="E61" s="120"/>
      <c r="F61" s="121"/>
      <c r="G61" s="120"/>
      <c r="H61" s="122"/>
      <c r="I61" s="120"/>
      <c r="J61" s="120"/>
      <c r="K61" s="120"/>
      <c r="L61" s="120"/>
      <c r="M61" s="164">
        <f t="shared" si="29"/>
        <v>0</v>
      </c>
      <c r="N61" s="164"/>
      <c r="O61" s="164"/>
      <c r="P61" s="124">
        <f t="shared" si="30"/>
        <v>0</v>
      </c>
      <c r="Q61" s="120" t="e">
        <f t="shared" si="31"/>
        <v>#DIV/0!</v>
      </c>
      <c r="R61" s="168">
        <f t="shared" si="3"/>
        <v>0</v>
      </c>
      <c r="S61" s="168">
        <f t="shared" si="32"/>
        <v>0</v>
      </c>
      <c r="T61" s="125"/>
      <c r="U61" s="124"/>
      <c r="V61" s="120"/>
      <c r="W61" s="125"/>
      <c r="X61" s="125"/>
      <c r="Y61" s="166"/>
      <c r="Z61" s="168"/>
      <c r="AA61" s="168"/>
      <c r="AB61" s="168"/>
      <c r="AC61" s="168"/>
      <c r="AD61" s="124"/>
      <c r="AE61" s="120"/>
      <c r="AF61" s="120"/>
      <c r="AG61" s="120"/>
      <c r="AH61" s="120"/>
      <c r="AI61" s="120"/>
      <c r="AJ61" s="120"/>
      <c r="AK61" s="120"/>
      <c r="AL61" s="120"/>
    </row>
    <row r="62" spans="1:38">
      <c r="A62" s="13">
        <f t="shared" si="0"/>
        <v>55</v>
      </c>
      <c r="B62" s="128"/>
      <c r="C62" s="121"/>
      <c r="D62" s="121"/>
      <c r="E62" s="120"/>
      <c r="F62" s="121"/>
      <c r="G62" s="120"/>
      <c r="H62" s="122"/>
      <c r="I62" s="120"/>
      <c r="J62" s="120"/>
      <c r="K62" s="120"/>
      <c r="L62" s="120"/>
      <c r="M62" s="164">
        <f t="shared" si="29"/>
        <v>0</v>
      </c>
      <c r="N62" s="164"/>
      <c r="O62" s="164"/>
      <c r="P62" s="124">
        <f t="shared" si="30"/>
        <v>0</v>
      </c>
      <c r="Q62" s="120" t="e">
        <f t="shared" si="31"/>
        <v>#DIV/0!</v>
      </c>
      <c r="R62" s="168">
        <f t="shared" si="3"/>
        <v>0</v>
      </c>
      <c r="S62" s="168">
        <f t="shared" si="32"/>
        <v>0</v>
      </c>
      <c r="T62" s="125"/>
      <c r="U62" s="124"/>
      <c r="V62" s="120"/>
      <c r="W62" s="125"/>
      <c r="X62" s="125"/>
      <c r="Y62" s="166"/>
      <c r="Z62" s="168"/>
      <c r="AA62" s="168"/>
      <c r="AB62" s="168"/>
      <c r="AC62" s="168"/>
      <c r="AD62" s="124"/>
      <c r="AE62" s="120"/>
      <c r="AF62" s="120"/>
      <c r="AG62" s="120"/>
      <c r="AH62" s="120"/>
      <c r="AI62" s="120"/>
      <c r="AJ62" s="120"/>
      <c r="AK62" s="120"/>
      <c r="AL62" s="120"/>
    </row>
    <row r="63" spans="1:38">
      <c r="A63" s="13">
        <f t="shared" si="0"/>
        <v>56</v>
      </c>
      <c r="B63" s="128"/>
      <c r="C63" s="121"/>
      <c r="D63" s="121"/>
      <c r="E63" s="120"/>
      <c r="F63" s="121"/>
      <c r="G63" s="120"/>
      <c r="H63" s="122"/>
      <c r="I63" s="120"/>
      <c r="J63" s="120"/>
      <c r="K63" s="120"/>
      <c r="L63" s="120"/>
      <c r="M63" s="164">
        <f t="shared" si="29"/>
        <v>0</v>
      </c>
      <c r="N63" s="164"/>
      <c r="O63" s="164"/>
      <c r="P63" s="124">
        <f t="shared" si="30"/>
        <v>0</v>
      </c>
      <c r="Q63" s="120" t="e">
        <f t="shared" si="31"/>
        <v>#DIV/0!</v>
      </c>
      <c r="R63" s="168">
        <f t="shared" si="3"/>
        <v>0</v>
      </c>
      <c r="S63" s="168">
        <f t="shared" si="32"/>
        <v>0</v>
      </c>
      <c r="T63" s="125"/>
      <c r="U63" s="124"/>
      <c r="V63" s="120"/>
      <c r="W63" s="125"/>
      <c r="X63" s="125"/>
      <c r="Y63" s="166"/>
      <c r="Z63" s="168"/>
      <c r="AA63" s="168"/>
      <c r="AB63" s="168"/>
      <c r="AC63" s="168"/>
      <c r="AD63" s="124"/>
      <c r="AE63" s="120"/>
      <c r="AF63" s="120"/>
      <c r="AG63" s="120"/>
      <c r="AH63" s="120"/>
      <c r="AI63" s="120"/>
      <c r="AJ63" s="120"/>
      <c r="AK63" s="120"/>
      <c r="AL63" s="120"/>
    </row>
    <row r="64" spans="1:38">
      <c r="A64" s="13">
        <f t="shared" si="0"/>
        <v>57</v>
      </c>
      <c r="B64" s="128"/>
      <c r="C64" s="121"/>
      <c r="D64" s="121"/>
      <c r="E64" s="120"/>
      <c r="F64" s="121"/>
      <c r="G64" s="120"/>
      <c r="H64" s="122"/>
      <c r="I64" s="120"/>
      <c r="J64" s="120"/>
      <c r="K64" s="120"/>
      <c r="L64" s="120"/>
      <c r="M64" s="164">
        <f t="shared" si="29"/>
        <v>0</v>
      </c>
      <c r="N64" s="164"/>
      <c r="O64" s="164"/>
      <c r="P64" s="124">
        <f t="shared" si="30"/>
        <v>0</v>
      </c>
      <c r="Q64" s="120" t="e">
        <f t="shared" si="31"/>
        <v>#DIV/0!</v>
      </c>
      <c r="R64" s="168">
        <f t="shared" si="3"/>
        <v>0</v>
      </c>
      <c r="S64" s="168">
        <f t="shared" si="32"/>
        <v>0</v>
      </c>
      <c r="T64" s="125"/>
      <c r="U64" s="124"/>
      <c r="V64" s="120"/>
      <c r="W64" s="125"/>
      <c r="X64" s="125"/>
      <c r="Y64" s="166"/>
      <c r="Z64" s="168"/>
      <c r="AA64" s="168"/>
      <c r="AB64" s="168"/>
      <c r="AC64" s="168"/>
      <c r="AD64" s="124"/>
      <c r="AE64" s="120"/>
      <c r="AF64" s="120"/>
      <c r="AG64" s="120"/>
      <c r="AH64" s="120"/>
      <c r="AI64" s="120"/>
      <c r="AJ64" s="120"/>
      <c r="AK64" s="120"/>
      <c r="AL64" s="120"/>
    </row>
    <row r="65" spans="1:38">
      <c r="A65" s="13">
        <f t="shared" si="0"/>
        <v>58</v>
      </c>
      <c r="B65" s="128"/>
      <c r="C65" s="121"/>
      <c r="D65" s="121"/>
      <c r="E65" s="120"/>
      <c r="F65" s="121"/>
      <c r="G65" s="120"/>
      <c r="H65" s="122"/>
      <c r="I65" s="120"/>
      <c r="J65" s="120"/>
      <c r="K65" s="120"/>
      <c r="L65" s="120"/>
      <c r="M65" s="164">
        <f t="shared" si="29"/>
        <v>0</v>
      </c>
      <c r="N65" s="164"/>
      <c r="O65" s="164"/>
      <c r="P65" s="124">
        <f t="shared" si="30"/>
        <v>0</v>
      </c>
      <c r="Q65" s="120" t="e">
        <f t="shared" si="31"/>
        <v>#DIV/0!</v>
      </c>
      <c r="R65" s="168">
        <f t="shared" si="3"/>
        <v>0</v>
      </c>
      <c r="S65" s="168">
        <f t="shared" si="32"/>
        <v>0</v>
      </c>
      <c r="T65" s="125"/>
      <c r="U65" s="124"/>
      <c r="V65" s="120"/>
      <c r="W65" s="125"/>
      <c r="X65" s="125"/>
      <c r="Y65" s="166"/>
      <c r="Z65" s="168"/>
      <c r="AA65" s="168"/>
      <c r="AB65" s="168"/>
      <c r="AC65" s="168"/>
      <c r="AD65" s="124"/>
      <c r="AE65" s="120"/>
      <c r="AF65" s="120"/>
      <c r="AG65" s="120"/>
      <c r="AH65" s="120"/>
      <c r="AI65" s="120"/>
      <c r="AJ65" s="120"/>
      <c r="AK65" s="120"/>
      <c r="AL65" s="120"/>
    </row>
    <row r="66" spans="1:38">
      <c r="A66" s="13">
        <f t="shared" si="0"/>
        <v>59</v>
      </c>
      <c r="B66" s="128"/>
      <c r="C66" s="121"/>
      <c r="D66" s="121"/>
      <c r="E66" s="120"/>
      <c r="F66" s="121"/>
      <c r="G66" s="120"/>
      <c r="H66" s="122"/>
      <c r="I66" s="120"/>
      <c r="J66" s="120"/>
      <c r="K66" s="120"/>
      <c r="L66" s="120"/>
      <c r="M66" s="164">
        <f t="shared" si="29"/>
        <v>0</v>
      </c>
      <c r="N66" s="164"/>
      <c r="O66" s="164"/>
      <c r="P66" s="124">
        <f t="shared" si="30"/>
        <v>0</v>
      </c>
      <c r="Q66" s="120" t="e">
        <f t="shared" si="31"/>
        <v>#DIV/0!</v>
      </c>
      <c r="R66" s="168">
        <f t="shared" si="3"/>
        <v>0</v>
      </c>
      <c r="S66" s="168">
        <f t="shared" si="32"/>
        <v>0</v>
      </c>
      <c r="T66" s="125"/>
      <c r="U66" s="124"/>
      <c r="V66" s="120"/>
      <c r="W66" s="125"/>
      <c r="X66" s="125"/>
      <c r="Y66" s="166"/>
      <c r="Z66" s="168"/>
      <c r="AA66" s="168"/>
      <c r="AB66" s="168"/>
      <c r="AC66" s="168"/>
      <c r="AD66" s="124"/>
      <c r="AE66" s="120"/>
      <c r="AF66" s="120"/>
      <c r="AG66" s="120"/>
      <c r="AH66" s="120"/>
      <c r="AI66" s="120"/>
      <c r="AJ66" s="120"/>
      <c r="AK66" s="120"/>
      <c r="AL66" s="120"/>
    </row>
    <row r="67" spans="1:38">
      <c r="A67" s="13">
        <f t="shared" si="0"/>
        <v>60</v>
      </c>
      <c r="B67" s="128"/>
      <c r="C67" s="121"/>
      <c r="D67" s="121"/>
      <c r="E67" s="120"/>
      <c r="F67" s="121"/>
      <c r="G67" s="120"/>
      <c r="H67" s="122"/>
      <c r="I67" s="120"/>
      <c r="J67" s="120"/>
      <c r="K67" s="120"/>
      <c r="L67" s="120"/>
      <c r="M67" s="164">
        <f t="shared" si="29"/>
        <v>0</v>
      </c>
      <c r="N67" s="164"/>
      <c r="O67" s="164"/>
      <c r="P67" s="124">
        <f t="shared" si="30"/>
        <v>0</v>
      </c>
      <c r="Q67" s="120" t="e">
        <f t="shared" si="31"/>
        <v>#DIV/0!</v>
      </c>
      <c r="R67" s="168">
        <f t="shared" si="3"/>
        <v>0</v>
      </c>
      <c r="S67" s="168">
        <f t="shared" si="32"/>
        <v>0</v>
      </c>
      <c r="T67" s="125"/>
      <c r="U67" s="124"/>
      <c r="V67" s="120"/>
      <c r="W67" s="125"/>
      <c r="X67" s="125"/>
      <c r="Y67" s="166"/>
      <c r="Z67" s="168"/>
      <c r="AA67" s="168"/>
      <c r="AB67" s="168"/>
      <c r="AC67" s="168"/>
      <c r="AD67" s="124"/>
      <c r="AE67" s="120"/>
      <c r="AF67" s="120"/>
      <c r="AG67" s="120"/>
      <c r="AH67" s="120"/>
      <c r="AI67" s="120"/>
      <c r="AJ67" s="120"/>
      <c r="AK67" s="120"/>
      <c r="AL67" s="120"/>
    </row>
    <row r="68" spans="1:38">
      <c r="A68" s="13">
        <f t="shared" si="0"/>
        <v>61</v>
      </c>
      <c r="B68" s="128"/>
      <c r="C68" s="121"/>
      <c r="D68" s="121"/>
      <c r="E68" s="120"/>
      <c r="F68" s="121"/>
      <c r="G68" s="120"/>
      <c r="H68" s="122"/>
      <c r="I68" s="120"/>
      <c r="J68" s="120"/>
      <c r="K68" s="120"/>
      <c r="L68" s="120"/>
      <c r="M68" s="164">
        <f t="shared" si="29"/>
        <v>0</v>
      </c>
      <c r="N68" s="164"/>
      <c r="O68" s="164"/>
      <c r="P68" s="124">
        <f t="shared" si="30"/>
        <v>0</v>
      </c>
      <c r="Q68" s="120" t="e">
        <f t="shared" si="31"/>
        <v>#DIV/0!</v>
      </c>
      <c r="R68" s="168">
        <f t="shared" si="3"/>
        <v>0</v>
      </c>
      <c r="S68" s="168">
        <f t="shared" si="32"/>
        <v>0</v>
      </c>
      <c r="T68" s="125"/>
      <c r="U68" s="124"/>
      <c r="V68" s="120"/>
      <c r="W68" s="125"/>
      <c r="X68" s="125"/>
      <c r="Y68" s="166"/>
      <c r="Z68" s="168"/>
      <c r="AA68" s="168"/>
      <c r="AB68" s="168"/>
      <c r="AC68" s="168"/>
      <c r="AD68" s="124"/>
      <c r="AE68" s="120"/>
      <c r="AF68" s="120"/>
      <c r="AG68" s="120"/>
      <c r="AH68" s="120"/>
      <c r="AI68" s="120"/>
      <c r="AJ68" s="120"/>
      <c r="AK68" s="120"/>
      <c r="AL68" s="120"/>
    </row>
    <row r="69" spans="1:38">
      <c r="A69" s="13">
        <f t="shared" si="0"/>
        <v>62</v>
      </c>
      <c r="B69" s="128"/>
      <c r="C69" s="121"/>
      <c r="D69" s="121"/>
      <c r="E69" s="120"/>
      <c r="F69" s="121"/>
      <c r="G69" s="120"/>
      <c r="H69" s="122"/>
      <c r="I69" s="120"/>
      <c r="J69" s="120"/>
      <c r="K69" s="120"/>
      <c r="L69" s="120"/>
      <c r="M69" s="164">
        <f t="shared" si="29"/>
        <v>0</v>
      </c>
      <c r="N69" s="164"/>
      <c r="O69" s="164"/>
      <c r="P69" s="124">
        <f t="shared" si="30"/>
        <v>0</v>
      </c>
      <c r="Q69" s="120" t="e">
        <f t="shared" si="31"/>
        <v>#DIV/0!</v>
      </c>
      <c r="R69" s="168">
        <f t="shared" si="3"/>
        <v>0</v>
      </c>
      <c r="S69" s="168">
        <f t="shared" si="32"/>
        <v>0</v>
      </c>
      <c r="T69" s="125"/>
      <c r="U69" s="124"/>
      <c r="V69" s="120"/>
      <c r="W69" s="125"/>
      <c r="X69" s="125"/>
      <c r="Y69" s="166"/>
      <c r="Z69" s="168"/>
      <c r="AA69" s="168"/>
      <c r="AB69" s="168"/>
      <c r="AC69" s="168"/>
      <c r="AD69" s="124"/>
      <c r="AE69" s="120"/>
      <c r="AF69" s="120"/>
      <c r="AG69" s="120"/>
      <c r="AH69" s="120"/>
      <c r="AI69" s="120"/>
      <c r="AJ69" s="120"/>
      <c r="AK69" s="120"/>
      <c r="AL69" s="120"/>
    </row>
    <row r="70" spans="1:38">
      <c r="A70" s="13">
        <f t="shared" si="0"/>
        <v>63</v>
      </c>
      <c r="B70" s="128"/>
      <c r="C70" s="121"/>
      <c r="D70" s="121"/>
      <c r="E70" s="120"/>
      <c r="F70" s="121"/>
      <c r="G70" s="120"/>
      <c r="H70" s="122"/>
      <c r="I70" s="120"/>
      <c r="J70" s="120"/>
      <c r="K70" s="120"/>
      <c r="L70" s="120"/>
      <c r="M70" s="164">
        <f t="shared" si="29"/>
        <v>0</v>
      </c>
      <c r="N70" s="164"/>
      <c r="O70" s="164"/>
      <c r="P70" s="124">
        <f t="shared" si="30"/>
        <v>0</v>
      </c>
      <c r="Q70" s="120" t="e">
        <f t="shared" si="31"/>
        <v>#DIV/0!</v>
      </c>
      <c r="R70" s="168">
        <f t="shared" si="3"/>
        <v>0</v>
      </c>
      <c r="S70" s="168">
        <f t="shared" si="32"/>
        <v>0</v>
      </c>
      <c r="T70" s="125"/>
      <c r="U70" s="124"/>
      <c r="V70" s="120"/>
      <c r="W70" s="125"/>
      <c r="X70" s="125"/>
      <c r="Y70" s="166"/>
      <c r="Z70" s="168"/>
      <c r="AA70" s="168"/>
      <c r="AB70" s="168"/>
      <c r="AC70" s="168"/>
      <c r="AD70" s="124"/>
      <c r="AE70" s="120"/>
      <c r="AF70" s="120"/>
      <c r="AG70" s="120"/>
      <c r="AH70" s="120"/>
      <c r="AI70" s="120"/>
      <c r="AJ70" s="120"/>
      <c r="AK70" s="120"/>
      <c r="AL70" s="120"/>
    </row>
    <row r="71" spans="1:38">
      <c r="A71" s="13">
        <f t="shared" si="0"/>
        <v>64</v>
      </c>
      <c r="B71" s="128"/>
      <c r="C71" s="121"/>
      <c r="D71" s="121"/>
      <c r="E71" s="120"/>
      <c r="F71" s="121"/>
      <c r="G71" s="120"/>
      <c r="H71" s="122"/>
      <c r="I71" s="120"/>
      <c r="J71" s="120"/>
      <c r="K71" s="120"/>
      <c r="L71" s="120"/>
      <c r="M71" s="164">
        <f t="shared" si="29"/>
        <v>0</v>
      </c>
      <c r="N71" s="164"/>
      <c r="O71" s="164"/>
      <c r="P71" s="124">
        <f t="shared" si="30"/>
        <v>0</v>
      </c>
      <c r="Q71" s="120" t="e">
        <f t="shared" si="31"/>
        <v>#DIV/0!</v>
      </c>
      <c r="R71" s="168">
        <f t="shared" si="3"/>
        <v>0</v>
      </c>
      <c r="S71" s="168">
        <f t="shared" si="32"/>
        <v>0</v>
      </c>
      <c r="T71" s="125"/>
      <c r="U71" s="124"/>
      <c r="V71" s="120"/>
      <c r="W71" s="125"/>
      <c r="X71" s="125"/>
      <c r="Y71" s="166"/>
      <c r="Z71" s="168"/>
      <c r="AA71" s="168"/>
      <c r="AB71" s="168"/>
      <c r="AC71" s="168"/>
      <c r="AD71" s="124"/>
      <c r="AE71" s="120"/>
      <c r="AF71" s="120"/>
      <c r="AG71" s="120"/>
      <c r="AH71" s="120"/>
      <c r="AI71" s="120"/>
      <c r="AJ71" s="120"/>
      <c r="AK71" s="120"/>
      <c r="AL71" s="120"/>
    </row>
    <row r="72" spans="1:38">
      <c r="A72" s="13">
        <f t="shared" si="0"/>
        <v>65</v>
      </c>
      <c r="B72" s="128"/>
      <c r="C72" s="121"/>
      <c r="D72" s="121"/>
      <c r="E72" s="120"/>
      <c r="F72" s="121"/>
      <c r="G72" s="120"/>
      <c r="H72" s="122"/>
      <c r="I72" s="120"/>
      <c r="J72" s="120"/>
      <c r="K72" s="120"/>
      <c r="L72" s="120"/>
      <c r="M72" s="164">
        <f t="shared" si="29"/>
        <v>0</v>
      </c>
      <c r="N72" s="164"/>
      <c r="O72" s="164"/>
      <c r="P72" s="124">
        <f t="shared" si="30"/>
        <v>0</v>
      </c>
      <c r="Q72" s="120" t="e">
        <f t="shared" ref="Q72:Q135" si="33">K72/$J72</f>
        <v>#DIV/0!</v>
      </c>
      <c r="R72" s="168">
        <f t="shared" ref="R72:R135" si="34">$J72*$I72</f>
        <v>0</v>
      </c>
      <c r="S72" s="168">
        <f t="shared" si="32"/>
        <v>0</v>
      </c>
      <c r="T72" s="125"/>
      <c r="U72" s="124"/>
      <c r="V72" s="120"/>
      <c r="W72" s="125"/>
      <c r="X72" s="125"/>
      <c r="Y72" s="166"/>
      <c r="Z72" s="168"/>
      <c r="AA72" s="168"/>
      <c r="AB72" s="168"/>
      <c r="AC72" s="168"/>
      <c r="AD72" s="124"/>
      <c r="AE72" s="120"/>
      <c r="AF72" s="120"/>
      <c r="AG72" s="120"/>
      <c r="AH72" s="120"/>
      <c r="AI72" s="120"/>
      <c r="AJ72" s="120"/>
      <c r="AK72" s="120"/>
      <c r="AL72" s="120"/>
    </row>
    <row r="73" spans="1:38">
      <c r="A73" s="13">
        <f t="shared" ref="A73:A136" si="35">A72+1</f>
        <v>66</v>
      </c>
      <c r="B73" s="128"/>
      <c r="C73" s="121"/>
      <c r="D73" s="121"/>
      <c r="E73" s="120"/>
      <c r="F73" s="121"/>
      <c r="G73" s="120"/>
      <c r="H73" s="122"/>
      <c r="I73" s="120"/>
      <c r="J73" s="120"/>
      <c r="K73" s="120"/>
      <c r="L73" s="120"/>
      <c r="M73" s="164">
        <f t="shared" si="29"/>
        <v>0</v>
      </c>
      <c r="N73" s="164"/>
      <c r="O73" s="164"/>
      <c r="P73" s="124">
        <f t="shared" si="30"/>
        <v>0</v>
      </c>
      <c r="Q73" s="120" t="e">
        <f t="shared" si="33"/>
        <v>#DIV/0!</v>
      </c>
      <c r="R73" s="168">
        <f t="shared" si="34"/>
        <v>0</v>
      </c>
      <c r="S73" s="168">
        <f t="shared" si="32"/>
        <v>0</v>
      </c>
      <c r="T73" s="125"/>
      <c r="U73" s="124"/>
      <c r="V73" s="120"/>
      <c r="W73" s="125"/>
      <c r="X73" s="125"/>
      <c r="Y73" s="166"/>
      <c r="Z73" s="168"/>
      <c r="AA73" s="168"/>
      <c r="AB73" s="168"/>
      <c r="AC73" s="168"/>
      <c r="AD73" s="124"/>
      <c r="AE73" s="120"/>
      <c r="AF73" s="120"/>
      <c r="AG73" s="120"/>
      <c r="AH73" s="120"/>
      <c r="AI73" s="120"/>
      <c r="AJ73" s="120"/>
      <c r="AK73" s="120"/>
      <c r="AL73" s="120"/>
    </row>
    <row r="74" spans="1:38">
      <c r="A74" s="13">
        <f t="shared" si="35"/>
        <v>67</v>
      </c>
      <c r="B74" s="128"/>
      <c r="C74" s="121"/>
      <c r="D74" s="121"/>
      <c r="E74" s="120"/>
      <c r="F74" s="121"/>
      <c r="G74" s="120"/>
      <c r="H74" s="122"/>
      <c r="I74" s="120"/>
      <c r="J74" s="120"/>
      <c r="K74" s="120"/>
      <c r="L74" s="120"/>
      <c r="M74" s="164">
        <f t="shared" si="29"/>
        <v>0</v>
      </c>
      <c r="N74" s="164"/>
      <c r="O74" s="164"/>
      <c r="P74" s="124">
        <f t="shared" si="30"/>
        <v>0</v>
      </c>
      <c r="Q74" s="120" t="e">
        <f t="shared" si="33"/>
        <v>#DIV/0!</v>
      </c>
      <c r="R74" s="168">
        <f t="shared" si="34"/>
        <v>0</v>
      </c>
      <c r="S74" s="168">
        <f t="shared" si="32"/>
        <v>0</v>
      </c>
      <c r="T74" s="125"/>
      <c r="U74" s="124"/>
      <c r="V74" s="120"/>
      <c r="W74" s="125"/>
      <c r="X74" s="125"/>
      <c r="Y74" s="166"/>
      <c r="Z74" s="168"/>
      <c r="AA74" s="168"/>
      <c r="AB74" s="168"/>
      <c r="AC74" s="168"/>
      <c r="AD74" s="124"/>
      <c r="AE74" s="120"/>
      <c r="AF74" s="120"/>
      <c r="AG74" s="120"/>
      <c r="AH74" s="120"/>
      <c r="AI74" s="120"/>
      <c r="AJ74" s="120"/>
      <c r="AK74" s="120"/>
      <c r="AL74" s="120"/>
    </row>
    <row r="75" spans="1:38">
      <c r="A75" s="13">
        <f t="shared" si="35"/>
        <v>68</v>
      </c>
      <c r="B75" s="128"/>
      <c r="C75" s="121"/>
      <c r="D75" s="121"/>
      <c r="E75" s="120"/>
      <c r="F75" s="121"/>
      <c r="G75" s="120"/>
      <c r="H75" s="122"/>
      <c r="I75" s="120"/>
      <c r="J75" s="120"/>
      <c r="K75" s="120"/>
      <c r="L75" s="120"/>
      <c r="M75" s="164">
        <f t="shared" si="29"/>
        <v>0</v>
      </c>
      <c r="N75" s="164"/>
      <c r="O75" s="164"/>
      <c r="P75" s="124">
        <f t="shared" si="30"/>
        <v>0</v>
      </c>
      <c r="Q75" s="120" t="e">
        <f t="shared" si="33"/>
        <v>#DIV/0!</v>
      </c>
      <c r="R75" s="168">
        <f t="shared" si="34"/>
        <v>0</v>
      </c>
      <c r="S75" s="168">
        <f t="shared" si="32"/>
        <v>0</v>
      </c>
      <c r="T75" s="125"/>
      <c r="U75" s="124"/>
      <c r="V75" s="120"/>
      <c r="W75" s="125"/>
      <c r="X75" s="125"/>
      <c r="Y75" s="166"/>
      <c r="Z75" s="168"/>
      <c r="AA75" s="168"/>
      <c r="AB75" s="168"/>
      <c r="AC75" s="168"/>
      <c r="AD75" s="124"/>
      <c r="AE75" s="120"/>
      <c r="AF75" s="120"/>
      <c r="AG75" s="120"/>
      <c r="AH75" s="120"/>
      <c r="AI75" s="120"/>
      <c r="AJ75" s="120"/>
      <c r="AK75" s="120"/>
      <c r="AL75" s="120"/>
    </row>
    <row r="76" spans="1:38">
      <c r="A76" s="13">
        <f t="shared" si="35"/>
        <v>69</v>
      </c>
      <c r="B76" s="128"/>
      <c r="C76" s="121"/>
      <c r="D76" s="121"/>
      <c r="E76" s="120"/>
      <c r="F76" s="121"/>
      <c r="G76" s="120"/>
      <c r="H76" s="122"/>
      <c r="I76" s="120"/>
      <c r="J76" s="120"/>
      <c r="K76" s="120"/>
      <c r="L76" s="120"/>
      <c r="M76" s="164">
        <f t="shared" si="29"/>
        <v>0</v>
      </c>
      <c r="N76" s="164"/>
      <c r="O76" s="164"/>
      <c r="P76" s="124">
        <f t="shared" si="30"/>
        <v>0</v>
      </c>
      <c r="Q76" s="120" t="e">
        <f t="shared" si="33"/>
        <v>#DIV/0!</v>
      </c>
      <c r="R76" s="168">
        <f t="shared" si="34"/>
        <v>0</v>
      </c>
      <c r="S76" s="168">
        <f t="shared" si="32"/>
        <v>0</v>
      </c>
      <c r="T76" s="125"/>
      <c r="U76" s="124"/>
      <c r="V76" s="120"/>
      <c r="W76" s="125"/>
      <c r="X76" s="125"/>
      <c r="Y76" s="166"/>
      <c r="Z76" s="168"/>
      <c r="AA76" s="168"/>
      <c r="AB76" s="168"/>
      <c r="AC76" s="168"/>
      <c r="AD76" s="124"/>
      <c r="AE76" s="120"/>
      <c r="AF76" s="120"/>
      <c r="AG76" s="120"/>
      <c r="AH76" s="120"/>
      <c r="AI76" s="120"/>
      <c r="AJ76" s="120"/>
      <c r="AK76" s="120"/>
      <c r="AL76" s="120"/>
    </row>
    <row r="77" spans="1:38">
      <c r="A77" s="13">
        <f t="shared" si="35"/>
        <v>70</v>
      </c>
      <c r="B77" s="128"/>
      <c r="C77" s="121"/>
      <c r="D77" s="121"/>
      <c r="E77" s="120"/>
      <c r="F77" s="121"/>
      <c r="G77" s="120"/>
      <c r="H77" s="122"/>
      <c r="I77" s="120"/>
      <c r="J77" s="120"/>
      <c r="K77" s="120"/>
      <c r="L77" s="120"/>
      <c r="M77" s="164">
        <f t="shared" si="29"/>
        <v>0</v>
      </c>
      <c r="N77" s="164"/>
      <c r="O77" s="164"/>
      <c r="P77" s="124">
        <f t="shared" si="30"/>
        <v>0</v>
      </c>
      <c r="Q77" s="120" t="e">
        <f t="shared" si="33"/>
        <v>#DIV/0!</v>
      </c>
      <c r="R77" s="168">
        <f t="shared" si="34"/>
        <v>0</v>
      </c>
      <c r="S77" s="168">
        <f t="shared" si="32"/>
        <v>0</v>
      </c>
      <c r="T77" s="125"/>
      <c r="U77" s="124"/>
      <c r="V77" s="120"/>
      <c r="W77" s="125"/>
      <c r="X77" s="125"/>
      <c r="Y77" s="166"/>
      <c r="Z77" s="168"/>
      <c r="AA77" s="168"/>
      <c r="AB77" s="168"/>
      <c r="AC77" s="168"/>
      <c r="AD77" s="124"/>
      <c r="AE77" s="120"/>
      <c r="AF77" s="120"/>
      <c r="AG77" s="120"/>
      <c r="AH77" s="120"/>
      <c r="AI77" s="120"/>
      <c r="AJ77" s="120"/>
      <c r="AK77" s="120"/>
      <c r="AL77" s="120"/>
    </row>
    <row r="78" spans="1:38">
      <c r="A78" s="13">
        <f t="shared" si="35"/>
        <v>71</v>
      </c>
      <c r="B78" s="128"/>
      <c r="C78" s="121"/>
      <c r="D78" s="121"/>
      <c r="E78" s="120"/>
      <c r="F78" s="121"/>
      <c r="G78" s="120"/>
      <c r="H78" s="122"/>
      <c r="I78" s="120"/>
      <c r="J78" s="120"/>
      <c r="K78" s="120"/>
      <c r="L78" s="120"/>
      <c r="M78" s="164">
        <f t="shared" si="29"/>
        <v>0</v>
      </c>
      <c r="N78" s="164"/>
      <c r="O78" s="164"/>
      <c r="P78" s="124">
        <f t="shared" si="30"/>
        <v>0</v>
      </c>
      <c r="Q78" s="120" t="e">
        <f t="shared" si="33"/>
        <v>#DIV/0!</v>
      </c>
      <c r="R78" s="168">
        <f t="shared" si="34"/>
        <v>0</v>
      </c>
      <c r="S78" s="168">
        <f t="shared" si="32"/>
        <v>0</v>
      </c>
      <c r="T78" s="125"/>
      <c r="U78" s="124"/>
      <c r="V78" s="120"/>
      <c r="W78" s="125"/>
      <c r="X78" s="125"/>
      <c r="Y78" s="166"/>
      <c r="Z78" s="168"/>
      <c r="AA78" s="168"/>
      <c r="AB78" s="168"/>
      <c r="AC78" s="168"/>
      <c r="AD78" s="124"/>
      <c r="AE78" s="120"/>
      <c r="AF78" s="120"/>
      <c r="AG78" s="120"/>
      <c r="AH78" s="120"/>
      <c r="AI78" s="120"/>
      <c r="AJ78" s="120"/>
      <c r="AK78" s="120"/>
      <c r="AL78" s="120"/>
    </row>
    <row r="79" spans="1:38">
      <c r="A79" s="13">
        <f t="shared" si="35"/>
        <v>72</v>
      </c>
      <c r="B79" s="128"/>
      <c r="C79" s="121"/>
      <c r="D79" s="121"/>
      <c r="E79" s="120"/>
      <c r="F79" s="121"/>
      <c r="G79" s="120"/>
      <c r="H79" s="122"/>
      <c r="I79" s="120"/>
      <c r="J79" s="120"/>
      <c r="K79" s="120"/>
      <c r="L79" s="120"/>
      <c r="M79" s="164">
        <f t="shared" si="29"/>
        <v>0</v>
      </c>
      <c r="N79" s="164"/>
      <c r="O79" s="164"/>
      <c r="P79" s="124">
        <f t="shared" si="30"/>
        <v>0</v>
      </c>
      <c r="Q79" s="120" t="e">
        <f t="shared" si="33"/>
        <v>#DIV/0!</v>
      </c>
      <c r="R79" s="168">
        <f t="shared" si="34"/>
        <v>0</v>
      </c>
      <c r="S79" s="168">
        <f t="shared" si="32"/>
        <v>0</v>
      </c>
      <c r="T79" s="125"/>
      <c r="U79" s="124"/>
      <c r="V79" s="120"/>
      <c r="W79" s="125"/>
      <c r="X79" s="125"/>
      <c r="Y79" s="166"/>
      <c r="Z79" s="168"/>
      <c r="AA79" s="168"/>
      <c r="AB79" s="168"/>
      <c r="AC79" s="168"/>
      <c r="AD79" s="124"/>
      <c r="AE79" s="120"/>
      <c r="AF79" s="120"/>
      <c r="AG79" s="120"/>
      <c r="AH79" s="120"/>
      <c r="AI79" s="120"/>
      <c r="AJ79" s="120"/>
      <c r="AK79" s="120"/>
      <c r="AL79" s="120"/>
    </row>
    <row r="80" spans="1:38">
      <c r="A80" s="13">
        <f t="shared" si="35"/>
        <v>73</v>
      </c>
      <c r="B80" s="128"/>
      <c r="C80" s="121"/>
      <c r="D80" s="121"/>
      <c r="E80" s="120"/>
      <c r="F80" s="121"/>
      <c r="G80" s="120"/>
      <c r="H80" s="122"/>
      <c r="I80" s="120"/>
      <c r="J80" s="120"/>
      <c r="K80" s="120"/>
      <c r="L80" s="120"/>
      <c r="M80" s="164">
        <f t="shared" si="29"/>
        <v>0</v>
      </c>
      <c r="N80" s="164"/>
      <c r="O80" s="164"/>
      <c r="P80" s="124">
        <f t="shared" si="30"/>
        <v>0</v>
      </c>
      <c r="Q80" s="120" t="e">
        <f t="shared" si="33"/>
        <v>#DIV/0!</v>
      </c>
      <c r="R80" s="168">
        <f t="shared" si="34"/>
        <v>0</v>
      </c>
      <c r="S80" s="168">
        <f t="shared" si="32"/>
        <v>0</v>
      </c>
      <c r="T80" s="125"/>
      <c r="U80" s="124"/>
      <c r="V80" s="120"/>
      <c r="W80" s="125"/>
      <c r="X80" s="125"/>
      <c r="Y80" s="166"/>
      <c r="Z80" s="168"/>
      <c r="AA80" s="168"/>
      <c r="AB80" s="168"/>
      <c r="AC80" s="168"/>
      <c r="AD80" s="124"/>
      <c r="AE80" s="120"/>
      <c r="AF80" s="120"/>
      <c r="AG80" s="120"/>
      <c r="AH80" s="120"/>
      <c r="AI80" s="120"/>
      <c r="AJ80" s="120"/>
      <c r="AK80" s="120"/>
      <c r="AL80" s="120"/>
    </row>
    <row r="81" spans="1:38">
      <c r="A81" s="13">
        <f t="shared" si="35"/>
        <v>74</v>
      </c>
      <c r="B81" s="128"/>
      <c r="C81" s="121"/>
      <c r="D81" s="121"/>
      <c r="E81" s="120"/>
      <c r="F81" s="121"/>
      <c r="G81" s="120"/>
      <c r="H81" s="122"/>
      <c r="I81" s="120"/>
      <c r="J81" s="120"/>
      <c r="K81" s="120"/>
      <c r="L81" s="120"/>
      <c r="M81" s="164">
        <f t="shared" si="29"/>
        <v>0</v>
      </c>
      <c r="N81" s="164"/>
      <c r="O81" s="164"/>
      <c r="P81" s="124">
        <f t="shared" si="30"/>
        <v>0</v>
      </c>
      <c r="Q81" s="120" t="e">
        <f t="shared" si="33"/>
        <v>#DIV/0!</v>
      </c>
      <c r="R81" s="168">
        <f t="shared" si="34"/>
        <v>0</v>
      </c>
      <c r="S81" s="168">
        <f t="shared" si="32"/>
        <v>0</v>
      </c>
      <c r="T81" s="125"/>
      <c r="U81" s="124"/>
      <c r="V81" s="120"/>
      <c r="W81" s="125"/>
      <c r="X81" s="125"/>
      <c r="Y81" s="166"/>
      <c r="Z81" s="168"/>
      <c r="AA81" s="168"/>
      <c r="AB81" s="168"/>
      <c r="AC81" s="168"/>
      <c r="AD81" s="124"/>
      <c r="AE81" s="120"/>
      <c r="AF81" s="120"/>
      <c r="AG81" s="120"/>
      <c r="AH81" s="120"/>
      <c r="AI81" s="120"/>
      <c r="AJ81" s="120"/>
      <c r="AK81" s="120"/>
      <c r="AL81" s="120"/>
    </row>
    <row r="82" spans="1:38">
      <c r="A82" s="13">
        <f t="shared" si="35"/>
        <v>75</v>
      </c>
      <c r="B82" s="128"/>
      <c r="C82" s="121"/>
      <c r="D82" s="121"/>
      <c r="E82" s="120"/>
      <c r="F82" s="121"/>
      <c r="G82" s="120"/>
      <c r="H82" s="122"/>
      <c r="I82" s="120"/>
      <c r="J82" s="120"/>
      <c r="K82" s="120"/>
      <c r="L82" s="120"/>
      <c r="M82" s="164">
        <f t="shared" si="29"/>
        <v>0</v>
      </c>
      <c r="N82" s="164"/>
      <c r="O82" s="164"/>
      <c r="P82" s="124">
        <f t="shared" si="30"/>
        <v>0</v>
      </c>
      <c r="Q82" s="120" t="e">
        <f t="shared" si="33"/>
        <v>#DIV/0!</v>
      </c>
      <c r="R82" s="168">
        <f t="shared" si="34"/>
        <v>0</v>
      </c>
      <c r="S82" s="168">
        <f t="shared" si="32"/>
        <v>0</v>
      </c>
      <c r="T82" s="125"/>
      <c r="U82" s="124"/>
      <c r="V82" s="120"/>
      <c r="W82" s="125"/>
      <c r="X82" s="125"/>
      <c r="Y82" s="166"/>
      <c r="Z82" s="168"/>
      <c r="AA82" s="168"/>
      <c r="AB82" s="168"/>
      <c r="AC82" s="168"/>
      <c r="AD82" s="124"/>
      <c r="AE82" s="120"/>
      <c r="AF82" s="120"/>
      <c r="AG82" s="120"/>
      <c r="AH82" s="120"/>
      <c r="AI82" s="120"/>
      <c r="AJ82" s="120"/>
      <c r="AK82" s="120"/>
      <c r="AL82" s="120"/>
    </row>
    <row r="83" spans="1:38">
      <c r="A83" s="13">
        <f t="shared" si="35"/>
        <v>76</v>
      </c>
      <c r="B83" s="128"/>
      <c r="C83" s="121"/>
      <c r="D83" s="121"/>
      <c r="E83" s="120"/>
      <c r="F83" s="121"/>
      <c r="G83" s="120"/>
      <c r="H83" s="122"/>
      <c r="I83" s="120"/>
      <c r="J83" s="120"/>
      <c r="K83" s="120"/>
      <c r="L83" s="120"/>
      <c r="M83" s="164">
        <f t="shared" si="29"/>
        <v>0</v>
      </c>
      <c r="N83" s="164"/>
      <c r="O83" s="164"/>
      <c r="P83" s="124">
        <f t="shared" si="30"/>
        <v>0</v>
      </c>
      <c r="Q83" s="120" t="e">
        <f t="shared" si="33"/>
        <v>#DIV/0!</v>
      </c>
      <c r="R83" s="168">
        <f t="shared" si="34"/>
        <v>0</v>
      </c>
      <c r="S83" s="168">
        <f t="shared" si="32"/>
        <v>0</v>
      </c>
      <c r="T83" s="125"/>
      <c r="U83" s="124"/>
      <c r="V83" s="120"/>
      <c r="W83" s="125"/>
      <c r="X83" s="125"/>
      <c r="Y83" s="166"/>
      <c r="Z83" s="168"/>
      <c r="AA83" s="168"/>
      <c r="AB83" s="168"/>
      <c r="AC83" s="168"/>
      <c r="AD83" s="124"/>
      <c r="AE83" s="120"/>
      <c r="AF83" s="120"/>
      <c r="AG83" s="120"/>
      <c r="AH83" s="120"/>
      <c r="AI83" s="120"/>
      <c r="AJ83" s="120"/>
      <c r="AK83" s="120"/>
      <c r="AL83" s="120"/>
    </row>
    <row r="84" spans="1:38">
      <c r="A84" s="13">
        <f t="shared" si="35"/>
        <v>77</v>
      </c>
      <c r="B84" s="128"/>
      <c r="C84" s="121"/>
      <c r="D84" s="121"/>
      <c r="E84" s="120"/>
      <c r="F84" s="121"/>
      <c r="G84" s="120"/>
      <c r="H84" s="122"/>
      <c r="I84" s="120"/>
      <c r="J84" s="120"/>
      <c r="K84" s="120"/>
      <c r="L84" s="120"/>
      <c r="M84" s="164">
        <f t="shared" si="29"/>
        <v>0</v>
      </c>
      <c r="N84" s="164"/>
      <c r="O84" s="164"/>
      <c r="P84" s="124">
        <f t="shared" si="30"/>
        <v>0</v>
      </c>
      <c r="Q84" s="120" t="e">
        <f t="shared" si="33"/>
        <v>#DIV/0!</v>
      </c>
      <c r="R84" s="168">
        <f t="shared" si="34"/>
        <v>0</v>
      </c>
      <c r="S84" s="168">
        <f t="shared" si="32"/>
        <v>0</v>
      </c>
      <c r="T84" s="125"/>
      <c r="U84" s="124"/>
      <c r="V84" s="120"/>
      <c r="W84" s="125"/>
      <c r="X84" s="125"/>
      <c r="Y84" s="166"/>
      <c r="Z84" s="168"/>
      <c r="AA84" s="168"/>
      <c r="AB84" s="168"/>
      <c r="AC84" s="168"/>
      <c r="AD84" s="124"/>
      <c r="AE84" s="120"/>
      <c r="AF84" s="120"/>
      <c r="AG84" s="120"/>
      <c r="AH84" s="120"/>
      <c r="AI84" s="120"/>
      <c r="AJ84" s="120"/>
      <c r="AK84" s="120"/>
      <c r="AL84" s="120"/>
    </row>
    <row r="85" spans="1:38">
      <c r="A85" s="13">
        <f t="shared" si="35"/>
        <v>78</v>
      </c>
      <c r="B85" s="128"/>
      <c r="C85" s="121"/>
      <c r="D85" s="121"/>
      <c r="E85" s="120"/>
      <c r="F85" s="121"/>
      <c r="G85" s="120"/>
      <c r="H85" s="122"/>
      <c r="I85" s="120"/>
      <c r="J85" s="120"/>
      <c r="K85" s="120"/>
      <c r="L85" s="120"/>
      <c r="M85" s="164">
        <f t="shared" si="29"/>
        <v>0</v>
      </c>
      <c r="N85" s="164"/>
      <c r="O85" s="164"/>
      <c r="P85" s="124">
        <f t="shared" si="30"/>
        <v>0</v>
      </c>
      <c r="Q85" s="120" t="e">
        <f t="shared" si="33"/>
        <v>#DIV/0!</v>
      </c>
      <c r="R85" s="168">
        <f t="shared" si="34"/>
        <v>0</v>
      </c>
      <c r="S85" s="168">
        <f t="shared" si="32"/>
        <v>0</v>
      </c>
      <c r="T85" s="125"/>
      <c r="U85" s="124"/>
      <c r="V85" s="120"/>
      <c r="W85" s="125"/>
      <c r="X85" s="125"/>
      <c r="Y85" s="166"/>
      <c r="Z85" s="168"/>
      <c r="AA85" s="168"/>
      <c r="AB85" s="168"/>
      <c r="AC85" s="168"/>
      <c r="AD85" s="124"/>
      <c r="AE85" s="120"/>
      <c r="AF85" s="120"/>
      <c r="AG85" s="120"/>
      <c r="AH85" s="120"/>
      <c r="AI85" s="120"/>
      <c r="AJ85" s="120"/>
      <c r="AK85" s="120"/>
      <c r="AL85" s="120"/>
    </row>
    <row r="86" spans="1:38">
      <c r="A86" s="13">
        <f t="shared" si="35"/>
        <v>79</v>
      </c>
      <c r="B86" s="128"/>
      <c r="C86" s="121"/>
      <c r="D86" s="121"/>
      <c r="E86" s="120"/>
      <c r="F86" s="121"/>
      <c r="G86" s="120"/>
      <c r="H86" s="122"/>
      <c r="I86" s="120"/>
      <c r="J86" s="120"/>
      <c r="K86" s="120"/>
      <c r="L86" s="120"/>
      <c r="M86" s="164">
        <f t="shared" si="29"/>
        <v>0</v>
      </c>
      <c r="N86" s="164"/>
      <c r="O86" s="164"/>
      <c r="P86" s="124">
        <f t="shared" si="30"/>
        <v>0</v>
      </c>
      <c r="Q86" s="120" t="e">
        <f t="shared" si="33"/>
        <v>#DIV/0!</v>
      </c>
      <c r="R86" s="168">
        <f t="shared" si="34"/>
        <v>0</v>
      </c>
      <c r="S86" s="168">
        <f t="shared" si="32"/>
        <v>0</v>
      </c>
      <c r="T86" s="125"/>
      <c r="U86" s="124"/>
      <c r="V86" s="120"/>
      <c r="W86" s="125"/>
      <c r="X86" s="125"/>
      <c r="Y86" s="166"/>
      <c r="Z86" s="168"/>
      <c r="AA86" s="168"/>
      <c r="AB86" s="168"/>
      <c r="AC86" s="168"/>
      <c r="AD86" s="124"/>
      <c r="AE86" s="120"/>
      <c r="AF86" s="120"/>
      <c r="AG86" s="120"/>
      <c r="AH86" s="120"/>
      <c r="AI86" s="120"/>
      <c r="AJ86" s="120"/>
      <c r="AK86" s="120"/>
      <c r="AL86" s="120"/>
    </row>
    <row r="87" spans="1:38">
      <c r="A87" s="13">
        <f t="shared" si="35"/>
        <v>80</v>
      </c>
      <c r="B87" s="128"/>
      <c r="C87" s="121"/>
      <c r="D87" s="121"/>
      <c r="E87" s="120"/>
      <c r="F87" s="121"/>
      <c r="G87" s="120"/>
      <c r="H87" s="122"/>
      <c r="I87" s="120"/>
      <c r="J87" s="120"/>
      <c r="K87" s="120"/>
      <c r="L87" s="120"/>
      <c r="M87" s="164">
        <f t="shared" si="29"/>
        <v>0</v>
      </c>
      <c r="N87" s="164"/>
      <c r="O87" s="164"/>
      <c r="P87" s="124">
        <f t="shared" si="30"/>
        <v>0</v>
      </c>
      <c r="Q87" s="120" t="e">
        <f t="shared" si="33"/>
        <v>#DIV/0!</v>
      </c>
      <c r="R87" s="168">
        <f t="shared" si="34"/>
        <v>0</v>
      </c>
      <c r="S87" s="168">
        <f t="shared" si="32"/>
        <v>0</v>
      </c>
      <c r="T87" s="125"/>
      <c r="U87" s="124"/>
      <c r="V87" s="120"/>
      <c r="W87" s="125"/>
      <c r="X87" s="125"/>
      <c r="Y87" s="166"/>
      <c r="Z87" s="168"/>
      <c r="AA87" s="168"/>
      <c r="AB87" s="168"/>
      <c r="AC87" s="168"/>
      <c r="AD87" s="124"/>
      <c r="AE87" s="120"/>
      <c r="AF87" s="120"/>
      <c r="AG87" s="120"/>
      <c r="AH87" s="120"/>
      <c r="AI87" s="120"/>
      <c r="AJ87" s="120"/>
      <c r="AK87" s="120"/>
      <c r="AL87" s="120"/>
    </row>
    <row r="88" spans="1:38">
      <c r="A88" s="13">
        <f t="shared" si="35"/>
        <v>81</v>
      </c>
      <c r="B88" s="128"/>
      <c r="C88" s="121"/>
      <c r="D88" s="121"/>
      <c r="E88" s="120"/>
      <c r="F88" s="121"/>
      <c r="G88" s="120"/>
      <c r="H88" s="122"/>
      <c r="I88" s="120"/>
      <c r="J88" s="120"/>
      <c r="K88" s="120"/>
      <c r="L88" s="120"/>
      <c r="M88" s="164">
        <f t="shared" si="29"/>
        <v>0</v>
      </c>
      <c r="N88" s="164"/>
      <c r="O88" s="164"/>
      <c r="P88" s="124">
        <f t="shared" si="30"/>
        <v>0</v>
      </c>
      <c r="Q88" s="120" t="e">
        <f t="shared" si="33"/>
        <v>#DIV/0!</v>
      </c>
      <c r="R88" s="168">
        <f t="shared" si="34"/>
        <v>0</v>
      </c>
      <c r="S88" s="168">
        <f t="shared" si="32"/>
        <v>0</v>
      </c>
      <c r="T88" s="125"/>
      <c r="U88" s="124"/>
      <c r="V88" s="120"/>
      <c r="W88" s="125"/>
      <c r="X88" s="125"/>
      <c r="Y88" s="166"/>
      <c r="Z88" s="168"/>
      <c r="AA88" s="168"/>
      <c r="AB88" s="168"/>
      <c r="AC88" s="168"/>
      <c r="AD88" s="124"/>
      <c r="AE88" s="120"/>
      <c r="AF88" s="120"/>
      <c r="AG88" s="120"/>
      <c r="AH88" s="120"/>
      <c r="AI88" s="120"/>
      <c r="AJ88" s="120"/>
      <c r="AK88" s="120"/>
      <c r="AL88" s="120"/>
    </row>
    <row r="89" spans="1:38">
      <c r="A89" s="13">
        <f t="shared" si="35"/>
        <v>82</v>
      </c>
      <c r="B89" s="128"/>
      <c r="C89" s="121"/>
      <c r="D89" s="121"/>
      <c r="E89" s="120"/>
      <c r="F89" s="121"/>
      <c r="G89" s="120"/>
      <c r="H89" s="122"/>
      <c r="I89" s="120"/>
      <c r="J89" s="120"/>
      <c r="K89" s="120"/>
      <c r="L89" s="120"/>
      <c r="M89" s="164">
        <f t="shared" si="29"/>
        <v>0</v>
      </c>
      <c r="N89" s="164"/>
      <c r="O89" s="164"/>
      <c r="P89" s="124">
        <f t="shared" si="30"/>
        <v>0</v>
      </c>
      <c r="Q89" s="120" t="e">
        <f t="shared" si="33"/>
        <v>#DIV/0!</v>
      </c>
      <c r="R89" s="168">
        <f t="shared" si="34"/>
        <v>0</v>
      </c>
      <c r="S89" s="168">
        <f t="shared" si="32"/>
        <v>0</v>
      </c>
      <c r="T89" s="125"/>
      <c r="U89" s="124"/>
      <c r="V89" s="120"/>
      <c r="W89" s="125"/>
      <c r="X89" s="125"/>
      <c r="Y89" s="166"/>
      <c r="Z89" s="168"/>
      <c r="AA89" s="168"/>
      <c r="AB89" s="168"/>
      <c r="AC89" s="168"/>
      <c r="AD89" s="124"/>
      <c r="AE89" s="120"/>
      <c r="AF89" s="120"/>
      <c r="AG89" s="120"/>
      <c r="AH89" s="120"/>
      <c r="AI89" s="120"/>
      <c r="AJ89" s="120"/>
      <c r="AK89" s="120"/>
      <c r="AL89" s="120"/>
    </row>
    <row r="90" spans="1:38">
      <c r="A90" s="13">
        <f t="shared" si="35"/>
        <v>83</v>
      </c>
      <c r="B90" s="128"/>
      <c r="C90" s="121"/>
      <c r="D90" s="121"/>
      <c r="E90" s="120"/>
      <c r="F90" s="121"/>
      <c r="G90" s="120"/>
      <c r="H90" s="122"/>
      <c r="I90" s="120"/>
      <c r="J90" s="120"/>
      <c r="K90" s="120"/>
      <c r="L90" s="120"/>
      <c r="M90" s="164">
        <f t="shared" si="29"/>
        <v>0</v>
      </c>
      <c r="N90" s="164"/>
      <c r="O90" s="164"/>
      <c r="P90" s="124">
        <f t="shared" si="30"/>
        <v>0</v>
      </c>
      <c r="Q90" s="120" t="e">
        <f t="shared" si="33"/>
        <v>#DIV/0!</v>
      </c>
      <c r="R90" s="168">
        <f t="shared" si="34"/>
        <v>0</v>
      </c>
      <c r="S90" s="168">
        <f t="shared" si="32"/>
        <v>0</v>
      </c>
      <c r="T90" s="125"/>
      <c r="U90" s="124"/>
      <c r="V90" s="120"/>
      <c r="W90" s="125"/>
      <c r="X90" s="125"/>
      <c r="Y90" s="166"/>
      <c r="Z90" s="168"/>
      <c r="AA90" s="168"/>
      <c r="AB90" s="168"/>
      <c r="AC90" s="168"/>
      <c r="AD90" s="124"/>
      <c r="AE90" s="120"/>
      <c r="AF90" s="120"/>
      <c r="AG90" s="120"/>
      <c r="AH90" s="120"/>
      <c r="AI90" s="120"/>
      <c r="AJ90" s="120"/>
      <c r="AK90" s="120"/>
      <c r="AL90" s="120"/>
    </row>
    <row r="91" spans="1:38">
      <c r="A91" s="13">
        <f t="shared" si="35"/>
        <v>84</v>
      </c>
      <c r="B91" s="128"/>
      <c r="C91" s="121"/>
      <c r="D91" s="121"/>
      <c r="E91" s="120"/>
      <c r="F91" s="121"/>
      <c r="G91" s="120"/>
      <c r="H91" s="122"/>
      <c r="I91" s="120"/>
      <c r="J91" s="120"/>
      <c r="K91" s="120"/>
      <c r="L91" s="120"/>
      <c r="M91" s="164">
        <f t="shared" si="29"/>
        <v>0</v>
      </c>
      <c r="N91" s="164"/>
      <c r="O91" s="164"/>
      <c r="P91" s="124">
        <f t="shared" si="30"/>
        <v>0</v>
      </c>
      <c r="Q91" s="120" t="e">
        <f t="shared" si="33"/>
        <v>#DIV/0!</v>
      </c>
      <c r="R91" s="168">
        <f t="shared" si="34"/>
        <v>0</v>
      </c>
      <c r="S91" s="168">
        <f t="shared" si="32"/>
        <v>0</v>
      </c>
      <c r="T91" s="125"/>
      <c r="U91" s="124"/>
      <c r="V91" s="120"/>
      <c r="W91" s="125"/>
      <c r="X91" s="125"/>
      <c r="Y91" s="166"/>
      <c r="Z91" s="168"/>
      <c r="AA91" s="168"/>
      <c r="AB91" s="168"/>
      <c r="AC91" s="168"/>
      <c r="AD91" s="124"/>
      <c r="AE91" s="120"/>
      <c r="AF91" s="120"/>
      <c r="AG91" s="120"/>
      <c r="AH91" s="120"/>
      <c r="AI91" s="120"/>
      <c r="AJ91" s="120"/>
      <c r="AK91" s="120"/>
      <c r="AL91" s="120"/>
    </row>
    <row r="92" spans="1:38">
      <c r="A92" s="13">
        <f t="shared" si="35"/>
        <v>85</v>
      </c>
      <c r="B92" s="128"/>
      <c r="C92" s="121"/>
      <c r="D92" s="121"/>
      <c r="E92" s="120"/>
      <c r="F92" s="121"/>
      <c r="G92" s="120"/>
      <c r="H92" s="122"/>
      <c r="I92" s="120"/>
      <c r="J92" s="120"/>
      <c r="K92" s="120"/>
      <c r="L92" s="120"/>
      <c r="M92" s="164">
        <f t="shared" si="29"/>
        <v>0</v>
      </c>
      <c r="N92" s="164"/>
      <c r="O92" s="164"/>
      <c r="P92" s="124">
        <f t="shared" si="30"/>
        <v>0</v>
      </c>
      <c r="Q92" s="120" t="e">
        <f t="shared" si="33"/>
        <v>#DIV/0!</v>
      </c>
      <c r="R92" s="168">
        <f t="shared" si="34"/>
        <v>0</v>
      </c>
      <c r="S92" s="168">
        <f t="shared" si="32"/>
        <v>0</v>
      </c>
      <c r="T92" s="125"/>
      <c r="U92" s="124"/>
      <c r="V92" s="120"/>
      <c r="W92" s="125"/>
      <c r="X92" s="125"/>
      <c r="Y92" s="166"/>
      <c r="Z92" s="168"/>
      <c r="AA92" s="168"/>
      <c r="AB92" s="168"/>
      <c r="AC92" s="168"/>
      <c r="AD92" s="124"/>
      <c r="AE92" s="120"/>
      <c r="AF92" s="120"/>
      <c r="AG92" s="120"/>
      <c r="AH92" s="120"/>
      <c r="AI92" s="120"/>
      <c r="AJ92" s="120"/>
      <c r="AK92" s="120"/>
      <c r="AL92" s="120"/>
    </row>
    <row r="93" spans="1:38">
      <c r="A93" s="13">
        <f t="shared" si="35"/>
        <v>86</v>
      </c>
      <c r="B93" s="128"/>
      <c r="C93" s="121"/>
      <c r="D93" s="121"/>
      <c r="E93" s="120"/>
      <c r="F93" s="121"/>
      <c r="G93" s="120"/>
      <c r="H93" s="122"/>
      <c r="I93" s="120"/>
      <c r="J93" s="120"/>
      <c r="K93" s="120"/>
      <c r="L93" s="120"/>
      <c r="M93" s="164">
        <f t="shared" si="29"/>
        <v>0</v>
      </c>
      <c r="N93" s="164"/>
      <c r="O93" s="164"/>
      <c r="P93" s="124">
        <f t="shared" si="30"/>
        <v>0</v>
      </c>
      <c r="Q93" s="120" t="e">
        <f t="shared" si="33"/>
        <v>#DIV/0!</v>
      </c>
      <c r="R93" s="168">
        <f t="shared" si="34"/>
        <v>0</v>
      </c>
      <c r="S93" s="168">
        <f t="shared" si="32"/>
        <v>0</v>
      </c>
      <c r="T93" s="125"/>
      <c r="U93" s="124"/>
      <c r="V93" s="120"/>
      <c r="W93" s="125"/>
      <c r="X93" s="125"/>
      <c r="Y93" s="166"/>
      <c r="Z93" s="168"/>
      <c r="AA93" s="168"/>
      <c r="AB93" s="168"/>
      <c r="AC93" s="168"/>
      <c r="AD93" s="124"/>
      <c r="AE93" s="120"/>
      <c r="AF93" s="120"/>
      <c r="AG93" s="120"/>
      <c r="AH93" s="120"/>
      <c r="AI93" s="120"/>
      <c r="AJ93" s="120"/>
      <c r="AK93" s="120"/>
      <c r="AL93" s="120"/>
    </row>
    <row r="94" spans="1:38">
      <c r="A94" s="13">
        <f t="shared" si="35"/>
        <v>87</v>
      </c>
      <c r="B94" s="128"/>
      <c r="C94" s="121"/>
      <c r="D94" s="121"/>
      <c r="E94" s="120"/>
      <c r="F94" s="121"/>
      <c r="G94" s="120"/>
      <c r="H94" s="122"/>
      <c r="I94" s="120"/>
      <c r="J94" s="120"/>
      <c r="K94" s="120"/>
      <c r="L94" s="120"/>
      <c r="M94" s="164">
        <f t="shared" si="29"/>
        <v>0</v>
      </c>
      <c r="N94" s="164"/>
      <c r="O94" s="164"/>
      <c r="P94" s="124">
        <f t="shared" si="30"/>
        <v>0</v>
      </c>
      <c r="Q94" s="120" t="e">
        <f t="shared" si="33"/>
        <v>#DIV/0!</v>
      </c>
      <c r="R94" s="168">
        <f t="shared" si="34"/>
        <v>0</v>
      </c>
      <c r="S94" s="168">
        <f t="shared" si="32"/>
        <v>0</v>
      </c>
      <c r="T94" s="125"/>
      <c r="U94" s="124"/>
      <c r="V94" s="120"/>
      <c r="W94" s="125"/>
      <c r="X94" s="125"/>
      <c r="Y94" s="166"/>
      <c r="Z94" s="168"/>
      <c r="AA94" s="168"/>
      <c r="AB94" s="168"/>
      <c r="AC94" s="168"/>
      <c r="AD94" s="124"/>
      <c r="AE94" s="120"/>
      <c r="AF94" s="120"/>
      <c r="AG94" s="120"/>
      <c r="AH94" s="120"/>
      <c r="AI94" s="120"/>
      <c r="AJ94" s="120"/>
      <c r="AK94" s="120"/>
      <c r="AL94" s="120"/>
    </row>
    <row r="95" spans="1:38">
      <c r="A95" s="13">
        <f t="shared" si="35"/>
        <v>88</v>
      </c>
      <c r="B95" s="128"/>
      <c r="C95" s="121"/>
      <c r="D95" s="121"/>
      <c r="E95" s="120"/>
      <c r="F95" s="121"/>
      <c r="G95" s="120"/>
      <c r="H95" s="122"/>
      <c r="I95" s="120"/>
      <c r="J95" s="120"/>
      <c r="K95" s="120"/>
      <c r="L95" s="120"/>
      <c r="M95" s="164">
        <f t="shared" si="29"/>
        <v>0</v>
      </c>
      <c r="N95" s="164"/>
      <c r="O95" s="164"/>
      <c r="P95" s="124">
        <f t="shared" si="30"/>
        <v>0</v>
      </c>
      <c r="Q95" s="120" t="e">
        <f t="shared" si="33"/>
        <v>#DIV/0!</v>
      </c>
      <c r="R95" s="168">
        <f t="shared" si="34"/>
        <v>0</v>
      </c>
      <c r="S95" s="168">
        <f t="shared" si="32"/>
        <v>0</v>
      </c>
      <c r="T95" s="125"/>
      <c r="U95" s="124"/>
      <c r="V95" s="120"/>
      <c r="W95" s="125"/>
      <c r="X95" s="125"/>
      <c r="Y95" s="166"/>
      <c r="Z95" s="168"/>
      <c r="AA95" s="168"/>
      <c r="AB95" s="168"/>
      <c r="AC95" s="168"/>
      <c r="AD95" s="124"/>
      <c r="AE95" s="120"/>
      <c r="AF95" s="120"/>
      <c r="AG95" s="120"/>
      <c r="AH95" s="120"/>
      <c r="AI95" s="120"/>
      <c r="AJ95" s="120"/>
      <c r="AK95" s="120"/>
      <c r="AL95" s="120"/>
    </row>
    <row r="96" spans="1:38">
      <c r="A96" s="13">
        <f t="shared" si="35"/>
        <v>89</v>
      </c>
      <c r="B96" s="128"/>
      <c r="C96" s="121"/>
      <c r="D96" s="121"/>
      <c r="E96" s="120"/>
      <c r="F96" s="121"/>
      <c r="G96" s="120"/>
      <c r="H96" s="122"/>
      <c r="I96" s="120"/>
      <c r="J96" s="120"/>
      <c r="K96" s="120"/>
      <c r="L96" s="120"/>
      <c r="M96" s="164">
        <f t="shared" si="29"/>
        <v>0</v>
      </c>
      <c r="N96" s="164"/>
      <c r="O96" s="164"/>
      <c r="P96" s="124">
        <f t="shared" si="30"/>
        <v>0</v>
      </c>
      <c r="Q96" s="120" t="e">
        <f t="shared" si="33"/>
        <v>#DIV/0!</v>
      </c>
      <c r="R96" s="168">
        <f t="shared" si="34"/>
        <v>0</v>
      </c>
      <c r="S96" s="168">
        <f t="shared" si="32"/>
        <v>0</v>
      </c>
      <c r="T96" s="125"/>
      <c r="U96" s="124"/>
      <c r="V96" s="120"/>
      <c r="W96" s="125"/>
      <c r="X96" s="125"/>
      <c r="Y96" s="166"/>
      <c r="Z96" s="168"/>
      <c r="AA96" s="168"/>
      <c r="AB96" s="168"/>
      <c r="AC96" s="168"/>
      <c r="AD96" s="124"/>
      <c r="AE96" s="120"/>
      <c r="AF96" s="120"/>
      <c r="AG96" s="120"/>
      <c r="AH96" s="120"/>
      <c r="AI96" s="120"/>
      <c r="AJ96" s="120"/>
      <c r="AK96" s="120"/>
      <c r="AL96" s="120"/>
    </row>
    <row r="97" spans="1:38">
      <c r="A97" s="13">
        <f t="shared" si="35"/>
        <v>90</v>
      </c>
      <c r="B97" s="128"/>
      <c r="C97" s="121"/>
      <c r="D97" s="121"/>
      <c r="E97" s="120"/>
      <c r="F97" s="121"/>
      <c r="G97" s="120"/>
      <c r="H97" s="122"/>
      <c r="I97" s="120"/>
      <c r="J97" s="120"/>
      <c r="K97" s="120"/>
      <c r="L97" s="120"/>
      <c r="M97" s="164">
        <f t="shared" si="29"/>
        <v>0</v>
      </c>
      <c r="N97" s="164"/>
      <c r="O97" s="164"/>
      <c r="P97" s="124">
        <f t="shared" si="30"/>
        <v>0</v>
      </c>
      <c r="Q97" s="120" t="e">
        <f t="shared" si="33"/>
        <v>#DIV/0!</v>
      </c>
      <c r="R97" s="168">
        <f t="shared" si="34"/>
        <v>0</v>
      </c>
      <c r="S97" s="168">
        <f t="shared" si="32"/>
        <v>0</v>
      </c>
      <c r="T97" s="125"/>
      <c r="U97" s="124"/>
      <c r="V97" s="120"/>
      <c r="W97" s="125"/>
      <c r="X97" s="125"/>
      <c r="Y97" s="166"/>
      <c r="Z97" s="168"/>
      <c r="AA97" s="168"/>
      <c r="AB97" s="168"/>
      <c r="AC97" s="168"/>
      <c r="AD97" s="124"/>
      <c r="AE97" s="120"/>
      <c r="AF97" s="120"/>
      <c r="AG97" s="120"/>
      <c r="AH97" s="120"/>
      <c r="AI97" s="120"/>
      <c r="AJ97" s="120"/>
      <c r="AK97" s="120"/>
      <c r="AL97" s="120"/>
    </row>
    <row r="98" spans="1:38">
      <c r="A98" s="13">
        <f t="shared" si="35"/>
        <v>91</v>
      </c>
      <c r="B98" s="128"/>
      <c r="C98" s="121"/>
      <c r="D98" s="121"/>
      <c r="E98" s="120"/>
      <c r="F98" s="121"/>
      <c r="G98" s="120"/>
      <c r="H98" s="122"/>
      <c r="I98" s="120"/>
      <c r="J98" s="120"/>
      <c r="K98" s="120"/>
      <c r="L98" s="120"/>
      <c r="M98" s="164">
        <f t="shared" si="29"/>
        <v>0</v>
      </c>
      <c r="N98" s="164"/>
      <c r="O98" s="164"/>
      <c r="P98" s="124">
        <f t="shared" si="30"/>
        <v>0</v>
      </c>
      <c r="Q98" s="120" t="e">
        <f t="shared" si="33"/>
        <v>#DIV/0!</v>
      </c>
      <c r="R98" s="168">
        <f t="shared" si="34"/>
        <v>0</v>
      </c>
      <c r="S98" s="168">
        <f t="shared" si="32"/>
        <v>0</v>
      </c>
      <c r="T98" s="125"/>
      <c r="U98" s="124"/>
      <c r="V98" s="120"/>
      <c r="W98" s="125"/>
      <c r="X98" s="125"/>
      <c r="Y98" s="166"/>
      <c r="Z98" s="168"/>
      <c r="AA98" s="168"/>
      <c r="AB98" s="168"/>
      <c r="AC98" s="168"/>
      <c r="AD98" s="124"/>
      <c r="AE98" s="120"/>
      <c r="AF98" s="120"/>
      <c r="AG98" s="120"/>
      <c r="AH98" s="120"/>
      <c r="AI98" s="120"/>
      <c r="AJ98" s="120"/>
      <c r="AK98" s="120"/>
      <c r="AL98" s="120"/>
    </row>
    <row r="99" spans="1:38">
      <c r="A99" s="13">
        <f t="shared" si="35"/>
        <v>92</v>
      </c>
      <c r="B99" s="128"/>
      <c r="C99" s="121"/>
      <c r="D99" s="121"/>
      <c r="E99" s="120"/>
      <c r="F99" s="121"/>
      <c r="G99" s="120"/>
      <c r="H99" s="122"/>
      <c r="I99" s="120"/>
      <c r="J99" s="120"/>
      <c r="K99" s="120"/>
      <c r="L99" s="120"/>
      <c r="M99" s="164">
        <f t="shared" si="29"/>
        <v>0</v>
      </c>
      <c r="N99" s="164"/>
      <c r="O99" s="164"/>
      <c r="P99" s="124">
        <f t="shared" si="30"/>
        <v>0</v>
      </c>
      <c r="Q99" s="120" t="e">
        <f t="shared" si="33"/>
        <v>#DIV/0!</v>
      </c>
      <c r="R99" s="168">
        <f t="shared" si="34"/>
        <v>0</v>
      </c>
      <c r="S99" s="168">
        <f t="shared" si="32"/>
        <v>0</v>
      </c>
      <c r="T99" s="125"/>
      <c r="U99" s="124"/>
      <c r="V99" s="120"/>
      <c r="W99" s="125"/>
      <c r="X99" s="125"/>
      <c r="Y99" s="166"/>
      <c r="Z99" s="168"/>
      <c r="AA99" s="168"/>
      <c r="AB99" s="168"/>
      <c r="AC99" s="168"/>
      <c r="AD99" s="124"/>
      <c r="AE99" s="120"/>
      <c r="AF99" s="120"/>
      <c r="AG99" s="120"/>
      <c r="AH99" s="120"/>
      <c r="AI99" s="120"/>
      <c r="AJ99" s="120"/>
      <c r="AK99" s="120"/>
      <c r="AL99" s="120"/>
    </row>
    <row r="100" spans="1:38">
      <c r="A100" s="13">
        <f t="shared" si="35"/>
        <v>93</v>
      </c>
      <c r="B100" s="128"/>
      <c r="C100" s="121"/>
      <c r="D100" s="121"/>
      <c r="E100" s="120"/>
      <c r="F100" s="121"/>
      <c r="G100" s="120"/>
      <c r="H100" s="122"/>
      <c r="I100" s="120"/>
      <c r="J100" s="120"/>
      <c r="K100" s="120"/>
      <c r="L100" s="120"/>
      <c r="M100" s="164">
        <f t="shared" si="29"/>
        <v>0</v>
      </c>
      <c r="N100" s="164"/>
      <c r="O100" s="164"/>
      <c r="P100" s="124">
        <f t="shared" si="30"/>
        <v>0</v>
      </c>
      <c r="Q100" s="120" t="e">
        <f t="shared" si="33"/>
        <v>#DIV/0!</v>
      </c>
      <c r="R100" s="168">
        <f t="shared" si="34"/>
        <v>0</v>
      </c>
      <c r="S100" s="168">
        <f t="shared" si="32"/>
        <v>0</v>
      </c>
      <c r="T100" s="125"/>
      <c r="U100" s="124"/>
      <c r="V100" s="120"/>
      <c r="W100" s="125"/>
      <c r="X100" s="125"/>
      <c r="Y100" s="166"/>
      <c r="Z100" s="168"/>
      <c r="AA100" s="168"/>
      <c r="AB100" s="168"/>
      <c r="AC100" s="168"/>
      <c r="AD100" s="124"/>
      <c r="AE100" s="120"/>
      <c r="AF100" s="120"/>
      <c r="AG100" s="120"/>
      <c r="AH100" s="120"/>
      <c r="AI100" s="120"/>
      <c r="AJ100" s="120"/>
      <c r="AK100" s="120"/>
      <c r="AL100" s="120"/>
    </row>
    <row r="101" spans="1:38">
      <c r="A101" s="13">
        <f t="shared" si="35"/>
        <v>94</v>
      </c>
      <c r="B101" s="128"/>
      <c r="C101" s="121"/>
      <c r="D101" s="121"/>
      <c r="E101" s="120"/>
      <c r="F101" s="121"/>
      <c r="G101" s="120"/>
      <c r="H101" s="122"/>
      <c r="I101" s="120"/>
      <c r="J101" s="120"/>
      <c r="K101" s="120"/>
      <c r="L101" s="120"/>
      <c r="M101" s="164">
        <f t="shared" si="29"/>
        <v>0</v>
      </c>
      <c r="N101" s="164"/>
      <c r="O101" s="164"/>
      <c r="P101" s="124">
        <f t="shared" si="30"/>
        <v>0</v>
      </c>
      <c r="Q101" s="120" t="e">
        <f t="shared" si="33"/>
        <v>#DIV/0!</v>
      </c>
      <c r="R101" s="168">
        <f t="shared" si="34"/>
        <v>0</v>
      </c>
      <c r="S101" s="168">
        <f t="shared" si="32"/>
        <v>0</v>
      </c>
      <c r="T101" s="125"/>
      <c r="U101" s="124"/>
      <c r="V101" s="120"/>
      <c r="W101" s="125"/>
      <c r="X101" s="125"/>
      <c r="Y101" s="166"/>
      <c r="Z101" s="168"/>
      <c r="AA101" s="168"/>
      <c r="AB101" s="168"/>
      <c r="AC101" s="168"/>
      <c r="AD101" s="124"/>
      <c r="AE101" s="120"/>
      <c r="AF101" s="120"/>
      <c r="AG101" s="120"/>
      <c r="AH101" s="120"/>
      <c r="AI101" s="120"/>
      <c r="AJ101" s="120"/>
      <c r="AK101" s="120"/>
      <c r="AL101" s="120"/>
    </row>
    <row r="102" spans="1:38">
      <c r="A102" s="13">
        <f t="shared" si="35"/>
        <v>95</v>
      </c>
      <c r="B102" s="128"/>
      <c r="C102" s="121"/>
      <c r="D102" s="121"/>
      <c r="E102" s="120"/>
      <c r="F102" s="121"/>
      <c r="G102" s="120"/>
      <c r="H102" s="122"/>
      <c r="I102" s="120"/>
      <c r="J102" s="120"/>
      <c r="K102" s="120"/>
      <c r="L102" s="120"/>
      <c r="M102" s="164">
        <f t="shared" si="29"/>
        <v>0</v>
      </c>
      <c r="N102" s="164"/>
      <c r="O102" s="164"/>
      <c r="P102" s="124">
        <f t="shared" si="30"/>
        <v>0</v>
      </c>
      <c r="Q102" s="120" t="e">
        <f t="shared" si="33"/>
        <v>#DIV/0!</v>
      </c>
      <c r="R102" s="168">
        <f t="shared" si="34"/>
        <v>0</v>
      </c>
      <c r="S102" s="168">
        <f t="shared" si="32"/>
        <v>0</v>
      </c>
      <c r="T102" s="125"/>
      <c r="U102" s="124"/>
      <c r="V102" s="120"/>
      <c r="W102" s="125"/>
      <c r="X102" s="125"/>
      <c r="Y102" s="166"/>
      <c r="Z102" s="168"/>
      <c r="AA102" s="168"/>
      <c r="AB102" s="168"/>
      <c r="AC102" s="168"/>
      <c r="AD102" s="124"/>
      <c r="AE102" s="120"/>
      <c r="AF102" s="120"/>
      <c r="AG102" s="120"/>
      <c r="AH102" s="120"/>
      <c r="AI102" s="120"/>
      <c r="AJ102" s="120"/>
      <c r="AK102" s="120"/>
      <c r="AL102" s="120"/>
    </row>
    <row r="103" spans="1:38">
      <c r="A103" s="13">
        <f t="shared" si="35"/>
        <v>96</v>
      </c>
      <c r="B103" s="128"/>
      <c r="C103" s="121"/>
      <c r="D103" s="121"/>
      <c r="E103" s="120"/>
      <c r="F103" s="121"/>
      <c r="G103" s="120"/>
      <c r="H103" s="122"/>
      <c r="I103" s="120"/>
      <c r="J103" s="120"/>
      <c r="K103" s="120"/>
      <c r="L103" s="120"/>
      <c r="M103" s="164">
        <f t="shared" si="29"/>
        <v>0</v>
      </c>
      <c r="N103" s="164"/>
      <c r="O103" s="164"/>
      <c r="P103" s="124">
        <f t="shared" si="30"/>
        <v>0</v>
      </c>
      <c r="Q103" s="120" t="e">
        <f t="shared" si="33"/>
        <v>#DIV/0!</v>
      </c>
      <c r="R103" s="168">
        <f t="shared" si="34"/>
        <v>0</v>
      </c>
      <c r="S103" s="168">
        <f t="shared" si="32"/>
        <v>0</v>
      </c>
      <c r="T103" s="125"/>
      <c r="U103" s="124"/>
      <c r="V103" s="120"/>
      <c r="W103" s="125"/>
      <c r="X103" s="125"/>
      <c r="Y103" s="166"/>
      <c r="Z103" s="168"/>
      <c r="AA103" s="168"/>
      <c r="AB103" s="168"/>
      <c r="AC103" s="168"/>
      <c r="AD103" s="124"/>
      <c r="AE103" s="120"/>
      <c r="AF103" s="120"/>
      <c r="AG103" s="120"/>
      <c r="AH103" s="120"/>
      <c r="AI103" s="120"/>
      <c r="AJ103" s="120"/>
      <c r="AK103" s="120"/>
      <c r="AL103" s="120"/>
    </row>
    <row r="104" spans="1:38">
      <c r="A104" s="13">
        <f t="shared" si="35"/>
        <v>97</v>
      </c>
      <c r="B104" s="128"/>
      <c r="C104" s="121"/>
      <c r="D104" s="121"/>
      <c r="E104" s="120"/>
      <c r="F104" s="121"/>
      <c r="G104" s="120"/>
      <c r="H104" s="122"/>
      <c r="I104" s="120"/>
      <c r="J104" s="120"/>
      <c r="K104" s="120"/>
      <c r="L104" s="120"/>
      <c r="M104" s="164">
        <f t="shared" si="29"/>
        <v>0</v>
      </c>
      <c r="N104" s="164"/>
      <c r="O104" s="164"/>
      <c r="P104" s="124">
        <f t="shared" si="30"/>
        <v>0</v>
      </c>
      <c r="Q104" s="120" t="e">
        <f t="shared" si="33"/>
        <v>#DIV/0!</v>
      </c>
      <c r="R104" s="168">
        <f t="shared" si="34"/>
        <v>0</v>
      </c>
      <c r="S104" s="168">
        <f t="shared" si="32"/>
        <v>0</v>
      </c>
      <c r="T104" s="125"/>
      <c r="U104" s="124"/>
      <c r="V104" s="120"/>
      <c r="W104" s="125"/>
      <c r="X104" s="125"/>
      <c r="Y104" s="166"/>
      <c r="Z104" s="168"/>
      <c r="AA104" s="168"/>
      <c r="AB104" s="168"/>
      <c r="AC104" s="168"/>
      <c r="AD104" s="124"/>
      <c r="AE104" s="120"/>
      <c r="AF104" s="120"/>
      <c r="AG104" s="120"/>
      <c r="AH104" s="120"/>
      <c r="AI104" s="120"/>
      <c r="AJ104" s="120"/>
      <c r="AK104" s="120"/>
      <c r="AL104" s="120"/>
    </row>
    <row r="105" spans="1:38">
      <c r="A105" s="13">
        <f t="shared" si="35"/>
        <v>98</v>
      </c>
      <c r="B105" s="128"/>
      <c r="C105" s="121"/>
      <c r="D105" s="121"/>
      <c r="E105" s="120"/>
      <c r="F105" s="121"/>
      <c r="G105" s="120"/>
      <c r="H105" s="122"/>
      <c r="I105" s="120"/>
      <c r="J105" s="120"/>
      <c r="K105" s="120"/>
      <c r="L105" s="120"/>
      <c r="M105" s="164">
        <f t="shared" si="29"/>
        <v>0</v>
      </c>
      <c r="N105" s="164"/>
      <c r="O105" s="164"/>
      <c r="P105" s="124">
        <f t="shared" si="30"/>
        <v>0</v>
      </c>
      <c r="Q105" s="120" t="e">
        <f t="shared" si="33"/>
        <v>#DIV/0!</v>
      </c>
      <c r="R105" s="168">
        <f t="shared" si="34"/>
        <v>0</v>
      </c>
      <c r="S105" s="168">
        <f t="shared" si="32"/>
        <v>0</v>
      </c>
      <c r="T105" s="125"/>
      <c r="U105" s="124"/>
      <c r="V105" s="120"/>
      <c r="W105" s="125"/>
      <c r="X105" s="125"/>
      <c r="Y105" s="166"/>
      <c r="Z105" s="168"/>
      <c r="AA105" s="168"/>
      <c r="AB105" s="168"/>
      <c r="AC105" s="168"/>
      <c r="AD105" s="124"/>
      <c r="AE105" s="120"/>
      <c r="AF105" s="120"/>
      <c r="AG105" s="120"/>
      <c r="AH105" s="120"/>
      <c r="AI105" s="120"/>
      <c r="AJ105" s="120"/>
      <c r="AK105" s="120"/>
      <c r="AL105" s="120"/>
    </row>
    <row r="106" spans="1:38">
      <c r="A106" s="13">
        <f t="shared" si="35"/>
        <v>99</v>
      </c>
      <c r="B106" s="128"/>
      <c r="C106" s="121"/>
      <c r="D106" s="121"/>
      <c r="E106" s="120"/>
      <c r="F106" s="121"/>
      <c r="G106" s="120"/>
      <c r="H106" s="122"/>
      <c r="I106" s="120"/>
      <c r="J106" s="120"/>
      <c r="K106" s="120"/>
      <c r="L106" s="120"/>
      <c r="M106" s="164">
        <f t="shared" si="29"/>
        <v>0</v>
      </c>
      <c r="N106" s="164"/>
      <c r="O106" s="164"/>
      <c r="P106" s="124">
        <f t="shared" si="30"/>
        <v>0</v>
      </c>
      <c r="Q106" s="120" t="e">
        <f t="shared" si="33"/>
        <v>#DIV/0!</v>
      </c>
      <c r="R106" s="168">
        <f t="shared" si="34"/>
        <v>0</v>
      </c>
      <c r="S106" s="168">
        <f t="shared" si="32"/>
        <v>0</v>
      </c>
      <c r="T106" s="125"/>
      <c r="U106" s="124"/>
      <c r="V106" s="120"/>
      <c r="W106" s="125"/>
      <c r="X106" s="125"/>
      <c r="Y106" s="166"/>
      <c r="Z106" s="168"/>
      <c r="AA106" s="168"/>
      <c r="AB106" s="168"/>
      <c r="AC106" s="168"/>
      <c r="AD106" s="124"/>
      <c r="AE106" s="120"/>
      <c r="AF106" s="120"/>
      <c r="AG106" s="120"/>
      <c r="AH106" s="120"/>
      <c r="AI106" s="120"/>
      <c r="AJ106" s="120"/>
      <c r="AK106" s="120"/>
      <c r="AL106" s="120"/>
    </row>
    <row r="107" spans="1:38">
      <c r="A107" s="13">
        <f t="shared" si="35"/>
        <v>100</v>
      </c>
      <c r="B107" s="128"/>
      <c r="C107" s="121"/>
      <c r="D107" s="121"/>
      <c r="E107" s="120"/>
      <c r="F107" s="121"/>
      <c r="G107" s="120"/>
      <c r="H107" s="122"/>
      <c r="I107" s="120"/>
      <c r="J107" s="120"/>
      <c r="K107" s="120"/>
      <c r="L107" s="120"/>
      <c r="M107" s="164">
        <f t="shared" si="29"/>
        <v>0</v>
      </c>
      <c r="N107" s="164"/>
      <c r="O107" s="164"/>
      <c r="P107" s="124">
        <f t="shared" si="30"/>
        <v>0</v>
      </c>
      <c r="Q107" s="120" t="e">
        <f t="shared" si="33"/>
        <v>#DIV/0!</v>
      </c>
      <c r="R107" s="168">
        <f t="shared" si="34"/>
        <v>0</v>
      </c>
      <c r="S107" s="168">
        <f t="shared" si="32"/>
        <v>0</v>
      </c>
      <c r="T107" s="125"/>
      <c r="U107" s="124"/>
      <c r="V107" s="120"/>
      <c r="W107" s="125"/>
      <c r="X107" s="125"/>
      <c r="Y107" s="166"/>
      <c r="Z107" s="168"/>
      <c r="AA107" s="168"/>
      <c r="AB107" s="168"/>
      <c r="AC107" s="168"/>
      <c r="AD107" s="124"/>
      <c r="AE107" s="120"/>
      <c r="AF107" s="120"/>
      <c r="AG107" s="120"/>
      <c r="AH107" s="120"/>
      <c r="AI107" s="120"/>
      <c r="AJ107" s="120"/>
      <c r="AK107" s="120"/>
      <c r="AL107" s="120"/>
    </row>
    <row r="108" spans="1:38">
      <c r="A108" s="13">
        <f t="shared" si="35"/>
        <v>101</v>
      </c>
      <c r="B108" s="128"/>
      <c r="C108" s="121"/>
      <c r="D108" s="121"/>
      <c r="E108" s="120"/>
      <c r="F108" s="121"/>
      <c r="G108" s="120"/>
      <c r="H108" s="122"/>
      <c r="I108" s="120"/>
      <c r="J108" s="120"/>
      <c r="K108" s="120"/>
      <c r="L108" s="120"/>
      <c r="M108" s="164">
        <f t="shared" si="29"/>
        <v>0</v>
      </c>
      <c r="N108" s="164"/>
      <c r="O108" s="164"/>
      <c r="P108" s="124">
        <f t="shared" si="30"/>
        <v>0</v>
      </c>
      <c r="Q108" s="120" t="e">
        <f t="shared" si="33"/>
        <v>#DIV/0!</v>
      </c>
      <c r="R108" s="168">
        <f t="shared" si="34"/>
        <v>0</v>
      </c>
      <c r="S108" s="168">
        <f t="shared" si="32"/>
        <v>0</v>
      </c>
      <c r="T108" s="125"/>
      <c r="U108" s="124"/>
      <c r="V108" s="120"/>
      <c r="W108" s="125"/>
      <c r="X108" s="125"/>
      <c r="Y108" s="166"/>
      <c r="Z108" s="168"/>
      <c r="AA108" s="168"/>
      <c r="AB108" s="168"/>
      <c r="AC108" s="168"/>
      <c r="AD108" s="124"/>
      <c r="AE108" s="120"/>
      <c r="AF108" s="120"/>
      <c r="AG108" s="120"/>
      <c r="AH108" s="120"/>
      <c r="AI108" s="120"/>
      <c r="AJ108" s="120"/>
      <c r="AK108" s="120"/>
      <c r="AL108" s="120"/>
    </row>
    <row r="109" spans="1:38">
      <c r="A109" s="13">
        <f t="shared" si="35"/>
        <v>102</v>
      </c>
      <c r="B109" s="128"/>
      <c r="C109" s="121"/>
      <c r="D109" s="121"/>
      <c r="E109" s="120"/>
      <c r="F109" s="121"/>
      <c r="G109" s="120"/>
      <c r="H109" s="122"/>
      <c r="I109" s="120"/>
      <c r="J109" s="120"/>
      <c r="K109" s="120"/>
      <c r="L109" s="120"/>
      <c r="M109" s="164">
        <f t="shared" si="29"/>
        <v>0</v>
      </c>
      <c r="N109" s="164"/>
      <c r="O109" s="164"/>
      <c r="P109" s="124">
        <f t="shared" si="30"/>
        <v>0</v>
      </c>
      <c r="Q109" s="120" t="e">
        <f t="shared" si="33"/>
        <v>#DIV/0!</v>
      </c>
      <c r="R109" s="168">
        <f t="shared" si="34"/>
        <v>0</v>
      </c>
      <c r="S109" s="168">
        <f t="shared" si="32"/>
        <v>0</v>
      </c>
      <c r="T109" s="125"/>
      <c r="U109" s="124"/>
      <c r="V109" s="120"/>
      <c r="W109" s="125"/>
      <c r="X109" s="125"/>
      <c r="Y109" s="166"/>
      <c r="Z109" s="168"/>
      <c r="AA109" s="168"/>
      <c r="AB109" s="168"/>
      <c r="AC109" s="168"/>
      <c r="AD109" s="124"/>
      <c r="AE109" s="120"/>
      <c r="AF109" s="120"/>
      <c r="AG109" s="120"/>
      <c r="AH109" s="120"/>
      <c r="AI109" s="120"/>
      <c r="AJ109" s="120"/>
      <c r="AK109" s="120"/>
      <c r="AL109" s="120"/>
    </row>
    <row r="110" spans="1:38">
      <c r="A110" s="13">
        <f t="shared" si="35"/>
        <v>103</v>
      </c>
      <c r="B110" s="128"/>
      <c r="C110" s="121"/>
      <c r="D110" s="121"/>
      <c r="E110" s="120"/>
      <c r="F110" s="121"/>
      <c r="G110" s="120"/>
      <c r="H110" s="122"/>
      <c r="I110" s="120"/>
      <c r="J110" s="120"/>
      <c r="K110" s="120"/>
      <c r="L110" s="120"/>
      <c r="M110" s="164">
        <f t="shared" si="29"/>
        <v>0</v>
      </c>
      <c r="N110" s="164"/>
      <c r="O110" s="164"/>
      <c r="P110" s="124">
        <f t="shared" si="30"/>
        <v>0</v>
      </c>
      <c r="Q110" s="120" t="e">
        <f t="shared" si="33"/>
        <v>#DIV/0!</v>
      </c>
      <c r="R110" s="168">
        <f t="shared" si="34"/>
        <v>0</v>
      </c>
      <c r="S110" s="168">
        <f t="shared" si="32"/>
        <v>0</v>
      </c>
      <c r="T110" s="125"/>
      <c r="U110" s="124"/>
      <c r="V110" s="120"/>
      <c r="W110" s="125"/>
      <c r="X110" s="125"/>
      <c r="Y110" s="166"/>
      <c r="Z110" s="168"/>
      <c r="AA110" s="168"/>
      <c r="AB110" s="168"/>
      <c r="AC110" s="168"/>
      <c r="AD110" s="124"/>
      <c r="AE110" s="120"/>
      <c r="AF110" s="120"/>
      <c r="AG110" s="120"/>
      <c r="AH110" s="120"/>
      <c r="AI110" s="120"/>
      <c r="AJ110" s="120"/>
      <c r="AK110" s="120"/>
      <c r="AL110" s="120"/>
    </row>
    <row r="111" spans="1:38">
      <c r="A111" s="13">
        <f t="shared" si="35"/>
        <v>104</v>
      </c>
      <c r="B111" s="128"/>
      <c r="C111" s="121"/>
      <c r="D111" s="121"/>
      <c r="E111" s="120"/>
      <c r="F111" s="121"/>
      <c r="G111" s="120"/>
      <c r="H111" s="122"/>
      <c r="I111" s="120"/>
      <c r="J111" s="120"/>
      <c r="K111" s="120"/>
      <c r="L111" s="120"/>
      <c r="M111" s="164">
        <f t="shared" si="29"/>
        <v>0</v>
      </c>
      <c r="N111" s="164"/>
      <c r="O111" s="164"/>
      <c r="P111" s="124">
        <f t="shared" si="30"/>
        <v>0</v>
      </c>
      <c r="Q111" s="120" t="e">
        <f t="shared" si="33"/>
        <v>#DIV/0!</v>
      </c>
      <c r="R111" s="168">
        <f t="shared" si="34"/>
        <v>0</v>
      </c>
      <c r="S111" s="168">
        <f t="shared" si="32"/>
        <v>0</v>
      </c>
      <c r="T111" s="125"/>
      <c r="U111" s="124"/>
      <c r="V111" s="120"/>
      <c r="W111" s="125"/>
      <c r="X111" s="125"/>
      <c r="Y111" s="166"/>
      <c r="Z111" s="168"/>
      <c r="AA111" s="168"/>
      <c r="AB111" s="168"/>
      <c r="AC111" s="168"/>
      <c r="AD111" s="124"/>
      <c r="AE111" s="120"/>
      <c r="AF111" s="120"/>
      <c r="AG111" s="120"/>
      <c r="AH111" s="120"/>
      <c r="AI111" s="120"/>
      <c r="AJ111" s="120"/>
      <c r="AK111" s="120"/>
      <c r="AL111" s="120"/>
    </row>
    <row r="112" spans="1:38">
      <c r="A112" s="13">
        <f t="shared" si="35"/>
        <v>105</v>
      </c>
      <c r="B112" s="128"/>
      <c r="C112" s="121"/>
      <c r="D112" s="121"/>
      <c r="E112" s="120"/>
      <c r="F112" s="121"/>
      <c r="G112" s="120"/>
      <c r="H112" s="122"/>
      <c r="I112" s="120"/>
      <c r="J112" s="120"/>
      <c r="K112" s="120"/>
      <c r="L112" s="120"/>
      <c r="M112" s="164">
        <f t="shared" si="29"/>
        <v>0</v>
      </c>
      <c r="N112" s="164"/>
      <c r="O112" s="164"/>
      <c r="P112" s="124">
        <f t="shared" si="30"/>
        <v>0</v>
      </c>
      <c r="Q112" s="120" t="e">
        <f t="shared" si="33"/>
        <v>#DIV/0!</v>
      </c>
      <c r="R112" s="168">
        <f t="shared" si="34"/>
        <v>0</v>
      </c>
      <c r="S112" s="168">
        <f t="shared" si="32"/>
        <v>0</v>
      </c>
      <c r="T112" s="125"/>
      <c r="U112" s="124"/>
      <c r="V112" s="120"/>
      <c r="W112" s="125"/>
      <c r="X112" s="125"/>
      <c r="Y112" s="166"/>
      <c r="Z112" s="168"/>
      <c r="AA112" s="168"/>
      <c r="AB112" s="168"/>
      <c r="AC112" s="168"/>
      <c r="AD112" s="124"/>
      <c r="AE112" s="120"/>
      <c r="AF112" s="120"/>
      <c r="AG112" s="120"/>
      <c r="AH112" s="120"/>
      <c r="AI112" s="120"/>
      <c r="AJ112" s="120"/>
      <c r="AK112" s="120"/>
      <c r="AL112" s="120"/>
    </row>
    <row r="113" spans="1:38">
      <c r="A113" s="13">
        <f t="shared" si="35"/>
        <v>106</v>
      </c>
      <c r="B113" s="128"/>
      <c r="C113" s="121"/>
      <c r="D113" s="121"/>
      <c r="E113" s="120"/>
      <c r="F113" s="121"/>
      <c r="G113" s="120"/>
      <c r="H113" s="122"/>
      <c r="I113" s="120"/>
      <c r="J113" s="120"/>
      <c r="K113" s="120"/>
      <c r="L113" s="120"/>
      <c r="M113" s="164">
        <f t="shared" si="29"/>
        <v>0</v>
      </c>
      <c r="N113" s="164"/>
      <c r="O113" s="164"/>
      <c r="P113" s="124">
        <f t="shared" si="30"/>
        <v>0</v>
      </c>
      <c r="Q113" s="120" t="e">
        <f t="shared" si="33"/>
        <v>#DIV/0!</v>
      </c>
      <c r="R113" s="168">
        <f t="shared" si="34"/>
        <v>0</v>
      </c>
      <c r="S113" s="168">
        <f t="shared" si="32"/>
        <v>0</v>
      </c>
      <c r="T113" s="125"/>
      <c r="U113" s="124"/>
      <c r="V113" s="120"/>
      <c r="W113" s="125"/>
      <c r="X113" s="125"/>
      <c r="Y113" s="166"/>
      <c r="Z113" s="168"/>
      <c r="AA113" s="168"/>
      <c r="AB113" s="168"/>
      <c r="AC113" s="168"/>
      <c r="AD113" s="124"/>
      <c r="AE113" s="120"/>
      <c r="AF113" s="120"/>
      <c r="AG113" s="120"/>
      <c r="AH113" s="120"/>
      <c r="AI113" s="120"/>
      <c r="AJ113" s="120"/>
      <c r="AK113" s="120"/>
      <c r="AL113" s="120"/>
    </row>
    <row r="114" spans="1:38">
      <c r="A114" s="13">
        <f t="shared" si="35"/>
        <v>107</v>
      </c>
      <c r="B114" s="128"/>
      <c r="C114" s="121"/>
      <c r="D114" s="121"/>
      <c r="E114" s="120"/>
      <c r="F114" s="121"/>
      <c r="G114" s="120"/>
      <c r="H114" s="122"/>
      <c r="I114" s="120"/>
      <c r="J114" s="120"/>
      <c r="K114" s="120"/>
      <c r="L114" s="120"/>
      <c r="M114" s="164">
        <f t="shared" si="29"/>
        <v>0</v>
      </c>
      <c r="N114" s="164"/>
      <c r="O114" s="164"/>
      <c r="P114" s="124">
        <f t="shared" si="30"/>
        <v>0</v>
      </c>
      <c r="Q114" s="120" t="e">
        <f t="shared" si="33"/>
        <v>#DIV/0!</v>
      </c>
      <c r="R114" s="168">
        <f t="shared" si="34"/>
        <v>0</v>
      </c>
      <c r="S114" s="168">
        <f t="shared" si="32"/>
        <v>0</v>
      </c>
      <c r="T114" s="125"/>
      <c r="U114" s="124"/>
      <c r="V114" s="120"/>
      <c r="W114" s="125"/>
      <c r="X114" s="125"/>
      <c r="Y114" s="166"/>
      <c r="Z114" s="168"/>
      <c r="AA114" s="168"/>
      <c r="AB114" s="168"/>
      <c r="AC114" s="168"/>
      <c r="AD114" s="124"/>
      <c r="AE114" s="120"/>
      <c r="AF114" s="120"/>
      <c r="AG114" s="120"/>
      <c r="AH114" s="120"/>
      <c r="AI114" s="120"/>
      <c r="AJ114" s="120"/>
      <c r="AK114" s="120"/>
      <c r="AL114" s="120"/>
    </row>
    <row r="115" spans="1:38">
      <c r="A115" s="13">
        <f t="shared" si="35"/>
        <v>108</v>
      </c>
      <c r="B115" s="128"/>
      <c r="C115" s="121"/>
      <c r="D115" s="121"/>
      <c r="E115" s="120"/>
      <c r="F115" s="121"/>
      <c r="G115" s="120"/>
      <c r="H115" s="122"/>
      <c r="I115" s="120"/>
      <c r="J115" s="120"/>
      <c r="K115" s="120"/>
      <c r="L115" s="120"/>
      <c r="M115" s="164">
        <f t="shared" si="29"/>
        <v>0</v>
      </c>
      <c r="N115" s="164"/>
      <c r="O115" s="164"/>
      <c r="P115" s="124">
        <f t="shared" si="30"/>
        <v>0</v>
      </c>
      <c r="Q115" s="120" t="e">
        <f t="shared" si="33"/>
        <v>#DIV/0!</v>
      </c>
      <c r="R115" s="168">
        <f t="shared" si="34"/>
        <v>0</v>
      </c>
      <c r="S115" s="168">
        <f t="shared" si="32"/>
        <v>0</v>
      </c>
      <c r="T115" s="125"/>
      <c r="U115" s="124"/>
      <c r="V115" s="120"/>
      <c r="W115" s="125"/>
      <c r="X115" s="125"/>
      <c r="Y115" s="166"/>
      <c r="Z115" s="168"/>
      <c r="AA115" s="168"/>
      <c r="AB115" s="168"/>
      <c r="AC115" s="168"/>
      <c r="AD115" s="124"/>
      <c r="AE115" s="120"/>
      <c r="AF115" s="120"/>
      <c r="AG115" s="120"/>
      <c r="AH115" s="120"/>
      <c r="AI115" s="120"/>
      <c r="AJ115" s="120"/>
      <c r="AK115" s="120"/>
      <c r="AL115" s="120"/>
    </row>
    <row r="116" spans="1:38">
      <c r="A116" s="13">
        <f t="shared" si="35"/>
        <v>109</v>
      </c>
      <c r="B116" s="128"/>
      <c r="C116" s="121"/>
      <c r="D116" s="121"/>
      <c r="E116" s="120"/>
      <c r="F116" s="121"/>
      <c r="G116" s="120"/>
      <c r="H116" s="122"/>
      <c r="I116" s="120"/>
      <c r="J116" s="120"/>
      <c r="K116" s="120"/>
      <c r="L116" s="120"/>
      <c r="M116" s="164">
        <f t="shared" si="29"/>
        <v>0</v>
      </c>
      <c r="N116" s="164"/>
      <c r="O116" s="164"/>
      <c r="P116" s="124">
        <f t="shared" si="30"/>
        <v>0</v>
      </c>
      <c r="Q116" s="120" t="e">
        <f t="shared" si="33"/>
        <v>#DIV/0!</v>
      </c>
      <c r="R116" s="168">
        <f t="shared" si="34"/>
        <v>0</v>
      </c>
      <c r="S116" s="168">
        <f t="shared" si="32"/>
        <v>0</v>
      </c>
      <c r="T116" s="125"/>
      <c r="U116" s="124"/>
      <c r="V116" s="120"/>
      <c r="W116" s="125"/>
      <c r="X116" s="125"/>
      <c r="Y116" s="166"/>
      <c r="Z116" s="168"/>
      <c r="AA116" s="168"/>
      <c r="AB116" s="168"/>
      <c r="AC116" s="168"/>
      <c r="AD116" s="124"/>
      <c r="AE116" s="120"/>
      <c r="AF116" s="120"/>
      <c r="AG116" s="120"/>
      <c r="AH116" s="120"/>
      <c r="AI116" s="120"/>
      <c r="AJ116" s="120"/>
      <c r="AK116" s="120"/>
      <c r="AL116" s="120"/>
    </row>
    <row r="117" spans="1:38">
      <c r="A117" s="13">
        <f t="shared" si="35"/>
        <v>110</v>
      </c>
      <c r="B117" s="128"/>
      <c r="C117" s="121"/>
      <c r="D117" s="121"/>
      <c r="E117" s="120"/>
      <c r="F117" s="121"/>
      <c r="G117" s="120"/>
      <c r="H117" s="122"/>
      <c r="I117" s="120"/>
      <c r="J117" s="120"/>
      <c r="K117" s="120"/>
      <c r="L117" s="120"/>
      <c r="M117" s="164">
        <f t="shared" ref="M117:M180" si="36">J117*(1+$M$6*IF(C117="B",-1,1))</f>
        <v>0</v>
      </c>
      <c r="N117" s="164"/>
      <c r="O117" s="164"/>
      <c r="P117" s="124">
        <f t="shared" ref="P117:P180" si="37">IF(AND(K117&lt;&gt;0,I117&lt;&gt;0),(IF(C117="B",1,-1))*(K117-J117)*I117-AL117*2,0)</f>
        <v>0</v>
      </c>
      <c r="Q117" s="120" t="e">
        <f t="shared" si="33"/>
        <v>#DIV/0!</v>
      </c>
      <c r="R117" s="168">
        <f t="shared" si="34"/>
        <v>0</v>
      </c>
      <c r="S117" s="168">
        <f t="shared" ref="S117:S180" si="38">(Y117-J117)*I117*IF(C117="B",1,-1)*IF(K117=0,1,0)</f>
        <v>0</v>
      </c>
      <c r="T117" s="125"/>
      <c r="U117" s="124"/>
      <c r="V117" s="120"/>
      <c r="W117" s="125"/>
      <c r="X117" s="125"/>
      <c r="Y117" s="166"/>
      <c r="Z117" s="168"/>
      <c r="AA117" s="168"/>
      <c r="AB117" s="168"/>
      <c r="AC117" s="168"/>
      <c r="AD117" s="124"/>
      <c r="AE117" s="120"/>
      <c r="AF117" s="120"/>
      <c r="AG117" s="120"/>
      <c r="AH117" s="120"/>
      <c r="AI117" s="120"/>
      <c r="AJ117" s="120"/>
      <c r="AK117" s="120"/>
      <c r="AL117" s="120"/>
    </row>
    <row r="118" spans="1:38">
      <c r="A118" s="13">
        <f t="shared" si="35"/>
        <v>111</v>
      </c>
      <c r="B118" s="128"/>
      <c r="C118" s="121"/>
      <c r="D118" s="121"/>
      <c r="E118" s="120"/>
      <c r="F118" s="121"/>
      <c r="G118" s="120"/>
      <c r="H118" s="122"/>
      <c r="I118" s="120"/>
      <c r="J118" s="120"/>
      <c r="K118" s="120"/>
      <c r="L118" s="120"/>
      <c r="M118" s="164">
        <f t="shared" si="36"/>
        <v>0</v>
      </c>
      <c r="N118" s="164"/>
      <c r="O118" s="164"/>
      <c r="P118" s="124">
        <f t="shared" si="37"/>
        <v>0</v>
      </c>
      <c r="Q118" s="120" t="e">
        <f t="shared" si="33"/>
        <v>#DIV/0!</v>
      </c>
      <c r="R118" s="168">
        <f t="shared" si="34"/>
        <v>0</v>
      </c>
      <c r="S118" s="168">
        <f t="shared" si="38"/>
        <v>0</v>
      </c>
      <c r="T118" s="125"/>
      <c r="U118" s="124"/>
      <c r="V118" s="120"/>
      <c r="W118" s="125"/>
      <c r="X118" s="125"/>
      <c r="Y118" s="166"/>
      <c r="Z118" s="168"/>
      <c r="AA118" s="168"/>
      <c r="AB118" s="168"/>
      <c r="AC118" s="168"/>
      <c r="AD118" s="124"/>
      <c r="AE118" s="120"/>
      <c r="AF118" s="120"/>
      <c r="AG118" s="120"/>
      <c r="AH118" s="120"/>
      <c r="AI118" s="120"/>
      <c r="AJ118" s="120"/>
      <c r="AK118" s="120"/>
      <c r="AL118" s="120"/>
    </row>
    <row r="119" spans="1:38">
      <c r="A119" s="13">
        <f t="shared" si="35"/>
        <v>112</v>
      </c>
      <c r="B119" s="128"/>
      <c r="C119" s="121"/>
      <c r="D119" s="121"/>
      <c r="E119" s="120"/>
      <c r="F119" s="121"/>
      <c r="G119" s="120"/>
      <c r="H119" s="122"/>
      <c r="I119" s="120"/>
      <c r="J119" s="120"/>
      <c r="K119" s="120"/>
      <c r="L119" s="120"/>
      <c r="M119" s="164">
        <f t="shared" si="36"/>
        <v>0</v>
      </c>
      <c r="N119" s="164"/>
      <c r="O119" s="164"/>
      <c r="P119" s="124">
        <f t="shared" si="37"/>
        <v>0</v>
      </c>
      <c r="Q119" s="120" t="e">
        <f t="shared" si="33"/>
        <v>#DIV/0!</v>
      </c>
      <c r="R119" s="168">
        <f t="shared" si="34"/>
        <v>0</v>
      </c>
      <c r="S119" s="168">
        <f t="shared" si="38"/>
        <v>0</v>
      </c>
      <c r="T119" s="125"/>
      <c r="U119" s="124"/>
      <c r="V119" s="120"/>
      <c r="W119" s="125"/>
      <c r="X119" s="125"/>
      <c r="Y119" s="166"/>
      <c r="Z119" s="168"/>
      <c r="AA119" s="168"/>
      <c r="AB119" s="168"/>
      <c r="AC119" s="168"/>
      <c r="AD119" s="124"/>
      <c r="AE119" s="120"/>
      <c r="AF119" s="120"/>
      <c r="AG119" s="120"/>
      <c r="AH119" s="120"/>
      <c r="AI119" s="120"/>
      <c r="AJ119" s="120"/>
      <c r="AK119" s="120"/>
      <c r="AL119" s="120"/>
    </row>
    <row r="120" spans="1:38">
      <c r="A120" s="13">
        <f t="shared" si="35"/>
        <v>113</v>
      </c>
      <c r="B120" s="128"/>
      <c r="C120" s="121"/>
      <c r="D120" s="121"/>
      <c r="E120" s="120"/>
      <c r="F120" s="121"/>
      <c r="G120" s="120"/>
      <c r="H120" s="122"/>
      <c r="I120" s="120"/>
      <c r="J120" s="120"/>
      <c r="K120" s="120"/>
      <c r="L120" s="120"/>
      <c r="M120" s="164">
        <f t="shared" si="36"/>
        <v>0</v>
      </c>
      <c r="N120" s="164"/>
      <c r="O120" s="164"/>
      <c r="P120" s="124">
        <f t="shared" si="37"/>
        <v>0</v>
      </c>
      <c r="Q120" s="120" t="e">
        <f t="shared" si="33"/>
        <v>#DIV/0!</v>
      </c>
      <c r="R120" s="168">
        <f t="shared" si="34"/>
        <v>0</v>
      </c>
      <c r="S120" s="168">
        <f t="shared" si="38"/>
        <v>0</v>
      </c>
      <c r="T120" s="125"/>
      <c r="U120" s="124"/>
      <c r="V120" s="120"/>
      <c r="W120" s="125"/>
      <c r="X120" s="125"/>
      <c r="Y120" s="166"/>
      <c r="Z120" s="168"/>
      <c r="AA120" s="168"/>
      <c r="AB120" s="168"/>
      <c r="AC120" s="168"/>
      <c r="AD120" s="124"/>
      <c r="AE120" s="120"/>
      <c r="AF120" s="120"/>
      <c r="AG120" s="120"/>
      <c r="AH120" s="120"/>
      <c r="AI120" s="120"/>
      <c r="AJ120" s="120"/>
      <c r="AK120" s="120"/>
      <c r="AL120" s="120"/>
    </row>
    <row r="121" spans="1:38">
      <c r="A121" s="13">
        <f t="shared" si="35"/>
        <v>114</v>
      </c>
      <c r="B121" s="128"/>
      <c r="C121" s="121"/>
      <c r="D121" s="121"/>
      <c r="E121" s="120"/>
      <c r="F121" s="121"/>
      <c r="G121" s="120"/>
      <c r="H121" s="122"/>
      <c r="I121" s="120"/>
      <c r="J121" s="120"/>
      <c r="K121" s="120"/>
      <c r="L121" s="120"/>
      <c r="M121" s="164">
        <f t="shared" si="36"/>
        <v>0</v>
      </c>
      <c r="N121" s="164"/>
      <c r="O121" s="164"/>
      <c r="P121" s="124">
        <f t="shared" si="37"/>
        <v>0</v>
      </c>
      <c r="Q121" s="120" t="e">
        <f t="shared" si="33"/>
        <v>#DIV/0!</v>
      </c>
      <c r="R121" s="168">
        <f t="shared" si="34"/>
        <v>0</v>
      </c>
      <c r="S121" s="168">
        <f t="shared" si="38"/>
        <v>0</v>
      </c>
      <c r="T121" s="125"/>
      <c r="U121" s="124"/>
      <c r="V121" s="120"/>
      <c r="W121" s="125"/>
      <c r="X121" s="125"/>
      <c r="Y121" s="166"/>
      <c r="Z121" s="168"/>
      <c r="AA121" s="168"/>
      <c r="AB121" s="168"/>
      <c r="AC121" s="168"/>
      <c r="AD121" s="124"/>
      <c r="AE121" s="120"/>
      <c r="AF121" s="120"/>
      <c r="AG121" s="120"/>
      <c r="AH121" s="120"/>
      <c r="AI121" s="120"/>
      <c r="AJ121" s="120"/>
      <c r="AK121" s="120"/>
      <c r="AL121" s="120"/>
    </row>
    <row r="122" spans="1:38">
      <c r="A122" s="13">
        <f t="shared" si="35"/>
        <v>115</v>
      </c>
      <c r="B122" s="128"/>
      <c r="C122" s="121"/>
      <c r="D122" s="121"/>
      <c r="E122" s="120"/>
      <c r="F122" s="121"/>
      <c r="G122" s="120"/>
      <c r="H122" s="122"/>
      <c r="I122" s="120"/>
      <c r="J122" s="120"/>
      <c r="K122" s="120"/>
      <c r="L122" s="120"/>
      <c r="M122" s="164">
        <f t="shared" si="36"/>
        <v>0</v>
      </c>
      <c r="N122" s="164"/>
      <c r="O122" s="164"/>
      <c r="P122" s="124">
        <f t="shared" si="37"/>
        <v>0</v>
      </c>
      <c r="Q122" s="120" t="e">
        <f t="shared" si="33"/>
        <v>#DIV/0!</v>
      </c>
      <c r="R122" s="168">
        <f t="shared" si="34"/>
        <v>0</v>
      </c>
      <c r="S122" s="168">
        <f t="shared" si="38"/>
        <v>0</v>
      </c>
      <c r="T122" s="125"/>
      <c r="U122" s="124"/>
      <c r="V122" s="120"/>
      <c r="W122" s="125"/>
      <c r="X122" s="125"/>
      <c r="Y122" s="166"/>
      <c r="Z122" s="168"/>
      <c r="AA122" s="168"/>
      <c r="AB122" s="168"/>
      <c r="AC122" s="168"/>
      <c r="AD122" s="124"/>
      <c r="AE122" s="120"/>
      <c r="AF122" s="120"/>
      <c r="AG122" s="120"/>
      <c r="AH122" s="120"/>
      <c r="AI122" s="120"/>
      <c r="AJ122" s="120"/>
      <c r="AK122" s="120"/>
      <c r="AL122" s="120"/>
    </row>
    <row r="123" spans="1:38">
      <c r="A123" s="13">
        <f t="shared" si="35"/>
        <v>116</v>
      </c>
      <c r="B123" s="128"/>
      <c r="C123" s="121"/>
      <c r="D123" s="121"/>
      <c r="E123" s="120"/>
      <c r="F123" s="121"/>
      <c r="G123" s="120"/>
      <c r="H123" s="122"/>
      <c r="I123" s="120"/>
      <c r="J123" s="120"/>
      <c r="K123" s="120"/>
      <c r="L123" s="120"/>
      <c r="M123" s="164">
        <f t="shared" si="36"/>
        <v>0</v>
      </c>
      <c r="N123" s="164"/>
      <c r="O123" s="164"/>
      <c r="P123" s="124">
        <f t="shared" si="37"/>
        <v>0</v>
      </c>
      <c r="Q123" s="120" t="e">
        <f t="shared" si="33"/>
        <v>#DIV/0!</v>
      </c>
      <c r="R123" s="168">
        <f t="shared" si="34"/>
        <v>0</v>
      </c>
      <c r="S123" s="168">
        <f t="shared" si="38"/>
        <v>0</v>
      </c>
      <c r="T123" s="125"/>
      <c r="U123" s="124"/>
      <c r="V123" s="120"/>
      <c r="W123" s="125"/>
      <c r="X123" s="125"/>
      <c r="Y123" s="166"/>
      <c r="Z123" s="168"/>
      <c r="AA123" s="168"/>
      <c r="AB123" s="168"/>
      <c r="AC123" s="168"/>
      <c r="AD123" s="124"/>
      <c r="AE123" s="120"/>
      <c r="AF123" s="120"/>
      <c r="AG123" s="120"/>
      <c r="AH123" s="120"/>
      <c r="AI123" s="120"/>
      <c r="AJ123" s="120"/>
      <c r="AK123" s="120"/>
      <c r="AL123" s="120"/>
    </row>
    <row r="124" spans="1:38">
      <c r="A124" s="13">
        <f t="shared" si="35"/>
        <v>117</v>
      </c>
      <c r="B124" s="128"/>
      <c r="C124" s="121"/>
      <c r="D124" s="121"/>
      <c r="E124" s="120"/>
      <c r="F124" s="121"/>
      <c r="G124" s="120"/>
      <c r="H124" s="122"/>
      <c r="I124" s="120"/>
      <c r="J124" s="120"/>
      <c r="K124" s="120"/>
      <c r="L124" s="120"/>
      <c r="M124" s="164">
        <f t="shared" si="36"/>
        <v>0</v>
      </c>
      <c r="N124" s="164"/>
      <c r="O124" s="164"/>
      <c r="P124" s="124">
        <f t="shared" si="37"/>
        <v>0</v>
      </c>
      <c r="Q124" s="120" t="e">
        <f t="shared" si="33"/>
        <v>#DIV/0!</v>
      </c>
      <c r="R124" s="168">
        <f t="shared" si="34"/>
        <v>0</v>
      </c>
      <c r="S124" s="168">
        <f t="shared" si="38"/>
        <v>0</v>
      </c>
      <c r="T124" s="125"/>
      <c r="U124" s="124"/>
      <c r="V124" s="120"/>
      <c r="W124" s="125"/>
      <c r="X124" s="125"/>
      <c r="Y124" s="166"/>
      <c r="Z124" s="168"/>
      <c r="AA124" s="168"/>
      <c r="AB124" s="168"/>
      <c r="AC124" s="168"/>
      <c r="AD124" s="124"/>
      <c r="AE124" s="120"/>
      <c r="AF124" s="120"/>
      <c r="AG124" s="120"/>
      <c r="AH124" s="120"/>
      <c r="AI124" s="120"/>
      <c r="AJ124" s="120"/>
      <c r="AK124" s="120"/>
      <c r="AL124" s="120"/>
    </row>
    <row r="125" spans="1:38">
      <c r="A125" s="13">
        <f t="shared" si="35"/>
        <v>118</v>
      </c>
      <c r="B125" s="128"/>
      <c r="C125" s="121"/>
      <c r="D125" s="121"/>
      <c r="E125" s="120"/>
      <c r="F125" s="121"/>
      <c r="G125" s="120"/>
      <c r="H125" s="122"/>
      <c r="I125" s="120"/>
      <c r="J125" s="120"/>
      <c r="K125" s="120"/>
      <c r="L125" s="120"/>
      <c r="M125" s="164">
        <f t="shared" si="36"/>
        <v>0</v>
      </c>
      <c r="N125" s="164"/>
      <c r="O125" s="164"/>
      <c r="P125" s="124">
        <f t="shared" si="37"/>
        <v>0</v>
      </c>
      <c r="Q125" s="120" t="e">
        <f t="shared" si="33"/>
        <v>#DIV/0!</v>
      </c>
      <c r="R125" s="168">
        <f t="shared" si="34"/>
        <v>0</v>
      </c>
      <c r="S125" s="168">
        <f t="shared" si="38"/>
        <v>0</v>
      </c>
      <c r="T125" s="125"/>
      <c r="U125" s="124"/>
      <c r="V125" s="120"/>
      <c r="W125" s="125"/>
      <c r="X125" s="125"/>
      <c r="Y125" s="166"/>
      <c r="Z125" s="168"/>
      <c r="AA125" s="168"/>
      <c r="AB125" s="168"/>
      <c r="AC125" s="168"/>
      <c r="AD125" s="124"/>
      <c r="AE125" s="120"/>
      <c r="AF125" s="120"/>
      <c r="AG125" s="120"/>
      <c r="AH125" s="120"/>
      <c r="AI125" s="120"/>
      <c r="AJ125" s="120"/>
      <c r="AK125" s="120"/>
      <c r="AL125" s="120"/>
    </row>
    <row r="126" spans="1:38">
      <c r="A126" s="13">
        <f t="shared" si="35"/>
        <v>119</v>
      </c>
      <c r="B126" s="128"/>
      <c r="C126" s="121"/>
      <c r="D126" s="121"/>
      <c r="E126" s="120"/>
      <c r="F126" s="121"/>
      <c r="G126" s="120"/>
      <c r="H126" s="122"/>
      <c r="I126" s="120"/>
      <c r="J126" s="120"/>
      <c r="K126" s="120"/>
      <c r="L126" s="120"/>
      <c r="M126" s="164">
        <f t="shared" si="36"/>
        <v>0</v>
      </c>
      <c r="N126" s="164"/>
      <c r="O126" s="164"/>
      <c r="P126" s="124">
        <f t="shared" si="37"/>
        <v>0</v>
      </c>
      <c r="Q126" s="120" t="e">
        <f t="shared" si="33"/>
        <v>#DIV/0!</v>
      </c>
      <c r="R126" s="168">
        <f t="shared" si="34"/>
        <v>0</v>
      </c>
      <c r="S126" s="168">
        <f t="shared" si="38"/>
        <v>0</v>
      </c>
      <c r="T126" s="125"/>
      <c r="U126" s="124"/>
      <c r="V126" s="120"/>
      <c r="W126" s="125"/>
      <c r="X126" s="125"/>
      <c r="Y126" s="166"/>
      <c r="Z126" s="168"/>
      <c r="AA126" s="168"/>
      <c r="AB126" s="168"/>
      <c r="AC126" s="168"/>
      <c r="AD126" s="124"/>
      <c r="AE126" s="120"/>
      <c r="AF126" s="120"/>
      <c r="AG126" s="120"/>
      <c r="AH126" s="120"/>
      <c r="AI126" s="120"/>
      <c r="AJ126" s="120"/>
      <c r="AK126" s="120"/>
      <c r="AL126" s="120"/>
    </row>
    <row r="127" spans="1:38">
      <c r="A127" s="13">
        <f t="shared" si="35"/>
        <v>120</v>
      </c>
      <c r="B127" s="128"/>
      <c r="C127" s="121"/>
      <c r="D127" s="121"/>
      <c r="E127" s="120"/>
      <c r="F127" s="121"/>
      <c r="G127" s="120"/>
      <c r="H127" s="122"/>
      <c r="I127" s="120"/>
      <c r="J127" s="120"/>
      <c r="K127" s="120"/>
      <c r="L127" s="120"/>
      <c r="M127" s="164">
        <f t="shared" si="36"/>
        <v>0</v>
      </c>
      <c r="N127" s="164"/>
      <c r="O127" s="164"/>
      <c r="P127" s="124">
        <f t="shared" si="37"/>
        <v>0</v>
      </c>
      <c r="Q127" s="120" t="e">
        <f t="shared" si="33"/>
        <v>#DIV/0!</v>
      </c>
      <c r="R127" s="168">
        <f t="shared" si="34"/>
        <v>0</v>
      </c>
      <c r="S127" s="168">
        <f t="shared" si="38"/>
        <v>0</v>
      </c>
      <c r="T127" s="125"/>
      <c r="U127" s="124"/>
      <c r="V127" s="120"/>
      <c r="W127" s="125"/>
      <c r="X127" s="125"/>
      <c r="Y127" s="166"/>
      <c r="Z127" s="168"/>
      <c r="AA127" s="168"/>
      <c r="AB127" s="168"/>
      <c r="AC127" s="168"/>
      <c r="AD127" s="124"/>
      <c r="AE127" s="120"/>
      <c r="AF127" s="120"/>
      <c r="AG127" s="120"/>
      <c r="AH127" s="120"/>
      <c r="AI127" s="120"/>
      <c r="AJ127" s="120"/>
      <c r="AK127" s="120"/>
      <c r="AL127" s="120"/>
    </row>
    <row r="128" spans="1:38">
      <c r="A128" s="13">
        <f t="shared" si="35"/>
        <v>121</v>
      </c>
      <c r="B128" s="128"/>
      <c r="C128" s="121"/>
      <c r="D128" s="121"/>
      <c r="E128" s="120"/>
      <c r="F128" s="121"/>
      <c r="G128" s="120"/>
      <c r="H128" s="122"/>
      <c r="I128" s="120"/>
      <c r="J128" s="120"/>
      <c r="K128" s="120"/>
      <c r="L128" s="120"/>
      <c r="M128" s="164">
        <f t="shared" si="36"/>
        <v>0</v>
      </c>
      <c r="N128" s="164"/>
      <c r="O128" s="164"/>
      <c r="P128" s="124">
        <f t="shared" si="37"/>
        <v>0</v>
      </c>
      <c r="Q128" s="120" t="e">
        <f t="shared" si="33"/>
        <v>#DIV/0!</v>
      </c>
      <c r="R128" s="168">
        <f t="shared" si="34"/>
        <v>0</v>
      </c>
      <c r="S128" s="168">
        <f t="shared" si="38"/>
        <v>0</v>
      </c>
      <c r="T128" s="125"/>
      <c r="U128" s="124"/>
      <c r="V128" s="120"/>
      <c r="W128" s="125"/>
      <c r="X128" s="125"/>
      <c r="Y128" s="166"/>
      <c r="Z128" s="168"/>
      <c r="AA128" s="168"/>
      <c r="AB128" s="168"/>
      <c r="AC128" s="168"/>
      <c r="AD128" s="124"/>
      <c r="AE128" s="120"/>
      <c r="AF128" s="120"/>
      <c r="AG128" s="120"/>
      <c r="AH128" s="120"/>
      <c r="AI128" s="120"/>
      <c r="AJ128" s="120"/>
      <c r="AK128" s="120"/>
      <c r="AL128" s="120"/>
    </row>
    <row r="129" spans="1:38">
      <c r="A129" s="13">
        <f t="shared" si="35"/>
        <v>122</v>
      </c>
      <c r="B129" s="128"/>
      <c r="C129" s="121"/>
      <c r="D129" s="121"/>
      <c r="E129" s="120"/>
      <c r="F129" s="121"/>
      <c r="G129" s="120"/>
      <c r="H129" s="122"/>
      <c r="I129" s="120"/>
      <c r="J129" s="120"/>
      <c r="K129" s="120"/>
      <c r="L129" s="120"/>
      <c r="M129" s="164">
        <f t="shared" si="36"/>
        <v>0</v>
      </c>
      <c r="N129" s="164"/>
      <c r="O129" s="164"/>
      <c r="P129" s="124">
        <f t="shared" si="37"/>
        <v>0</v>
      </c>
      <c r="Q129" s="120" t="e">
        <f t="shared" si="33"/>
        <v>#DIV/0!</v>
      </c>
      <c r="R129" s="168">
        <f t="shared" si="34"/>
        <v>0</v>
      </c>
      <c r="S129" s="168">
        <f t="shared" si="38"/>
        <v>0</v>
      </c>
      <c r="T129" s="125"/>
      <c r="U129" s="124"/>
      <c r="V129" s="120"/>
      <c r="W129" s="125"/>
      <c r="X129" s="125"/>
      <c r="Y129" s="166"/>
      <c r="Z129" s="168"/>
      <c r="AA129" s="168"/>
      <c r="AB129" s="168"/>
      <c r="AC129" s="168"/>
      <c r="AD129" s="124"/>
      <c r="AE129" s="120"/>
      <c r="AF129" s="120"/>
      <c r="AG129" s="120"/>
      <c r="AH129" s="120"/>
      <c r="AI129" s="120"/>
      <c r="AJ129" s="120"/>
      <c r="AK129" s="120"/>
      <c r="AL129" s="120"/>
    </row>
    <row r="130" spans="1:38">
      <c r="A130" s="13">
        <f t="shared" si="35"/>
        <v>123</v>
      </c>
      <c r="B130" s="128"/>
      <c r="C130" s="121"/>
      <c r="D130" s="121"/>
      <c r="E130" s="120"/>
      <c r="F130" s="121"/>
      <c r="G130" s="120"/>
      <c r="H130" s="122"/>
      <c r="I130" s="120"/>
      <c r="J130" s="120"/>
      <c r="K130" s="120"/>
      <c r="L130" s="120"/>
      <c r="M130" s="164">
        <f t="shared" si="36"/>
        <v>0</v>
      </c>
      <c r="N130" s="164"/>
      <c r="O130" s="164"/>
      <c r="P130" s="124">
        <f t="shared" si="37"/>
        <v>0</v>
      </c>
      <c r="Q130" s="120" t="e">
        <f t="shared" si="33"/>
        <v>#DIV/0!</v>
      </c>
      <c r="R130" s="168">
        <f t="shared" si="34"/>
        <v>0</v>
      </c>
      <c r="S130" s="168">
        <f t="shared" si="38"/>
        <v>0</v>
      </c>
      <c r="T130" s="125"/>
      <c r="U130" s="124"/>
      <c r="V130" s="120"/>
      <c r="W130" s="125"/>
      <c r="X130" s="125"/>
      <c r="Y130" s="166"/>
      <c r="Z130" s="168"/>
      <c r="AA130" s="168"/>
      <c r="AB130" s="168"/>
      <c r="AC130" s="168"/>
      <c r="AD130" s="124"/>
      <c r="AE130" s="120"/>
      <c r="AF130" s="120"/>
      <c r="AG130" s="120"/>
      <c r="AH130" s="120"/>
      <c r="AI130" s="120"/>
      <c r="AJ130" s="120"/>
      <c r="AK130" s="120"/>
      <c r="AL130" s="120"/>
    </row>
    <row r="131" spans="1:38">
      <c r="A131" s="13">
        <f t="shared" si="35"/>
        <v>124</v>
      </c>
      <c r="B131" s="128"/>
      <c r="C131" s="121"/>
      <c r="D131" s="121"/>
      <c r="E131" s="120"/>
      <c r="F131" s="121"/>
      <c r="G131" s="120"/>
      <c r="H131" s="122"/>
      <c r="I131" s="120"/>
      <c r="J131" s="120"/>
      <c r="K131" s="120"/>
      <c r="L131" s="120"/>
      <c r="M131" s="164">
        <f t="shared" si="36"/>
        <v>0</v>
      </c>
      <c r="N131" s="164"/>
      <c r="O131" s="164"/>
      <c r="P131" s="124">
        <f t="shared" si="37"/>
        <v>0</v>
      </c>
      <c r="Q131" s="120" t="e">
        <f t="shared" si="33"/>
        <v>#DIV/0!</v>
      </c>
      <c r="R131" s="168">
        <f t="shared" si="34"/>
        <v>0</v>
      </c>
      <c r="S131" s="168">
        <f t="shared" si="38"/>
        <v>0</v>
      </c>
      <c r="T131" s="125"/>
      <c r="U131" s="124"/>
      <c r="V131" s="120"/>
      <c r="W131" s="125"/>
      <c r="X131" s="125"/>
      <c r="Y131" s="166"/>
      <c r="Z131" s="168"/>
      <c r="AA131" s="168"/>
      <c r="AB131" s="168"/>
      <c r="AC131" s="168"/>
      <c r="AD131" s="124"/>
      <c r="AE131" s="120"/>
      <c r="AF131" s="120"/>
      <c r="AG131" s="120"/>
      <c r="AH131" s="120"/>
      <c r="AI131" s="120"/>
      <c r="AJ131" s="120"/>
      <c r="AK131" s="120"/>
      <c r="AL131" s="120"/>
    </row>
    <row r="132" spans="1:38">
      <c r="A132" s="13">
        <f t="shared" si="35"/>
        <v>125</v>
      </c>
      <c r="B132" s="128"/>
      <c r="C132" s="121"/>
      <c r="D132" s="121"/>
      <c r="E132" s="120"/>
      <c r="F132" s="121"/>
      <c r="G132" s="120"/>
      <c r="H132" s="122"/>
      <c r="I132" s="120"/>
      <c r="J132" s="120"/>
      <c r="K132" s="120"/>
      <c r="L132" s="120"/>
      <c r="M132" s="164">
        <f t="shared" si="36"/>
        <v>0</v>
      </c>
      <c r="N132" s="164"/>
      <c r="O132" s="164"/>
      <c r="P132" s="124">
        <f t="shared" si="37"/>
        <v>0</v>
      </c>
      <c r="Q132" s="120" t="e">
        <f t="shared" si="33"/>
        <v>#DIV/0!</v>
      </c>
      <c r="R132" s="168">
        <f t="shared" si="34"/>
        <v>0</v>
      </c>
      <c r="S132" s="168">
        <f t="shared" si="38"/>
        <v>0</v>
      </c>
      <c r="T132" s="125"/>
      <c r="U132" s="124"/>
      <c r="V132" s="120"/>
      <c r="W132" s="125"/>
      <c r="X132" s="125"/>
      <c r="Y132" s="166"/>
      <c r="Z132" s="168"/>
      <c r="AA132" s="168"/>
      <c r="AB132" s="168"/>
      <c r="AC132" s="168"/>
      <c r="AD132" s="124"/>
      <c r="AE132" s="120"/>
      <c r="AF132" s="120"/>
      <c r="AG132" s="120"/>
      <c r="AH132" s="120"/>
      <c r="AI132" s="120"/>
      <c r="AJ132" s="120"/>
      <c r="AK132" s="120"/>
      <c r="AL132" s="120"/>
    </row>
    <row r="133" spans="1:38">
      <c r="A133" s="13">
        <f t="shared" si="35"/>
        <v>126</v>
      </c>
      <c r="B133" s="128"/>
      <c r="C133" s="121"/>
      <c r="D133" s="121"/>
      <c r="E133" s="120"/>
      <c r="F133" s="121"/>
      <c r="G133" s="120"/>
      <c r="H133" s="122"/>
      <c r="I133" s="120"/>
      <c r="J133" s="120"/>
      <c r="K133" s="120"/>
      <c r="L133" s="120"/>
      <c r="M133" s="164">
        <f t="shared" si="36"/>
        <v>0</v>
      </c>
      <c r="N133" s="164"/>
      <c r="O133" s="164"/>
      <c r="P133" s="124">
        <f t="shared" si="37"/>
        <v>0</v>
      </c>
      <c r="Q133" s="120" t="e">
        <f t="shared" si="33"/>
        <v>#DIV/0!</v>
      </c>
      <c r="R133" s="168">
        <f t="shared" si="34"/>
        <v>0</v>
      </c>
      <c r="S133" s="168">
        <f t="shared" si="38"/>
        <v>0</v>
      </c>
      <c r="T133" s="125"/>
      <c r="U133" s="124"/>
      <c r="V133" s="120"/>
      <c r="W133" s="125"/>
      <c r="X133" s="125"/>
      <c r="Y133" s="166"/>
      <c r="Z133" s="168"/>
      <c r="AA133" s="168"/>
      <c r="AB133" s="168"/>
      <c r="AC133" s="168"/>
      <c r="AD133" s="124"/>
      <c r="AE133" s="120"/>
      <c r="AF133" s="120"/>
      <c r="AG133" s="120"/>
      <c r="AH133" s="120"/>
      <c r="AI133" s="120"/>
      <c r="AJ133" s="120"/>
      <c r="AK133" s="120"/>
      <c r="AL133" s="120"/>
    </row>
    <row r="134" spans="1:38">
      <c r="A134" s="13">
        <f t="shared" si="35"/>
        <v>127</v>
      </c>
      <c r="B134" s="128"/>
      <c r="C134" s="121"/>
      <c r="D134" s="121"/>
      <c r="E134" s="120"/>
      <c r="F134" s="121"/>
      <c r="G134" s="120"/>
      <c r="H134" s="122"/>
      <c r="I134" s="120"/>
      <c r="J134" s="120"/>
      <c r="K134" s="120"/>
      <c r="L134" s="120"/>
      <c r="M134" s="164">
        <f t="shared" si="36"/>
        <v>0</v>
      </c>
      <c r="N134" s="164"/>
      <c r="O134" s="164"/>
      <c r="P134" s="124">
        <f t="shared" si="37"/>
        <v>0</v>
      </c>
      <c r="Q134" s="120" t="e">
        <f t="shared" si="33"/>
        <v>#DIV/0!</v>
      </c>
      <c r="R134" s="168">
        <f t="shared" si="34"/>
        <v>0</v>
      </c>
      <c r="S134" s="168">
        <f t="shared" si="38"/>
        <v>0</v>
      </c>
      <c r="T134" s="125"/>
      <c r="U134" s="124"/>
      <c r="V134" s="120"/>
      <c r="W134" s="125"/>
      <c r="X134" s="125"/>
      <c r="Y134" s="166"/>
      <c r="Z134" s="168"/>
      <c r="AA134" s="168"/>
      <c r="AB134" s="168"/>
      <c r="AC134" s="168"/>
      <c r="AD134" s="124"/>
      <c r="AE134" s="120"/>
      <c r="AF134" s="120"/>
      <c r="AG134" s="120"/>
      <c r="AH134" s="120"/>
      <c r="AI134" s="120"/>
      <c r="AJ134" s="120"/>
      <c r="AK134" s="120"/>
      <c r="AL134" s="120"/>
    </row>
    <row r="135" spans="1:38">
      <c r="A135" s="13">
        <f t="shared" si="35"/>
        <v>128</v>
      </c>
      <c r="B135" s="128"/>
      <c r="C135" s="121"/>
      <c r="D135" s="121"/>
      <c r="E135" s="120"/>
      <c r="F135" s="121"/>
      <c r="G135" s="120"/>
      <c r="H135" s="122"/>
      <c r="I135" s="120"/>
      <c r="J135" s="120"/>
      <c r="K135" s="120"/>
      <c r="L135" s="120"/>
      <c r="M135" s="164">
        <f t="shared" si="36"/>
        <v>0</v>
      </c>
      <c r="N135" s="164"/>
      <c r="O135" s="164"/>
      <c r="P135" s="124">
        <f t="shared" si="37"/>
        <v>0</v>
      </c>
      <c r="Q135" s="120" t="e">
        <f t="shared" si="33"/>
        <v>#DIV/0!</v>
      </c>
      <c r="R135" s="168">
        <f t="shared" si="34"/>
        <v>0</v>
      </c>
      <c r="S135" s="168">
        <f t="shared" si="38"/>
        <v>0</v>
      </c>
      <c r="T135" s="125"/>
      <c r="U135" s="124"/>
      <c r="V135" s="120"/>
      <c r="W135" s="125"/>
      <c r="X135" s="125"/>
      <c r="Y135" s="166"/>
      <c r="Z135" s="168"/>
      <c r="AA135" s="168"/>
      <c r="AB135" s="168"/>
      <c r="AC135" s="168"/>
      <c r="AD135" s="124"/>
      <c r="AE135" s="120"/>
      <c r="AF135" s="120"/>
      <c r="AG135" s="120"/>
      <c r="AH135" s="120"/>
      <c r="AI135" s="120"/>
      <c r="AJ135" s="120"/>
      <c r="AK135" s="120"/>
      <c r="AL135" s="120"/>
    </row>
    <row r="136" spans="1:38">
      <c r="A136" s="13">
        <f t="shared" si="35"/>
        <v>129</v>
      </c>
      <c r="B136" s="128"/>
      <c r="C136" s="121"/>
      <c r="D136" s="121"/>
      <c r="E136" s="120"/>
      <c r="F136" s="121"/>
      <c r="G136" s="120"/>
      <c r="H136" s="122"/>
      <c r="I136" s="120"/>
      <c r="J136" s="120"/>
      <c r="K136" s="120"/>
      <c r="L136" s="120"/>
      <c r="M136" s="164">
        <f t="shared" si="36"/>
        <v>0</v>
      </c>
      <c r="N136" s="164"/>
      <c r="O136" s="164"/>
      <c r="P136" s="124">
        <f t="shared" si="37"/>
        <v>0</v>
      </c>
      <c r="Q136" s="120" t="e">
        <f t="shared" ref="Q136:Q199" si="39">K136/$J136</f>
        <v>#DIV/0!</v>
      </c>
      <c r="R136" s="168">
        <f t="shared" ref="R136:R199" si="40">$J136*$I136</f>
        <v>0</v>
      </c>
      <c r="S136" s="168">
        <f t="shared" si="38"/>
        <v>0</v>
      </c>
      <c r="T136" s="125"/>
      <c r="U136" s="124"/>
      <c r="V136" s="120"/>
      <c r="W136" s="125"/>
      <c r="X136" s="125"/>
      <c r="Y136" s="166"/>
      <c r="Z136" s="168"/>
      <c r="AA136" s="168"/>
      <c r="AB136" s="168"/>
      <c r="AC136" s="168"/>
      <c r="AD136" s="124"/>
      <c r="AE136" s="120"/>
      <c r="AF136" s="120"/>
      <c r="AG136" s="120"/>
      <c r="AH136" s="120"/>
      <c r="AI136" s="120"/>
      <c r="AJ136" s="120"/>
      <c r="AK136" s="120"/>
      <c r="AL136" s="120"/>
    </row>
    <row r="137" spans="1:38">
      <c r="A137" s="13">
        <f t="shared" ref="A137:A200" si="41">A136+1</f>
        <v>130</v>
      </c>
      <c r="B137" s="128"/>
      <c r="C137" s="121"/>
      <c r="D137" s="121"/>
      <c r="E137" s="120"/>
      <c r="F137" s="121"/>
      <c r="G137" s="120"/>
      <c r="H137" s="122"/>
      <c r="I137" s="120"/>
      <c r="J137" s="120"/>
      <c r="K137" s="120"/>
      <c r="L137" s="120"/>
      <c r="M137" s="164">
        <f t="shared" si="36"/>
        <v>0</v>
      </c>
      <c r="N137" s="164"/>
      <c r="O137" s="164"/>
      <c r="P137" s="124">
        <f t="shared" si="37"/>
        <v>0</v>
      </c>
      <c r="Q137" s="120" t="e">
        <f t="shared" si="39"/>
        <v>#DIV/0!</v>
      </c>
      <c r="R137" s="168">
        <f t="shared" si="40"/>
        <v>0</v>
      </c>
      <c r="S137" s="168">
        <f t="shared" si="38"/>
        <v>0</v>
      </c>
      <c r="T137" s="125"/>
      <c r="U137" s="124"/>
      <c r="V137" s="120"/>
      <c r="W137" s="125"/>
      <c r="X137" s="125"/>
      <c r="Y137" s="166"/>
      <c r="Z137" s="168"/>
      <c r="AA137" s="168"/>
      <c r="AB137" s="168"/>
      <c r="AC137" s="168"/>
      <c r="AD137" s="124"/>
      <c r="AE137" s="120"/>
      <c r="AF137" s="120"/>
      <c r="AG137" s="120"/>
      <c r="AH137" s="120"/>
      <c r="AI137" s="120"/>
      <c r="AJ137" s="120"/>
      <c r="AK137" s="120"/>
      <c r="AL137" s="120"/>
    </row>
    <row r="138" spans="1:38">
      <c r="A138" s="13">
        <f t="shared" si="41"/>
        <v>131</v>
      </c>
      <c r="B138" s="128"/>
      <c r="C138" s="121"/>
      <c r="D138" s="121"/>
      <c r="E138" s="120"/>
      <c r="F138" s="121"/>
      <c r="G138" s="120"/>
      <c r="H138" s="122"/>
      <c r="I138" s="120"/>
      <c r="J138" s="120"/>
      <c r="K138" s="120"/>
      <c r="L138" s="120"/>
      <c r="M138" s="164">
        <f t="shared" si="36"/>
        <v>0</v>
      </c>
      <c r="N138" s="164"/>
      <c r="O138" s="164"/>
      <c r="P138" s="124">
        <f t="shared" si="37"/>
        <v>0</v>
      </c>
      <c r="Q138" s="120" t="e">
        <f t="shared" si="39"/>
        <v>#DIV/0!</v>
      </c>
      <c r="R138" s="168">
        <f t="shared" si="40"/>
        <v>0</v>
      </c>
      <c r="S138" s="168">
        <f t="shared" si="38"/>
        <v>0</v>
      </c>
      <c r="T138" s="125"/>
      <c r="U138" s="124"/>
      <c r="V138" s="120"/>
      <c r="W138" s="125"/>
      <c r="X138" s="125"/>
      <c r="Y138" s="166"/>
      <c r="Z138" s="168"/>
      <c r="AA138" s="168"/>
      <c r="AB138" s="168"/>
      <c r="AC138" s="168"/>
      <c r="AD138" s="124"/>
      <c r="AE138" s="120"/>
      <c r="AF138" s="120"/>
      <c r="AG138" s="120"/>
      <c r="AH138" s="120"/>
      <c r="AI138" s="120"/>
      <c r="AJ138" s="120"/>
      <c r="AK138" s="120"/>
      <c r="AL138" s="120"/>
    </row>
    <row r="139" spans="1:38">
      <c r="A139" s="13">
        <f t="shared" si="41"/>
        <v>132</v>
      </c>
      <c r="B139" s="128"/>
      <c r="C139" s="121"/>
      <c r="D139" s="121"/>
      <c r="E139" s="120"/>
      <c r="F139" s="121"/>
      <c r="G139" s="120"/>
      <c r="H139" s="122"/>
      <c r="I139" s="120"/>
      <c r="J139" s="120"/>
      <c r="K139" s="120"/>
      <c r="L139" s="120"/>
      <c r="M139" s="164">
        <f t="shared" si="36"/>
        <v>0</v>
      </c>
      <c r="N139" s="164"/>
      <c r="O139" s="164"/>
      <c r="P139" s="124">
        <f t="shared" si="37"/>
        <v>0</v>
      </c>
      <c r="Q139" s="120" t="e">
        <f t="shared" si="39"/>
        <v>#DIV/0!</v>
      </c>
      <c r="R139" s="168">
        <f t="shared" si="40"/>
        <v>0</v>
      </c>
      <c r="S139" s="168">
        <f t="shared" si="38"/>
        <v>0</v>
      </c>
      <c r="T139" s="125"/>
      <c r="U139" s="124"/>
      <c r="V139" s="120"/>
      <c r="W139" s="125"/>
      <c r="X139" s="125"/>
      <c r="Y139" s="166"/>
      <c r="Z139" s="168"/>
      <c r="AA139" s="168"/>
      <c r="AB139" s="168"/>
      <c r="AC139" s="168"/>
      <c r="AD139" s="124"/>
      <c r="AE139" s="120"/>
      <c r="AF139" s="120"/>
      <c r="AG139" s="120"/>
      <c r="AH139" s="120"/>
      <c r="AI139" s="120"/>
      <c r="AJ139" s="120"/>
      <c r="AK139" s="120"/>
      <c r="AL139" s="120"/>
    </row>
    <row r="140" spans="1:38">
      <c r="A140" s="13">
        <f t="shared" si="41"/>
        <v>133</v>
      </c>
      <c r="B140" s="128"/>
      <c r="C140" s="121"/>
      <c r="D140" s="121"/>
      <c r="E140" s="120"/>
      <c r="F140" s="121"/>
      <c r="G140" s="120"/>
      <c r="H140" s="122"/>
      <c r="I140" s="120"/>
      <c r="J140" s="120"/>
      <c r="K140" s="120"/>
      <c r="L140" s="120"/>
      <c r="M140" s="164">
        <f t="shared" si="36"/>
        <v>0</v>
      </c>
      <c r="N140" s="164"/>
      <c r="O140" s="164"/>
      <c r="P140" s="124">
        <f t="shared" si="37"/>
        <v>0</v>
      </c>
      <c r="Q140" s="120" t="e">
        <f t="shared" si="39"/>
        <v>#DIV/0!</v>
      </c>
      <c r="R140" s="168">
        <f t="shared" si="40"/>
        <v>0</v>
      </c>
      <c r="S140" s="168">
        <f t="shared" si="38"/>
        <v>0</v>
      </c>
      <c r="T140" s="125"/>
      <c r="U140" s="124"/>
      <c r="V140" s="120"/>
      <c r="W140" s="125"/>
      <c r="X140" s="125"/>
      <c r="Y140" s="166"/>
      <c r="Z140" s="168"/>
      <c r="AA140" s="168"/>
      <c r="AB140" s="168"/>
      <c r="AC140" s="168"/>
      <c r="AD140" s="124"/>
      <c r="AE140" s="120"/>
      <c r="AF140" s="120"/>
      <c r="AG140" s="120"/>
      <c r="AH140" s="120"/>
      <c r="AI140" s="120"/>
      <c r="AJ140" s="120"/>
      <c r="AK140" s="120"/>
      <c r="AL140" s="120"/>
    </row>
    <row r="141" spans="1:38">
      <c r="A141" s="13">
        <f t="shared" si="41"/>
        <v>134</v>
      </c>
      <c r="B141" s="128"/>
      <c r="C141" s="121"/>
      <c r="D141" s="121"/>
      <c r="E141" s="120"/>
      <c r="F141" s="121"/>
      <c r="G141" s="120"/>
      <c r="H141" s="122"/>
      <c r="I141" s="120"/>
      <c r="J141" s="120"/>
      <c r="K141" s="120"/>
      <c r="L141" s="120"/>
      <c r="M141" s="164">
        <f t="shared" si="36"/>
        <v>0</v>
      </c>
      <c r="N141" s="164"/>
      <c r="O141" s="164"/>
      <c r="P141" s="124">
        <f t="shared" si="37"/>
        <v>0</v>
      </c>
      <c r="Q141" s="120" t="e">
        <f t="shared" si="39"/>
        <v>#DIV/0!</v>
      </c>
      <c r="R141" s="168">
        <f t="shared" si="40"/>
        <v>0</v>
      </c>
      <c r="S141" s="168">
        <f t="shared" si="38"/>
        <v>0</v>
      </c>
      <c r="T141" s="125"/>
      <c r="U141" s="124"/>
      <c r="V141" s="120"/>
      <c r="W141" s="125"/>
      <c r="X141" s="125"/>
      <c r="Y141" s="166"/>
      <c r="Z141" s="168"/>
      <c r="AA141" s="168"/>
      <c r="AB141" s="168"/>
      <c r="AC141" s="168"/>
      <c r="AD141" s="124"/>
      <c r="AE141" s="120"/>
      <c r="AF141" s="120"/>
      <c r="AG141" s="120"/>
      <c r="AH141" s="120"/>
      <c r="AI141" s="120"/>
      <c r="AJ141" s="120"/>
      <c r="AK141" s="120"/>
      <c r="AL141" s="120"/>
    </row>
    <row r="142" spans="1:38">
      <c r="A142" s="13">
        <f t="shared" si="41"/>
        <v>135</v>
      </c>
      <c r="B142" s="128"/>
      <c r="C142" s="121"/>
      <c r="D142" s="121"/>
      <c r="E142" s="120"/>
      <c r="F142" s="121"/>
      <c r="G142" s="120"/>
      <c r="H142" s="122"/>
      <c r="I142" s="120"/>
      <c r="J142" s="120"/>
      <c r="K142" s="120"/>
      <c r="L142" s="120"/>
      <c r="M142" s="164">
        <f t="shared" si="36"/>
        <v>0</v>
      </c>
      <c r="N142" s="164"/>
      <c r="O142" s="164"/>
      <c r="P142" s="124">
        <f t="shared" si="37"/>
        <v>0</v>
      </c>
      <c r="Q142" s="120" t="e">
        <f t="shared" si="39"/>
        <v>#DIV/0!</v>
      </c>
      <c r="R142" s="168">
        <f t="shared" si="40"/>
        <v>0</v>
      </c>
      <c r="S142" s="168">
        <f t="shared" si="38"/>
        <v>0</v>
      </c>
      <c r="T142" s="125"/>
      <c r="U142" s="124"/>
      <c r="V142" s="120"/>
      <c r="W142" s="125"/>
      <c r="X142" s="125"/>
      <c r="Y142" s="166"/>
      <c r="Z142" s="168"/>
      <c r="AA142" s="168"/>
      <c r="AB142" s="168"/>
      <c r="AC142" s="168"/>
      <c r="AD142" s="124"/>
      <c r="AE142" s="120"/>
      <c r="AF142" s="120"/>
      <c r="AG142" s="120"/>
      <c r="AH142" s="120"/>
      <c r="AI142" s="120"/>
      <c r="AJ142" s="120"/>
      <c r="AK142" s="120"/>
      <c r="AL142" s="120"/>
    </row>
    <row r="143" spans="1:38">
      <c r="A143" s="13">
        <f t="shared" si="41"/>
        <v>136</v>
      </c>
      <c r="B143" s="128"/>
      <c r="C143" s="121"/>
      <c r="D143" s="121"/>
      <c r="E143" s="120"/>
      <c r="F143" s="121"/>
      <c r="G143" s="120"/>
      <c r="H143" s="122"/>
      <c r="I143" s="120"/>
      <c r="J143" s="120"/>
      <c r="K143" s="120"/>
      <c r="L143" s="120"/>
      <c r="M143" s="164">
        <f t="shared" si="36"/>
        <v>0</v>
      </c>
      <c r="N143" s="164"/>
      <c r="O143" s="164"/>
      <c r="P143" s="124">
        <f t="shared" si="37"/>
        <v>0</v>
      </c>
      <c r="Q143" s="120" t="e">
        <f t="shared" si="39"/>
        <v>#DIV/0!</v>
      </c>
      <c r="R143" s="168">
        <f t="shared" si="40"/>
        <v>0</v>
      </c>
      <c r="S143" s="168">
        <f t="shared" si="38"/>
        <v>0</v>
      </c>
      <c r="T143" s="125"/>
      <c r="U143" s="124"/>
      <c r="V143" s="120"/>
      <c r="W143" s="125"/>
      <c r="X143" s="125"/>
      <c r="Y143" s="166"/>
      <c r="Z143" s="168"/>
      <c r="AA143" s="168"/>
      <c r="AB143" s="168"/>
      <c r="AC143" s="168"/>
      <c r="AD143" s="124"/>
      <c r="AE143" s="120"/>
      <c r="AF143" s="120"/>
      <c r="AG143" s="120"/>
      <c r="AH143" s="120"/>
      <c r="AI143" s="120"/>
      <c r="AJ143" s="120"/>
      <c r="AK143" s="120"/>
      <c r="AL143" s="120"/>
    </row>
    <row r="144" spans="1:38">
      <c r="A144" s="13">
        <f t="shared" si="41"/>
        <v>137</v>
      </c>
      <c r="B144" s="128"/>
      <c r="C144" s="121"/>
      <c r="D144" s="121"/>
      <c r="E144" s="120"/>
      <c r="F144" s="121"/>
      <c r="G144" s="120"/>
      <c r="H144" s="122"/>
      <c r="I144" s="120"/>
      <c r="J144" s="120"/>
      <c r="K144" s="120"/>
      <c r="L144" s="120"/>
      <c r="M144" s="164">
        <f t="shared" si="36"/>
        <v>0</v>
      </c>
      <c r="N144" s="164"/>
      <c r="O144" s="164"/>
      <c r="P144" s="124">
        <f t="shared" si="37"/>
        <v>0</v>
      </c>
      <c r="Q144" s="120" t="e">
        <f t="shared" si="39"/>
        <v>#DIV/0!</v>
      </c>
      <c r="R144" s="168">
        <f t="shared" si="40"/>
        <v>0</v>
      </c>
      <c r="S144" s="168">
        <f t="shared" si="38"/>
        <v>0</v>
      </c>
      <c r="T144" s="125"/>
      <c r="U144" s="124"/>
      <c r="V144" s="120"/>
      <c r="W144" s="125"/>
      <c r="X144" s="125"/>
      <c r="Y144" s="166"/>
      <c r="Z144" s="168"/>
      <c r="AA144" s="168"/>
      <c r="AB144" s="168"/>
      <c r="AC144" s="168"/>
      <c r="AD144" s="124"/>
      <c r="AE144" s="120"/>
      <c r="AF144" s="120"/>
      <c r="AG144" s="120"/>
      <c r="AH144" s="120"/>
      <c r="AI144" s="120"/>
      <c r="AJ144" s="120"/>
      <c r="AK144" s="120"/>
      <c r="AL144" s="120"/>
    </row>
    <row r="145" spans="1:38">
      <c r="A145" s="13">
        <f t="shared" si="41"/>
        <v>138</v>
      </c>
      <c r="B145" s="128"/>
      <c r="C145" s="121"/>
      <c r="D145" s="121"/>
      <c r="E145" s="120"/>
      <c r="F145" s="121"/>
      <c r="G145" s="120"/>
      <c r="H145" s="122"/>
      <c r="I145" s="120"/>
      <c r="J145" s="120"/>
      <c r="K145" s="120"/>
      <c r="L145" s="120"/>
      <c r="M145" s="164">
        <f t="shared" si="36"/>
        <v>0</v>
      </c>
      <c r="N145" s="164"/>
      <c r="O145" s="164"/>
      <c r="P145" s="124">
        <f t="shared" si="37"/>
        <v>0</v>
      </c>
      <c r="Q145" s="120" t="e">
        <f t="shared" si="39"/>
        <v>#DIV/0!</v>
      </c>
      <c r="R145" s="168">
        <f t="shared" si="40"/>
        <v>0</v>
      </c>
      <c r="S145" s="168">
        <f t="shared" si="38"/>
        <v>0</v>
      </c>
      <c r="T145" s="125"/>
      <c r="U145" s="124"/>
      <c r="V145" s="120"/>
      <c r="W145" s="125"/>
      <c r="X145" s="125"/>
      <c r="Y145" s="166"/>
      <c r="Z145" s="168"/>
      <c r="AA145" s="168"/>
      <c r="AB145" s="168"/>
      <c r="AC145" s="168"/>
      <c r="AD145" s="124"/>
      <c r="AE145" s="120"/>
      <c r="AF145" s="120"/>
      <c r="AG145" s="120"/>
      <c r="AH145" s="120"/>
      <c r="AI145" s="120"/>
      <c r="AJ145" s="120"/>
      <c r="AK145" s="120"/>
      <c r="AL145" s="120"/>
    </row>
    <row r="146" spans="1:38">
      <c r="A146" s="13">
        <f t="shared" si="41"/>
        <v>139</v>
      </c>
      <c r="B146" s="128"/>
      <c r="C146" s="121"/>
      <c r="D146" s="121"/>
      <c r="E146" s="120"/>
      <c r="F146" s="121"/>
      <c r="G146" s="120"/>
      <c r="H146" s="122"/>
      <c r="I146" s="120"/>
      <c r="J146" s="120"/>
      <c r="K146" s="120"/>
      <c r="L146" s="120"/>
      <c r="M146" s="164">
        <f t="shared" si="36"/>
        <v>0</v>
      </c>
      <c r="N146" s="164"/>
      <c r="O146" s="164"/>
      <c r="P146" s="124">
        <f t="shared" si="37"/>
        <v>0</v>
      </c>
      <c r="Q146" s="120" t="e">
        <f t="shared" si="39"/>
        <v>#DIV/0!</v>
      </c>
      <c r="R146" s="168">
        <f t="shared" si="40"/>
        <v>0</v>
      </c>
      <c r="S146" s="168">
        <f t="shared" si="38"/>
        <v>0</v>
      </c>
      <c r="T146" s="125"/>
      <c r="U146" s="124"/>
      <c r="V146" s="120"/>
      <c r="W146" s="125"/>
      <c r="X146" s="125"/>
      <c r="Y146" s="166"/>
      <c r="Z146" s="168"/>
      <c r="AA146" s="168"/>
      <c r="AB146" s="168"/>
      <c r="AC146" s="168"/>
      <c r="AD146" s="124"/>
      <c r="AE146" s="120"/>
      <c r="AF146" s="120"/>
      <c r="AG146" s="120"/>
      <c r="AH146" s="120"/>
      <c r="AI146" s="120"/>
      <c r="AJ146" s="120"/>
      <c r="AK146" s="120"/>
      <c r="AL146" s="120"/>
    </row>
    <row r="147" spans="1:38">
      <c r="A147" s="13">
        <f t="shared" si="41"/>
        <v>140</v>
      </c>
      <c r="B147" s="128"/>
      <c r="C147" s="121"/>
      <c r="D147" s="121"/>
      <c r="E147" s="120"/>
      <c r="F147" s="121"/>
      <c r="G147" s="120"/>
      <c r="H147" s="122"/>
      <c r="I147" s="120"/>
      <c r="J147" s="120"/>
      <c r="K147" s="120"/>
      <c r="L147" s="120"/>
      <c r="M147" s="164">
        <f t="shared" si="36"/>
        <v>0</v>
      </c>
      <c r="N147" s="164"/>
      <c r="O147" s="164"/>
      <c r="P147" s="124">
        <f t="shared" si="37"/>
        <v>0</v>
      </c>
      <c r="Q147" s="120" t="e">
        <f t="shared" si="39"/>
        <v>#DIV/0!</v>
      </c>
      <c r="R147" s="168">
        <f t="shared" si="40"/>
        <v>0</v>
      </c>
      <c r="S147" s="168">
        <f t="shared" si="38"/>
        <v>0</v>
      </c>
      <c r="T147" s="125"/>
      <c r="U147" s="124"/>
      <c r="V147" s="120"/>
      <c r="W147" s="125"/>
      <c r="X147" s="125"/>
      <c r="Y147" s="166"/>
      <c r="Z147" s="168"/>
      <c r="AA147" s="168"/>
      <c r="AB147" s="168"/>
      <c r="AC147" s="168"/>
      <c r="AD147" s="124"/>
      <c r="AE147" s="120"/>
      <c r="AF147" s="120"/>
      <c r="AG147" s="120"/>
      <c r="AH147" s="120"/>
      <c r="AI147" s="120"/>
      <c r="AJ147" s="120"/>
      <c r="AK147" s="120"/>
      <c r="AL147" s="120"/>
    </row>
    <row r="148" spans="1:38">
      <c r="A148" s="13">
        <f t="shared" si="41"/>
        <v>141</v>
      </c>
      <c r="B148" s="128"/>
      <c r="C148" s="121"/>
      <c r="D148" s="121"/>
      <c r="E148" s="120"/>
      <c r="F148" s="121"/>
      <c r="G148" s="120"/>
      <c r="H148" s="122"/>
      <c r="I148" s="120"/>
      <c r="J148" s="120"/>
      <c r="K148" s="120"/>
      <c r="L148" s="120"/>
      <c r="M148" s="164">
        <f t="shared" si="36"/>
        <v>0</v>
      </c>
      <c r="N148" s="164"/>
      <c r="O148" s="164"/>
      <c r="P148" s="124">
        <f t="shared" si="37"/>
        <v>0</v>
      </c>
      <c r="Q148" s="120" t="e">
        <f t="shared" si="39"/>
        <v>#DIV/0!</v>
      </c>
      <c r="R148" s="168">
        <f t="shared" si="40"/>
        <v>0</v>
      </c>
      <c r="S148" s="168">
        <f t="shared" si="38"/>
        <v>0</v>
      </c>
      <c r="T148" s="125"/>
      <c r="U148" s="124"/>
      <c r="V148" s="120"/>
      <c r="W148" s="125"/>
      <c r="X148" s="125"/>
      <c r="Y148" s="166"/>
      <c r="Z148" s="168"/>
      <c r="AA148" s="168"/>
      <c r="AB148" s="168"/>
      <c r="AC148" s="168"/>
      <c r="AD148" s="124"/>
      <c r="AE148" s="120"/>
      <c r="AF148" s="120"/>
      <c r="AG148" s="120"/>
      <c r="AH148" s="120"/>
      <c r="AI148" s="120"/>
      <c r="AJ148" s="120"/>
      <c r="AK148" s="120"/>
      <c r="AL148" s="120"/>
    </row>
    <row r="149" spans="1:38">
      <c r="A149" s="13">
        <f t="shared" si="41"/>
        <v>142</v>
      </c>
      <c r="B149" s="128"/>
      <c r="C149" s="121"/>
      <c r="D149" s="121"/>
      <c r="E149" s="120"/>
      <c r="F149" s="121"/>
      <c r="G149" s="120"/>
      <c r="H149" s="122"/>
      <c r="I149" s="120"/>
      <c r="J149" s="120"/>
      <c r="K149" s="120"/>
      <c r="L149" s="120"/>
      <c r="M149" s="164">
        <f t="shared" si="36"/>
        <v>0</v>
      </c>
      <c r="N149" s="164"/>
      <c r="O149" s="164"/>
      <c r="P149" s="124">
        <f t="shared" si="37"/>
        <v>0</v>
      </c>
      <c r="Q149" s="120" t="e">
        <f t="shared" si="39"/>
        <v>#DIV/0!</v>
      </c>
      <c r="R149" s="168">
        <f t="shared" si="40"/>
        <v>0</v>
      </c>
      <c r="S149" s="168">
        <f t="shared" si="38"/>
        <v>0</v>
      </c>
      <c r="T149" s="125"/>
      <c r="U149" s="124"/>
      <c r="V149" s="120"/>
      <c r="W149" s="125"/>
      <c r="X149" s="125"/>
      <c r="Y149" s="166"/>
      <c r="Z149" s="168"/>
      <c r="AA149" s="168"/>
      <c r="AB149" s="168"/>
      <c r="AC149" s="168"/>
      <c r="AD149" s="124"/>
      <c r="AE149" s="120"/>
      <c r="AF149" s="120"/>
      <c r="AG149" s="120"/>
      <c r="AH149" s="120"/>
      <c r="AI149" s="120"/>
      <c r="AJ149" s="120"/>
      <c r="AK149" s="120"/>
      <c r="AL149" s="120"/>
    </row>
    <row r="150" spans="1:38">
      <c r="A150" s="13">
        <f t="shared" si="41"/>
        <v>143</v>
      </c>
      <c r="B150" s="128"/>
      <c r="C150" s="121"/>
      <c r="D150" s="121"/>
      <c r="E150" s="120"/>
      <c r="F150" s="121"/>
      <c r="G150" s="120"/>
      <c r="H150" s="122"/>
      <c r="I150" s="120"/>
      <c r="J150" s="120"/>
      <c r="K150" s="120"/>
      <c r="L150" s="120"/>
      <c r="M150" s="164">
        <f t="shared" si="36"/>
        <v>0</v>
      </c>
      <c r="N150" s="164"/>
      <c r="O150" s="164"/>
      <c r="P150" s="124">
        <f t="shared" si="37"/>
        <v>0</v>
      </c>
      <c r="Q150" s="120" t="e">
        <f t="shared" si="39"/>
        <v>#DIV/0!</v>
      </c>
      <c r="R150" s="168">
        <f t="shared" si="40"/>
        <v>0</v>
      </c>
      <c r="S150" s="168">
        <f t="shared" si="38"/>
        <v>0</v>
      </c>
      <c r="T150" s="125"/>
      <c r="U150" s="124"/>
      <c r="V150" s="120"/>
      <c r="W150" s="125"/>
      <c r="X150" s="125"/>
      <c r="Y150" s="166"/>
      <c r="Z150" s="168"/>
      <c r="AA150" s="168"/>
      <c r="AB150" s="168"/>
      <c r="AC150" s="168"/>
      <c r="AD150" s="124"/>
      <c r="AE150" s="120"/>
      <c r="AF150" s="120"/>
      <c r="AG150" s="120"/>
      <c r="AH150" s="120"/>
      <c r="AI150" s="120"/>
      <c r="AJ150" s="120"/>
      <c r="AK150" s="120"/>
      <c r="AL150" s="120"/>
    </row>
    <row r="151" spans="1:38">
      <c r="A151" s="13">
        <f t="shared" si="41"/>
        <v>144</v>
      </c>
      <c r="B151" s="128"/>
      <c r="C151" s="121"/>
      <c r="D151" s="121"/>
      <c r="E151" s="120"/>
      <c r="F151" s="121"/>
      <c r="G151" s="120"/>
      <c r="H151" s="122"/>
      <c r="I151" s="120"/>
      <c r="J151" s="120"/>
      <c r="K151" s="120"/>
      <c r="L151" s="120"/>
      <c r="M151" s="164">
        <f t="shared" si="36"/>
        <v>0</v>
      </c>
      <c r="N151" s="164"/>
      <c r="O151" s="164"/>
      <c r="P151" s="124">
        <f t="shared" si="37"/>
        <v>0</v>
      </c>
      <c r="Q151" s="120" t="e">
        <f t="shared" si="39"/>
        <v>#DIV/0!</v>
      </c>
      <c r="R151" s="168">
        <f t="shared" si="40"/>
        <v>0</v>
      </c>
      <c r="S151" s="168">
        <f t="shared" si="38"/>
        <v>0</v>
      </c>
      <c r="T151" s="125"/>
      <c r="U151" s="124"/>
      <c r="V151" s="120"/>
      <c r="W151" s="125"/>
      <c r="X151" s="125"/>
      <c r="Y151" s="166"/>
      <c r="Z151" s="168"/>
      <c r="AA151" s="168"/>
      <c r="AB151" s="168"/>
      <c r="AC151" s="168"/>
      <c r="AD151" s="124"/>
      <c r="AE151" s="120"/>
      <c r="AF151" s="120"/>
      <c r="AG151" s="120"/>
      <c r="AH151" s="120"/>
      <c r="AI151" s="120"/>
      <c r="AJ151" s="120"/>
      <c r="AK151" s="120"/>
      <c r="AL151" s="120"/>
    </row>
    <row r="152" spans="1:38">
      <c r="A152" s="13">
        <f t="shared" si="41"/>
        <v>145</v>
      </c>
      <c r="B152" s="128"/>
      <c r="C152" s="121"/>
      <c r="D152" s="121"/>
      <c r="E152" s="120"/>
      <c r="F152" s="121"/>
      <c r="G152" s="120"/>
      <c r="H152" s="122"/>
      <c r="I152" s="120"/>
      <c r="J152" s="120"/>
      <c r="K152" s="120"/>
      <c r="L152" s="120"/>
      <c r="M152" s="164">
        <f t="shared" si="36"/>
        <v>0</v>
      </c>
      <c r="N152" s="164"/>
      <c r="O152" s="164"/>
      <c r="P152" s="124">
        <f t="shared" si="37"/>
        <v>0</v>
      </c>
      <c r="Q152" s="120" t="e">
        <f t="shared" si="39"/>
        <v>#DIV/0!</v>
      </c>
      <c r="R152" s="168">
        <f t="shared" si="40"/>
        <v>0</v>
      </c>
      <c r="S152" s="168">
        <f t="shared" si="38"/>
        <v>0</v>
      </c>
      <c r="T152" s="125"/>
      <c r="U152" s="124"/>
      <c r="V152" s="120"/>
      <c r="W152" s="125"/>
      <c r="X152" s="125"/>
      <c r="Y152" s="166"/>
      <c r="Z152" s="168"/>
      <c r="AA152" s="168"/>
      <c r="AB152" s="168"/>
      <c r="AC152" s="168"/>
      <c r="AD152" s="124"/>
      <c r="AE152" s="120"/>
      <c r="AF152" s="120"/>
      <c r="AG152" s="120"/>
      <c r="AH152" s="120"/>
      <c r="AI152" s="120"/>
      <c r="AJ152" s="120"/>
      <c r="AK152" s="120"/>
      <c r="AL152" s="120"/>
    </row>
    <row r="153" spans="1:38">
      <c r="A153" s="13">
        <f t="shared" si="41"/>
        <v>146</v>
      </c>
      <c r="B153" s="128"/>
      <c r="C153" s="121"/>
      <c r="D153" s="121"/>
      <c r="E153" s="120"/>
      <c r="F153" s="121"/>
      <c r="G153" s="120"/>
      <c r="H153" s="122"/>
      <c r="I153" s="120"/>
      <c r="J153" s="120"/>
      <c r="K153" s="120"/>
      <c r="L153" s="120"/>
      <c r="M153" s="164">
        <f t="shared" si="36"/>
        <v>0</v>
      </c>
      <c r="N153" s="164"/>
      <c r="O153" s="164"/>
      <c r="P153" s="124">
        <f t="shared" si="37"/>
        <v>0</v>
      </c>
      <c r="Q153" s="120" t="e">
        <f t="shared" si="39"/>
        <v>#DIV/0!</v>
      </c>
      <c r="R153" s="168">
        <f t="shared" si="40"/>
        <v>0</v>
      </c>
      <c r="S153" s="168">
        <f t="shared" si="38"/>
        <v>0</v>
      </c>
      <c r="T153" s="125"/>
      <c r="U153" s="124"/>
      <c r="V153" s="120"/>
      <c r="W153" s="125"/>
      <c r="X153" s="125"/>
      <c r="Y153" s="166"/>
      <c r="Z153" s="168"/>
      <c r="AA153" s="168"/>
      <c r="AB153" s="168"/>
      <c r="AC153" s="168"/>
      <c r="AD153" s="124"/>
      <c r="AE153" s="120"/>
      <c r="AF153" s="120"/>
      <c r="AG153" s="120"/>
      <c r="AH153" s="120"/>
      <c r="AI153" s="120"/>
      <c r="AJ153" s="120"/>
      <c r="AK153" s="120"/>
      <c r="AL153" s="120"/>
    </row>
    <row r="154" spans="1:38">
      <c r="A154" s="13">
        <f t="shared" si="41"/>
        <v>147</v>
      </c>
      <c r="B154" s="128"/>
      <c r="C154" s="121"/>
      <c r="D154" s="121"/>
      <c r="E154" s="120"/>
      <c r="F154" s="121"/>
      <c r="G154" s="120"/>
      <c r="H154" s="122"/>
      <c r="I154" s="120"/>
      <c r="J154" s="120"/>
      <c r="K154" s="120"/>
      <c r="L154" s="120"/>
      <c r="M154" s="164">
        <f t="shared" si="36"/>
        <v>0</v>
      </c>
      <c r="N154" s="164"/>
      <c r="O154" s="164"/>
      <c r="P154" s="124">
        <f t="shared" si="37"/>
        <v>0</v>
      </c>
      <c r="Q154" s="120" t="e">
        <f t="shared" si="39"/>
        <v>#DIV/0!</v>
      </c>
      <c r="R154" s="168">
        <f t="shared" si="40"/>
        <v>0</v>
      </c>
      <c r="S154" s="168">
        <f t="shared" si="38"/>
        <v>0</v>
      </c>
      <c r="T154" s="125"/>
      <c r="U154" s="124"/>
      <c r="V154" s="120"/>
      <c r="W154" s="125"/>
      <c r="X154" s="125"/>
      <c r="Y154" s="166"/>
      <c r="Z154" s="168"/>
      <c r="AA154" s="168"/>
      <c r="AB154" s="168"/>
      <c r="AC154" s="168"/>
      <c r="AD154" s="124"/>
      <c r="AE154" s="120"/>
      <c r="AF154" s="120"/>
      <c r="AG154" s="120"/>
      <c r="AH154" s="120"/>
      <c r="AI154" s="120"/>
      <c r="AJ154" s="120"/>
      <c r="AK154" s="120"/>
      <c r="AL154" s="120"/>
    </row>
    <row r="155" spans="1:38">
      <c r="A155" s="13">
        <f t="shared" si="41"/>
        <v>148</v>
      </c>
      <c r="B155" s="128"/>
      <c r="C155" s="121"/>
      <c r="D155" s="121"/>
      <c r="E155" s="120"/>
      <c r="F155" s="121"/>
      <c r="G155" s="120"/>
      <c r="H155" s="122"/>
      <c r="I155" s="120"/>
      <c r="J155" s="120"/>
      <c r="K155" s="120"/>
      <c r="L155" s="120"/>
      <c r="M155" s="164">
        <f t="shared" si="36"/>
        <v>0</v>
      </c>
      <c r="N155" s="164"/>
      <c r="O155" s="164"/>
      <c r="P155" s="124">
        <f t="shared" si="37"/>
        <v>0</v>
      </c>
      <c r="Q155" s="120" t="e">
        <f t="shared" si="39"/>
        <v>#DIV/0!</v>
      </c>
      <c r="R155" s="168">
        <f t="shared" si="40"/>
        <v>0</v>
      </c>
      <c r="S155" s="168">
        <f t="shared" si="38"/>
        <v>0</v>
      </c>
      <c r="T155" s="125"/>
      <c r="U155" s="124"/>
      <c r="V155" s="120"/>
      <c r="W155" s="125"/>
      <c r="X155" s="125"/>
      <c r="Y155" s="166"/>
      <c r="Z155" s="168"/>
      <c r="AA155" s="168"/>
      <c r="AB155" s="168"/>
      <c r="AC155" s="168"/>
      <c r="AD155" s="124"/>
      <c r="AE155" s="120"/>
      <c r="AF155" s="120"/>
      <c r="AG155" s="120"/>
      <c r="AH155" s="120"/>
      <c r="AI155" s="120"/>
      <c r="AJ155" s="120"/>
      <c r="AK155" s="120"/>
      <c r="AL155" s="120"/>
    </row>
    <row r="156" spans="1:38">
      <c r="A156" s="13">
        <f t="shared" si="41"/>
        <v>149</v>
      </c>
      <c r="B156" s="128"/>
      <c r="C156" s="121"/>
      <c r="D156" s="121"/>
      <c r="E156" s="120"/>
      <c r="F156" s="121"/>
      <c r="G156" s="120"/>
      <c r="H156" s="122"/>
      <c r="I156" s="120"/>
      <c r="J156" s="120"/>
      <c r="K156" s="120"/>
      <c r="L156" s="120"/>
      <c r="M156" s="164">
        <f t="shared" si="36"/>
        <v>0</v>
      </c>
      <c r="N156" s="164"/>
      <c r="O156" s="164"/>
      <c r="P156" s="124">
        <f t="shared" si="37"/>
        <v>0</v>
      </c>
      <c r="Q156" s="120" t="e">
        <f t="shared" si="39"/>
        <v>#DIV/0!</v>
      </c>
      <c r="R156" s="168">
        <f t="shared" si="40"/>
        <v>0</v>
      </c>
      <c r="S156" s="168">
        <f t="shared" si="38"/>
        <v>0</v>
      </c>
      <c r="T156" s="125"/>
      <c r="U156" s="124"/>
      <c r="V156" s="120"/>
      <c r="W156" s="125"/>
      <c r="X156" s="125"/>
      <c r="Y156" s="166"/>
      <c r="Z156" s="168"/>
      <c r="AA156" s="168"/>
      <c r="AB156" s="168"/>
      <c r="AC156" s="168"/>
      <c r="AD156" s="124"/>
      <c r="AE156" s="120"/>
      <c r="AF156" s="120"/>
      <c r="AG156" s="120"/>
      <c r="AH156" s="120"/>
      <c r="AI156" s="120"/>
      <c r="AJ156" s="120"/>
      <c r="AK156" s="120"/>
      <c r="AL156" s="120"/>
    </row>
    <row r="157" spans="1:38">
      <c r="A157" s="13">
        <f t="shared" si="41"/>
        <v>150</v>
      </c>
      <c r="B157" s="128"/>
      <c r="C157" s="121"/>
      <c r="D157" s="121"/>
      <c r="E157" s="120"/>
      <c r="F157" s="121"/>
      <c r="G157" s="120"/>
      <c r="H157" s="122"/>
      <c r="I157" s="120"/>
      <c r="J157" s="120"/>
      <c r="K157" s="120"/>
      <c r="L157" s="120"/>
      <c r="M157" s="164">
        <f t="shared" si="36"/>
        <v>0</v>
      </c>
      <c r="N157" s="164"/>
      <c r="O157" s="164"/>
      <c r="P157" s="124">
        <f t="shared" si="37"/>
        <v>0</v>
      </c>
      <c r="Q157" s="120" t="e">
        <f t="shared" si="39"/>
        <v>#DIV/0!</v>
      </c>
      <c r="R157" s="168">
        <f t="shared" si="40"/>
        <v>0</v>
      </c>
      <c r="S157" s="168">
        <f t="shared" si="38"/>
        <v>0</v>
      </c>
      <c r="T157" s="125"/>
      <c r="U157" s="124"/>
      <c r="V157" s="120"/>
      <c r="W157" s="125"/>
      <c r="X157" s="125"/>
      <c r="Y157" s="166"/>
      <c r="Z157" s="168"/>
      <c r="AA157" s="168"/>
      <c r="AB157" s="168"/>
      <c r="AC157" s="168"/>
      <c r="AD157" s="124"/>
      <c r="AE157" s="120"/>
      <c r="AF157" s="120"/>
      <c r="AG157" s="120"/>
      <c r="AH157" s="120"/>
      <c r="AI157" s="120"/>
      <c r="AJ157" s="120"/>
      <c r="AK157" s="120"/>
      <c r="AL157" s="120"/>
    </row>
    <row r="158" spans="1:38">
      <c r="A158" s="13">
        <f t="shared" si="41"/>
        <v>151</v>
      </c>
      <c r="B158" s="128"/>
      <c r="C158" s="121"/>
      <c r="D158" s="121"/>
      <c r="E158" s="120"/>
      <c r="F158" s="121"/>
      <c r="G158" s="120"/>
      <c r="H158" s="122"/>
      <c r="I158" s="120"/>
      <c r="J158" s="120"/>
      <c r="K158" s="120"/>
      <c r="L158" s="120"/>
      <c r="M158" s="164">
        <f t="shared" si="36"/>
        <v>0</v>
      </c>
      <c r="N158" s="164"/>
      <c r="O158" s="164"/>
      <c r="P158" s="124">
        <f t="shared" si="37"/>
        <v>0</v>
      </c>
      <c r="Q158" s="120" t="e">
        <f t="shared" si="39"/>
        <v>#DIV/0!</v>
      </c>
      <c r="R158" s="168">
        <f t="shared" si="40"/>
        <v>0</v>
      </c>
      <c r="S158" s="168">
        <f t="shared" si="38"/>
        <v>0</v>
      </c>
      <c r="T158" s="125"/>
      <c r="U158" s="124"/>
      <c r="V158" s="120"/>
      <c r="W158" s="125"/>
      <c r="X158" s="125"/>
      <c r="Y158" s="166"/>
      <c r="Z158" s="168"/>
      <c r="AA158" s="168"/>
      <c r="AB158" s="168"/>
      <c r="AC158" s="168"/>
      <c r="AD158" s="124"/>
      <c r="AE158" s="120"/>
      <c r="AF158" s="120"/>
      <c r="AG158" s="120"/>
      <c r="AH158" s="120"/>
      <c r="AI158" s="120"/>
      <c r="AJ158" s="120"/>
      <c r="AK158" s="120"/>
      <c r="AL158" s="120"/>
    </row>
    <row r="159" spans="1:38">
      <c r="A159" s="13">
        <f t="shared" si="41"/>
        <v>152</v>
      </c>
      <c r="B159" s="128"/>
      <c r="C159" s="121"/>
      <c r="D159" s="121"/>
      <c r="E159" s="120"/>
      <c r="F159" s="121"/>
      <c r="G159" s="120"/>
      <c r="H159" s="122"/>
      <c r="I159" s="120"/>
      <c r="J159" s="120"/>
      <c r="K159" s="120"/>
      <c r="L159" s="120"/>
      <c r="M159" s="164">
        <f t="shared" si="36"/>
        <v>0</v>
      </c>
      <c r="N159" s="164"/>
      <c r="O159" s="164"/>
      <c r="P159" s="124">
        <f t="shared" si="37"/>
        <v>0</v>
      </c>
      <c r="Q159" s="120" t="e">
        <f t="shared" si="39"/>
        <v>#DIV/0!</v>
      </c>
      <c r="R159" s="168">
        <f t="shared" si="40"/>
        <v>0</v>
      </c>
      <c r="S159" s="168">
        <f t="shared" si="38"/>
        <v>0</v>
      </c>
      <c r="T159" s="125"/>
      <c r="U159" s="124"/>
      <c r="V159" s="120"/>
      <c r="W159" s="125"/>
      <c r="X159" s="125"/>
      <c r="Y159" s="166"/>
      <c r="Z159" s="168"/>
      <c r="AA159" s="168"/>
      <c r="AB159" s="168"/>
      <c r="AC159" s="168"/>
      <c r="AD159" s="124"/>
      <c r="AE159" s="120"/>
      <c r="AF159" s="120"/>
      <c r="AG159" s="120"/>
      <c r="AH159" s="120"/>
      <c r="AI159" s="120"/>
      <c r="AJ159" s="120"/>
      <c r="AK159" s="120"/>
      <c r="AL159" s="120"/>
    </row>
    <row r="160" spans="1:38">
      <c r="A160" s="13">
        <f t="shared" si="41"/>
        <v>153</v>
      </c>
      <c r="B160" s="128"/>
      <c r="C160" s="121"/>
      <c r="D160" s="121"/>
      <c r="E160" s="120"/>
      <c r="F160" s="121"/>
      <c r="G160" s="120"/>
      <c r="H160" s="122"/>
      <c r="I160" s="120"/>
      <c r="J160" s="120"/>
      <c r="K160" s="120"/>
      <c r="L160" s="120"/>
      <c r="M160" s="164">
        <f t="shared" si="36"/>
        <v>0</v>
      </c>
      <c r="N160" s="164"/>
      <c r="O160" s="164"/>
      <c r="P160" s="124">
        <f t="shared" si="37"/>
        <v>0</v>
      </c>
      <c r="Q160" s="120" t="e">
        <f t="shared" si="39"/>
        <v>#DIV/0!</v>
      </c>
      <c r="R160" s="168">
        <f t="shared" si="40"/>
        <v>0</v>
      </c>
      <c r="S160" s="168">
        <f t="shared" si="38"/>
        <v>0</v>
      </c>
      <c r="T160" s="125"/>
      <c r="U160" s="124"/>
      <c r="V160" s="120"/>
      <c r="W160" s="125"/>
      <c r="X160" s="125"/>
      <c r="Y160" s="166"/>
      <c r="Z160" s="168"/>
      <c r="AA160" s="168"/>
      <c r="AB160" s="168"/>
      <c r="AC160" s="168"/>
      <c r="AD160" s="124"/>
      <c r="AE160" s="120"/>
      <c r="AF160" s="120"/>
      <c r="AG160" s="120"/>
      <c r="AH160" s="120"/>
      <c r="AI160" s="120"/>
      <c r="AJ160" s="120"/>
      <c r="AK160" s="120"/>
      <c r="AL160" s="120"/>
    </row>
    <row r="161" spans="1:38">
      <c r="A161" s="13">
        <f t="shared" si="41"/>
        <v>154</v>
      </c>
      <c r="B161" s="128"/>
      <c r="C161" s="121"/>
      <c r="D161" s="121"/>
      <c r="E161" s="120"/>
      <c r="F161" s="121"/>
      <c r="G161" s="120"/>
      <c r="H161" s="122"/>
      <c r="I161" s="120"/>
      <c r="J161" s="120"/>
      <c r="K161" s="120"/>
      <c r="L161" s="120"/>
      <c r="M161" s="164">
        <f t="shared" si="36"/>
        <v>0</v>
      </c>
      <c r="N161" s="164"/>
      <c r="O161" s="164"/>
      <c r="P161" s="124">
        <f t="shared" si="37"/>
        <v>0</v>
      </c>
      <c r="Q161" s="120" t="e">
        <f t="shared" si="39"/>
        <v>#DIV/0!</v>
      </c>
      <c r="R161" s="168">
        <f t="shared" si="40"/>
        <v>0</v>
      </c>
      <c r="S161" s="168">
        <f t="shared" si="38"/>
        <v>0</v>
      </c>
      <c r="T161" s="125"/>
      <c r="U161" s="124"/>
      <c r="V161" s="120"/>
      <c r="W161" s="125"/>
      <c r="X161" s="125"/>
      <c r="Y161" s="166"/>
      <c r="Z161" s="168"/>
      <c r="AA161" s="168"/>
      <c r="AB161" s="168"/>
      <c r="AC161" s="168"/>
      <c r="AD161" s="124"/>
      <c r="AE161" s="120"/>
      <c r="AF161" s="120"/>
      <c r="AG161" s="120"/>
      <c r="AH161" s="120"/>
      <c r="AI161" s="120"/>
      <c r="AJ161" s="120"/>
      <c r="AK161" s="120"/>
      <c r="AL161" s="120"/>
    </row>
    <row r="162" spans="1:38">
      <c r="A162" s="13">
        <f t="shared" si="41"/>
        <v>155</v>
      </c>
      <c r="B162" s="128"/>
      <c r="C162" s="121"/>
      <c r="D162" s="121"/>
      <c r="E162" s="120"/>
      <c r="F162" s="121"/>
      <c r="G162" s="120"/>
      <c r="H162" s="122"/>
      <c r="I162" s="120"/>
      <c r="J162" s="120"/>
      <c r="K162" s="120"/>
      <c r="L162" s="120"/>
      <c r="M162" s="164">
        <f t="shared" si="36"/>
        <v>0</v>
      </c>
      <c r="N162" s="164"/>
      <c r="O162" s="164"/>
      <c r="P162" s="124">
        <f t="shared" si="37"/>
        <v>0</v>
      </c>
      <c r="Q162" s="120" t="e">
        <f t="shared" si="39"/>
        <v>#DIV/0!</v>
      </c>
      <c r="R162" s="168">
        <f t="shared" si="40"/>
        <v>0</v>
      </c>
      <c r="S162" s="168">
        <f t="shared" si="38"/>
        <v>0</v>
      </c>
      <c r="T162" s="125"/>
      <c r="U162" s="124"/>
      <c r="V162" s="120"/>
      <c r="W162" s="125"/>
      <c r="X162" s="125"/>
      <c r="Y162" s="166"/>
      <c r="Z162" s="168"/>
      <c r="AA162" s="168"/>
      <c r="AB162" s="168"/>
      <c r="AC162" s="168"/>
      <c r="AD162" s="124"/>
      <c r="AE162" s="120"/>
      <c r="AF162" s="120"/>
      <c r="AG162" s="120"/>
      <c r="AH162" s="120"/>
      <c r="AI162" s="120"/>
      <c r="AJ162" s="120"/>
      <c r="AK162" s="120"/>
      <c r="AL162" s="120"/>
    </row>
    <row r="163" spans="1:38">
      <c r="A163" s="13">
        <f t="shared" si="41"/>
        <v>156</v>
      </c>
      <c r="B163" s="128"/>
      <c r="C163" s="121"/>
      <c r="D163" s="121"/>
      <c r="E163" s="120"/>
      <c r="F163" s="121"/>
      <c r="G163" s="120"/>
      <c r="H163" s="122"/>
      <c r="I163" s="120"/>
      <c r="J163" s="120"/>
      <c r="K163" s="120"/>
      <c r="L163" s="120"/>
      <c r="M163" s="164">
        <f t="shared" si="36"/>
        <v>0</v>
      </c>
      <c r="N163" s="164"/>
      <c r="O163" s="164"/>
      <c r="P163" s="124">
        <f t="shared" si="37"/>
        <v>0</v>
      </c>
      <c r="Q163" s="120" t="e">
        <f t="shared" si="39"/>
        <v>#DIV/0!</v>
      </c>
      <c r="R163" s="168">
        <f t="shared" si="40"/>
        <v>0</v>
      </c>
      <c r="S163" s="168">
        <f t="shared" si="38"/>
        <v>0</v>
      </c>
      <c r="T163" s="125"/>
      <c r="U163" s="124"/>
      <c r="V163" s="120"/>
      <c r="W163" s="125"/>
      <c r="X163" s="125"/>
      <c r="Y163" s="166"/>
      <c r="Z163" s="168"/>
      <c r="AA163" s="168"/>
      <c r="AB163" s="168"/>
      <c r="AC163" s="168"/>
      <c r="AD163" s="124"/>
      <c r="AE163" s="120"/>
      <c r="AF163" s="120"/>
      <c r="AG163" s="120"/>
      <c r="AH163" s="120"/>
      <c r="AI163" s="120"/>
      <c r="AJ163" s="120"/>
      <c r="AK163" s="120"/>
      <c r="AL163" s="120"/>
    </row>
    <row r="164" spans="1:38">
      <c r="A164" s="13">
        <f t="shared" si="41"/>
        <v>157</v>
      </c>
      <c r="B164" s="128"/>
      <c r="C164" s="121"/>
      <c r="D164" s="121"/>
      <c r="E164" s="120"/>
      <c r="F164" s="121"/>
      <c r="G164" s="120"/>
      <c r="H164" s="122"/>
      <c r="I164" s="120"/>
      <c r="J164" s="120"/>
      <c r="K164" s="120"/>
      <c r="L164" s="120"/>
      <c r="M164" s="164">
        <f t="shared" si="36"/>
        <v>0</v>
      </c>
      <c r="N164" s="164"/>
      <c r="O164" s="164"/>
      <c r="P164" s="124">
        <f t="shared" si="37"/>
        <v>0</v>
      </c>
      <c r="Q164" s="120" t="e">
        <f t="shared" si="39"/>
        <v>#DIV/0!</v>
      </c>
      <c r="R164" s="168">
        <f t="shared" si="40"/>
        <v>0</v>
      </c>
      <c r="S164" s="168">
        <f t="shared" si="38"/>
        <v>0</v>
      </c>
      <c r="T164" s="125"/>
      <c r="U164" s="124"/>
      <c r="V164" s="120"/>
      <c r="W164" s="125"/>
      <c r="X164" s="125"/>
      <c r="Y164" s="166"/>
      <c r="Z164" s="168"/>
      <c r="AA164" s="168"/>
      <c r="AB164" s="168"/>
      <c r="AC164" s="168"/>
      <c r="AD164" s="124"/>
      <c r="AE164" s="120"/>
      <c r="AF164" s="120"/>
      <c r="AG164" s="120"/>
      <c r="AH164" s="120"/>
      <c r="AI164" s="120"/>
      <c r="AJ164" s="120"/>
      <c r="AK164" s="120"/>
      <c r="AL164" s="120"/>
    </row>
    <row r="165" spans="1:38">
      <c r="A165" s="13">
        <f t="shared" si="41"/>
        <v>158</v>
      </c>
      <c r="B165" s="128"/>
      <c r="C165" s="121"/>
      <c r="D165" s="121"/>
      <c r="E165" s="120"/>
      <c r="F165" s="121"/>
      <c r="G165" s="120"/>
      <c r="H165" s="122"/>
      <c r="I165" s="120"/>
      <c r="J165" s="120"/>
      <c r="K165" s="120"/>
      <c r="L165" s="120"/>
      <c r="M165" s="164">
        <f t="shared" si="36"/>
        <v>0</v>
      </c>
      <c r="N165" s="164"/>
      <c r="O165" s="164"/>
      <c r="P165" s="124">
        <f t="shared" si="37"/>
        <v>0</v>
      </c>
      <c r="Q165" s="120" t="e">
        <f t="shared" si="39"/>
        <v>#DIV/0!</v>
      </c>
      <c r="R165" s="168">
        <f t="shared" si="40"/>
        <v>0</v>
      </c>
      <c r="S165" s="168">
        <f t="shared" si="38"/>
        <v>0</v>
      </c>
      <c r="T165" s="125"/>
      <c r="U165" s="124"/>
      <c r="V165" s="120"/>
      <c r="W165" s="125"/>
      <c r="X165" s="125"/>
      <c r="Y165" s="166"/>
      <c r="Z165" s="168"/>
      <c r="AA165" s="168"/>
      <c r="AB165" s="168"/>
      <c r="AC165" s="168"/>
      <c r="AD165" s="124"/>
      <c r="AE165" s="120"/>
      <c r="AF165" s="120"/>
      <c r="AG165" s="120"/>
      <c r="AH165" s="120"/>
      <c r="AI165" s="120"/>
      <c r="AJ165" s="120"/>
      <c r="AK165" s="120"/>
      <c r="AL165" s="120"/>
    </row>
    <row r="166" spans="1:38">
      <c r="A166" s="13">
        <f t="shared" si="41"/>
        <v>159</v>
      </c>
      <c r="B166" s="128"/>
      <c r="C166" s="121"/>
      <c r="D166" s="121"/>
      <c r="E166" s="120"/>
      <c r="F166" s="121"/>
      <c r="G166" s="120"/>
      <c r="H166" s="122"/>
      <c r="I166" s="120"/>
      <c r="J166" s="120"/>
      <c r="K166" s="120"/>
      <c r="L166" s="120"/>
      <c r="M166" s="164">
        <f t="shared" si="36"/>
        <v>0</v>
      </c>
      <c r="N166" s="164"/>
      <c r="O166" s="164"/>
      <c r="P166" s="124">
        <f t="shared" si="37"/>
        <v>0</v>
      </c>
      <c r="Q166" s="120" t="e">
        <f t="shared" si="39"/>
        <v>#DIV/0!</v>
      </c>
      <c r="R166" s="168">
        <f t="shared" si="40"/>
        <v>0</v>
      </c>
      <c r="S166" s="168">
        <f t="shared" si="38"/>
        <v>0</v>
      </c>
      <c r="T166" s="125"/>
      <c r="U166" s="124"/>
      <c r="V166" s="120"/>
      <c r="W166" s="125"/>
      <c r="X166" s="125"/>
      <c r="Y166" s="166"/>
      <c r="Z166" s="168"/>
      <c r="AA166" s="168"/>
      <c r="AB166" s="168"/>
      <c r="AC166" s="168"/>
      <c r="AD166" s="124"/>
      <c r="AE166" s="120"/>
      <c r="AF166" s="120"/>
      <c r="AG166" s="120"/>
      <c r="AH166" s="120"/>
      <c r="AI166" s="120"/>
      <c r="AJ166" s="120"/>
      <c r="AK166" s="120"/>
      <c r="AL166" s="120"/>
    </row>
    <row r="167" spans="1:38">
      <c r="A167" s="13">
        <f t="shared" si="41"/>
        <v>160</v>
      </c>
      <c r="B167" s="128"/>
      <c r="C167" s="121"/>
      <c r="D167" s="121"/>
      <c r="E167" s="120"/>
      <c r="F167" s="121"/>
      <c r="G167" s="120"/>
      <c r="H167" s="122"/>
      <c r="I167" s="120"/>
      <c r="J167" s="120"/>
      <c r="K167" s="120"/>
      <c r="L167" s="120"/>
      <c r="M167" s="164">
        <f t="shared" si="36"/>
        <v>0</v>
      </c>
      <c r="N167" s="164"/>
      <c r="O167" s="164"/>
      <c r="P167" s="124">
        <f t="shared" si="37"/>
        <v>0</v>
      </c>
      <c r="Q167" s="120" t="e">
        <f t="shared" si="39"/>
        <v>#DIV/0!</v>
      </c>
      <c r="R167" s="168">
        <f t="shared" si="40"/>
        <v>0</v>
      </c>
      <c r="S167" s="168">
        <f t="shared" si="38"/>
        <v>0</v>
      </c>
      <c r="T167" s="125"/>
      <c r="U167" s="124"/>
      <c r="V167" s="120"/>
      <c r="W167" s="125"/>
      <c r="X167" s="125"/>
      <c r="Y167" s="166"/>
      <c r="Z167" s="168"/>
      <c r="AA167" s="168"/>
      <c r="AB167" s="168"/>
      <c r="AC167" s="168"/>
      <c r="AD167" s="124"/>
      <c r="AE167" s="120"/>
      <c r="AF167" s="120"/>
      <c r="AG167" s="120"/>
      <c r="AH167" s="120"/>
      <c r="AI167" s="120"/>
      <c r="AJ167" s="120"/>
      <c r="AK167" s="120"/>
      <c r="AL167" s="120"/>
    </row>
    <row r="168" spans="1:38">
      <c r="A168" s="13">
        <f t="shared" si="41"/>
        <v>161</v>
      </c>
      <c r="B168" s="128"/>
      <c r="C168" s="121"/>
      <c r="D168" s="121"/>
      <c r="E168" s="120"/>
      <c r="F168" s="121"/>
      <c r="G168" s="120"/>
      <c r="H168" s="122"/>
      <c r="I168" s="120"/>
      <c r="J168" s="120"/>
      <c r="K168" s="120"/>
      <c r="L168" s="120"/>
      <c r="M168" s="164">
        <f t="shared" si="36"/>
        <v>0</v>
      </c>
      <c r="N168" s="164"/>
      <c r="O168" s="164"/>
      <c r="P168" s="124">
        <f t="shared" si="37"/>
        <v>0</v>
      </c>
      <c r="Q168" s="120" t="e">
        <f t="shared" si="39"/>
        <v>#DIV/0!</v>
      </c>
      <c r="R168" s="168">
        <f t="shared" si="40"/>
        <v>0</v>
      </c>
      <c r="S168" s="168">
        <f t="shared" si="38"/>
        <v>0</v>
      </c>
      <c r="T168" s="125"/>
      <c r="U168" s="124"/>
      <c r="V168" s="120"/>
      <c r="W168" s="125"/>
      <c r="X168" s="125"/>
      <c r="Y168" s="166"/>
      <c r="Z168" s="168"/>
      <c r="AA168" s="168"/>
      <c r="AB168" s="168"/>
      <c r="AC168" s="168"/>
      <c r="AD168" s="124"/>
      <c r="AE168" s="120"/>
      <c r="AF168" s="120"/>
      <c r="AG168" s="120"/>
      <c r="AH168" s="120"/>
      <c r="AI168" s="120"/>
      <c r="AJ168" s="120"/>
      <c r="AK168" s="120"/>
      <c r="AL168" s="120"/>
    </row>
    <row r="169" spans="1:38">
      <c r="A169" s="13">
        <f t="shared" si="41"/>
        <v>162</v>
      </c>
      <c r="B169" s="128"/>
      <c r="C169" s="121"/>
      <c r="D169" s="121"/>
      <c r="E169" s="120"/>
      <c r="F169" s="121"/>
      <c r="G169" s="120"/>
      <c r="H169" s="122"/>
      <c r="I169" s="120"/>
      <c r="J169" s="120"/>
      <c r="K169" s="120"/>
      <c r="L169" s="120"/>
      <c r="M169" s="164">
        <f t="shared" si="36"/>
        <v>0</v>
      </c>
      <c r="N169" s="164"/>
      <c r="O169" s="164"/>
      <c r="P169" s="124">
        <f t="shared" si="37"/>
        <v>0</v>
      </c>
      <c r="Q169" s="120" t="e">
        <f t="shared" si="39"/>
        <v>#DIV/0!</v>
      </c>
      <c r="R169" s="168">
        <f t="shared" si="40"/>
        <v>0</v>
      </c>
      <c r="S169" s="168">
        <f t="shared" si="38"/>
        <v>0</v>
      </c>
      <c r="T169" s="125"/>
      <c r="U169" s="124"/>
      <c r="V169" s="120"/>
      <c r="W169" s="125"/>
      <c r="X169" s="125"/>
      <c r="Y169" s="166"/>
      <c r="Z169" s="168"/>
      <c r="AA169" s="168"/>
      <c r="AB169" s="168"/>
      <c r="AC169" s="168"/>
      <c r="AD169" s="124"/>
      <c r="AE169" s="120"/>
      <c r="AF169" s="120"/>
      <c r="AG169" s="120"/>
      <c r="AH169" s="120"/>
      <c r="AI169" s="120"/>
      <c r="AJ169" s="120"/>
      <c r="AK169" s="120"/>
      <c r="AL169" s="120"/>
    </row>
    <row r="170" spans="1:38">
      <c r="A170" s="13">
        <f t="shared" si="41"/>
        <v>163</v>
      </c>
      <c r="B170" s="128"/>
      <c r="C170" s="121"/>
      <c r="D170" s="121"/>
      <c r="E170" s="120"/>
      <c r="F170" s="121"/>
      <c r="G170" s="120"/>
      <c r="H170" s="122"/>
      <c r="I170" s="120"/>
      <c r="J170" s="120"/>
      <c r="K170" s="120"/>
      <c r="L170" s="120"/>
      <c r="M170" s="164">
        <f t="shared" si="36"/>
        <v>0</v>
      </c>
      <c r="N170" s="164"/>
      <c r="O170" s="164"/>
      <c r="P170" s="124">
        <f t="shared" si="37"/>
        <v>0</v>
      </c>
      <c r="Q170" s="120" t="e">
        <f t="shared" si="39"/>
        <v>#DIV/0!</v>
      </c>
      <c r="R170" s="168">
        <f t="shared" si="40"/>
        <v>0</v>
      </c>
      <c r="S170" s="168">
        <f t="shared" si="38"/>
        <v>0</v>
      </c>
      <c r="T170" s="125"/>
      <c r="U170" s="124"/>
      <c r="V170" s="120"/>
      <c r="W170" s="125"/>
      <c r="X170" s="125"/>
      <c r="Y170" s="166"/>
      <c r="Z170" s="168"/>
      <c r="AA170" s="168"/>
      <c r="AB170" s="168"/>
      <c r="AC170" s="168"/>
      <c r="AD170" s="124"/>
      <c r="AE170" s="120"/>
      <c r="AF170" s="120"/>
      <c r="AG170" s="120"/>
      <c r="AH170" s="120"/>
      <c r="AI170" s="120"/>
      <c r="AJ170" s="120"/>
      <c r="AK170" s="120"/>
      <c r="AL170" s="120"/>
    </row>
    <row r="171" spans="1:38">
      <c r="A171" s="13">
        <f t="shared" si="41"/>
        <v>164</v>
      </c>
      <c r="B171" s="128"/>
      <c r="C171" s="121"/>
      <c r="D171" s="121"/>
      <c r="E171" s="120"/>
      <c r="F171" s="121"/>
      <c r="G171" s="120"/>
      <c r="H171" s="122"/>
      <c r="I171" s="120"/>
      <c r="J171" s="120"/>
      <c r="K171" s="120"/>
      <c r="L171" s="120"/>
      <c r="M171" s="164">
        <f t="shared" si="36"/>
        <v>0</v>
      </c>
      <c r="N171" s="164"/>
      <c r="O171" s="164"/>
      <c r="P171" s="124">
        <f t="shared" si="37"/>
        <v>0</v>
      </c>
      <c r="Q171" s="120" t="e">
        <f t="shared" si="39"/>
        <v>#DIV/0!</v>
      </c>
      <c r="R171" s="168">
        <f t="shared" si="40"/>
        <v>0</v>
      </c>
      <c r="S171" s="168">
        <f t="shared" si="38"/>
        <v>0</v>
      </c>
      <c r="T171" s="125"/>
      <c r="U171" s="124"/>
      <c r="V171" s="120"/>
      <c r="W171" s="125"/>
      <c r="X171" s="125"/>
      <c r="Y171" s="166"/>
      <c r="Z171" s="168"/>
      <c r="AA171" s="168"/>
      <c r="AB171" s="168"/>
      <c r="AC171" s="168"/>
      <c r="AD171" s="124"/>
      <c r="AE171" s="120"/>
      <c r="AF171" s="120"/>
      <c r="AG171" s="120"/>
      <c r="AH171" s="120"/>
      <c r="AI171" s="120"/>
      <c r="AJ171" s="120"/>
      <c r="AK171" s="120"/>
      <c r="AL171" s="120"/>
    </row>
    <row r="172" spans="1:38">
      <c r="A172" s="13">
        <f t="shared" si="41"/>
        <v>165</v>
      </c>
      <c r="B172" s="128"/>
      <c r="C172" s="121"/>
      <c r="D172" s="121"/>
      <c r="E172" s="120"/>
      <c r="F172" s="121"/>
      <c r="G172" s="120"/>
      <c r="H172" s="122"/>
      <c r="I172" s="120"/>
      <c r="J172" s="120"/>
      <c r="K172" s="120"/>
      <c r="L172" s="120"/>
      <c r="M172" s="164">
        <f t="shared" si="36"/>
        <v>0</v>
      </c>
      <c r="N172" s="164"/>
      <c r="O172" s="164"/>
      <c r="P172" s="124">
        <f t="shared" si="37"/>
        <v>0</v>
      </c>
      <c r="Q172" s="120" t="e">
        <f t="shared" si="39"/>
        <v>#DIV/0!</v>
      </c>
      <c r="R172" s="168">
        <f t="shared" si="40"/>
        <v>0</v>
      </c>
      <c r="S172" s="168">
        <f t="shared" si="38"/>
        <v>0</v>
      </c>
      <c r="T172" s="125"/>
      <c r="U172" s="124"/>
      <c r="V172" s="120"/>
      <c r="W172" s="125"/>
      <c r="X172" s="125"/>
      <c r="Y172" s="166"/>
      <c r="Z172" s="168"/>
      <c r="AA172" s="168"/>
      <c r="AB172" s="168"/>
      <c r="AC172" s="168"/>
      <c r="AD172" s="124"/>
      <c r="AE172" s="120"/>
      <c r="AF172" s="120"/>
      <c r="AG172" s="120"/>
      <c r="AH172" s="120"/>
      <c r="AI172" s="120"/>
      <c r="AJ172" s="120"/>
      <c r="AK172" s="120"/>
      <c r="AL172" s="120"/>
    </row>
    <row r="173" spans="1:38">
      <c r="A173" s="13">
        <f t="shared" si="41"/>
        <v>166</v>
      </c>
      <c r="B173" s="128"/>
      <c r="C173" s="121"/>
      <c r="D173" s="121"/>
      <c r="E173" s="120"/>
      <c r="F173" s="121"/>
      <c r="G173" s="120"/>
      <c r="H173" s="122"/>
      <c r="I173" s="120"/>
      <c r="J173" s="120"/>
      <c r="K173" s="120"/>
      <c r="L173" s="120"/>
      <c r="M173" s="164">
        <f t="shared" si="36"/>
        <v>0</v>
      </c>
      <c r="N173" s="164"/>
      <c r="O173" s="164"/>
      <c r="P173" s="124">
        <f t="shared" si="37"/>
        <v>0</v>
      </c>
      <c r="Q173" s="120" t="e">
        <f t="shared" si="39"/>
        <v>#DIV/0!</v>
      </c>
      <c r="R173" s="168">
        <f t="shared" si="40"/>
        <v>0</v>
      </c>
      <c r="S173" s="168">
        <f t="shared" si="38"/>
        <v>0</v>
      </c>
      <c r="T173" s="125"/>
      <c r="U173" s="124"/>
      <c r="V173" s="120"/>
      <c r="W173" s="125"/>
      <c r="X173" s="125"/>
      <c r="Y173" s="166"/>
      <c r="Z173" s="168"/>
      <c r="AA173" s="168"/>
      <c r="AB173" s="168"/>
      <c r="AC173" s="168"/>
      <c r="AD173" s="124"/>
      <c r="AE173" s="120"/>
      <c r="AF173" s="120"/>
      <c r="AG173" s="120"/>
      <c r="AH173" s="120"/>
      <c r="AI173" s="120"/>
      <c r="AJ173" s="120"/>
      <c r="AK173" s="120"/>
      <c r="AL173" s="120"/>
    </row>
    <row r="174" spans="1:38">
      <c r="A174" s="13">
        <f t="shared" si="41"/>
        <v>167</v>
      </c>
      <c r="B174" s="128"/>
      <c r="C174" s="121"/>
      <c r="D174" s="121"/>
      <c r="E174" s="120"/>
      <c r="F174" s="121"/>
      <c r="G174" s="120"/>
      <c r="H174" s="122"/>
      <c r="I174" s="120"/>
      <c r="J174" s="120"/>
      <c r="K174" s="120"/>
      <c r="L174" s="120"/>
      <c r="M174" s="164">
        <f t="shared" si="36"/>
        <v>0</v>
      </c>
      <c r="N174" s="164"/>
      <c r="O174" s="164"/>
      <c r="P174" s="124">
        <f t="shared" si="37"/>
        <v>0</v>
      </c>
      <c r="Q174" s="120" t="e">
        <f t="shared" si="39"/>
        <v>#DIV/0!</v>
      </c>
      <c r="R174" s="168">
        <f t="shared" si="40"/>
        <v>0</v>
      </c>
      <c r="S174" s="168">
        <f t="shared" si="38"/>
        <v>0</v>
      </c>
      <c r="T174" s="125"/>
      <c r="U174" s="124"/>
      <c r="V174" s="120"/>
      <c r="W174" s="125"/>
      <c r="X174" s="125"/>
      <c r="Y174" s="166"/>
      <c r="Z174" s="168"/>
      <c r="AA174" s="168"/>
      <c r="AB174" s="168"/>
      <c r="AC174" s="168"/>
      <c r="AD174" s="124"/>
      <c r="AE174" s="120"/>
      <c r="AF174" s="120"/>
      <c r="AG174" s="120"/>
      <c r="AH174" s="120"/>
      <c r="AI174" s="120"/>
      <c r="AJ174" s="120"/>
      <c r="AK174" s="120"/>
      <c r="AL174" s="120"/>
    </row>
    <row r="175" spans="1:38">
      <c r="A175" s="13">
        <f t="shared" si="41"/>
        <v>168</v>
      </c>
      <c r="B175" s="128"/>
      <c r="C175" s="121"/>
      <c r="D175" s="121"/>
      <c r="E175" s="120"/>
      <c r="F175" s="121"/>
      <c r="G175" s="120"/>
      <c r="H175" s="122"/>
      <c r="I175" s="120"/>
      <c r="J175" s="120"/>
      <c r="K175" s="120"/>
      <c r="L175" s="120"/>
      <c r="M175" s="164">
        <f t="shared" si="36"/>
        <v>0</v>
      </c>
      <c r="N175" s="164"/>
      <c r="O175" s="164"/>
      <c r="P175" s="124">
        <f t="shared" si="37"/>
        <v>0</v>
      </c>
      <c r="Q175" s="120" t="e">
        <f t="shared" si="39"/>
        <v>#DIV/0!</v>
      </c>
      <c r="R175" s="168">
        <f t="shared" si="40"/>
        <v>0</v>
      </c>
      <c r="S175" s="168">
        <f t="shared" si="38"/>
        <v>0</v>
      </c>
      <c r="T175" s="125"/>
      <c r="U175" s="124"/>
      <c r="V175" s="120"/>
      <c r="W175" s="125"/>
      <c r="X175" s="125"/>
      <c r="Y175" s="166"/>
      <c r="Z175" s="168"/>
      <c r="AA175" s="168"/>
      <c r="AB175" s="168"/>
      <c r="AC175" s="168"/>
      <c r="AD175" s="124"/>
      <c r="AE175" s="120"/>
      <c r="AF175" s="120"/>
      <c r="AG175" s="120"/>
      <c r="AH175" s="120"/>
      <c r="AI175" s="120"/>
      <c r="AJ175" s="120"/>
      <c r="AK175" s="120"/>
      <c r="AL175" s="120"/>
    </row>
    <row r="176" spans="1:38">
      <c r="A176" s="13">
        <f t="shared" si="41"/>
        <v>169</v>
      </c>
      <c r="B176" s="128"/>
      <c r="C176" s="121"/>
      <c r="D176" s="121"/>
      <c r="E176" s="120"/>
      <c r="F176" s="121"/>
      <c r="G176" s="120"/>
      <c r="H176" s="122"/>
      <c r="I176" s="120"/>
      <c r="J176" s="120"/>
      <c r="K176" s="120"/>
      <c r="L176" s="120"/>
      <c r="M176" s="164">
        <f t="shared" si="36"/>
        <v>0</v>
      </c>
      <c r="N176" s="164"/>
      <c r="O176" s="164"/>
      <c r="P176" s="124">
        <f t="shared" si="37"/>
        <v>0</v>
      </c>
      <c r="Q176" s="120" t="e">
        <f t="shared" si="39"/>
        <v>#DIV/0!</v>
      </c>
      <c r="R176" s="168">
        <f t="shared" si="40"/>
        <v>0</v>
      </c>
      <c r="S176" s="168">
        <f t="shared" si="38"/>
        <v>0</v>
      </c>
      <c r="T176" s="125"/>
      <c r="U176" s="124"/>
      <c r="V176" s="120"/>
      <c r="W176" s="125"/>
      <c r="X176" s="125"/>
      <c r="Y176" s="166"/>
      <c r="Z176" s="168"/>
      <c r="AA176" s="168"/>
      <c r="AB176" s="168"/>
      <c r="AC176" s="168"/>
      <c r="AD176" s="124"/>
      <c r="AE176" s="120"/>
      <c r="AF176" s="120"/>
      <c r="AG176" s="120"/>
      <c r="AH176" s="120"/>
      <c r="AI176" s="120"/>
      <c r="AJ176" s="120"/>
      <c r="AK176" s="120"/>
      <c r="AL176" s="120"/>
    </row>
    <row r="177" spans="1:38">
      <c r="A177" s="13">
        <f t="shared" si="41"/>
        <v>170</v>
      </c>
      <c r="B177" s="128"/>
      <c r="C177" s="121"/>
      <c r="D177" s="121"/>
      <c r="E177" s="120"/>
      <c r="F177" s="121"/>
      <c r="G177" s="120"/>
      <c r="H177" s="122"/>
      <c r="I177" s="120"/>
      <c r="J177" s="120"/>
      <c r="K177" s="120"/>
      <c r="L177" s="120"/>
      <c r="M177" s="164">
        <f t="shared" si="36"/>
        <v>0</v>
      </c>
      <c r="N177" s="164"/>
      <c r="O177" s="164"/>
      <c r="P177" s="124">
        <f t="shared" si="37"/>
        <v>0</v>
      </c>
      <c r="Q177" s="120" t="e">
        <f t="shared" si="39"/>
        <v>#DIV/0!</v>
      </c>
      <c r="R177" s="168">
        <f t="shared" si="40"/>
        <v>0</v>
      </c>
      <c r="S177" s="168">
        <f t="shared" si="38"/>
        <v>0</v>
      </c>
      <c r="T177" s="125"/>
      <c r="U177" s="124"/>
      <c r="V177" s="120"/>
      <c r="W177" s="125"/>
      <c r="X177" s="125"/>
      <c r="Y177" s="166"/>
      <c r="Z177" s="168"/>
      <c r="AA177" s="168"/>
      <c r="AB177" s="168"/>
      <c r="AC177" s="168"/>
      <c r="AD177" s="124"/>
      <c r="AE177" s="120"/>
      <c r="AF177" s="120"/>
      <c r="AG177" s="120"/>
      <c r="AH177" s="120"/>
      <c r="AI177" s="120"/>
      <c r="AJ177" s="120"/>
      <c r="AK177" s="120"/>
      <c r="AL177" s="120"/>
    </row>
    <row r="178" spans="1:38">
      <c r="A178" s="13">
        <f t="shared" si="41"/>
        <v>171</v>
      </c>
      <c r="B178" s="128"/>
      <c r="C178" s="121"/>
      <c r="D178" s="121"/>
      <c r="E178" s="120"/>
      <c r="F178" s="121"/>
      <c r="G178" s="120"/>
      <c r="H178" s="122"/>
      <c r="I178" s="120"/>
      <c r="J178" s="120"/>
      <c r="K178" s="120"/>
      <c r="L178" s="120"/>
      <c r="M178" s="164">
        <f t="shared" si="36"/>
        <v>0</v>
      </c>
      <c r="N178" s="164"/>
      <c r="O178" s="164"/>
      <c r="P178" s="124">
        <f t="shared" si="37"/>
        <v>0</v>
      </c>
      <c r="Q178" s="120" t="e">
        <f t="shared" si="39"/>
        <v>#DIV/0!</v>
      </c>
      <c r="R178" s="168">
        <f t="shared" si="40"/>
        <v>0</v>
      </c>
      <c r="S178" s="168">
        <f t="shared" si="38"/>
        <v>0</v>
      </c>
      <c r="T178" s="125"/>
      <c r="U178" s="124"/>
      <c r="V178" s="120"/>
      <c r="W178" s="125"/>
      <c r="X178" s="125"/>
      <c r="Y178" s="166"/>
      <c r="Z178" s="168"/>
      <c r="AA178" s="168"/>
      <c r="AB178" s="168"/>
      <c r="AC178" s="168"/>
      <c r="AD178" s="124"/>
      <c r="AE178" s="120"/>
      <c r="AF178" s="120"/>
      <c r="AG178" s="120"/>
      <c r="AH178" s="120"/>
      <c r="AI178" s="120"/>
      <c r="AJ178" s="120"/>
      <c r="AK178" s="120"/>
      <c r="AL178" s="120"/>
    </row>
    <row r="179" spans="1:38">
      <c r="A179" s="13">
        <f t="shared" si="41"/>
        <v>172</v>
      </c>
      <c r="B179" s="128"/>
      <c r="C179" s="121"/>
      <c r="D179" s="121"/>
      <c r="E179" s="120"/>
      <c r="F179" s="121"/>
      <c r="G179" s="120"/>
      <c r="H179" s="122"/>
      <c r="I179" s="120"/>
      <c r="J179" s="120"/>
      <c r="K179" s="120"/>
      <c r="L179" s="120"/>
      <c r="M179" s="164">
        <f t="shared" si="36"/>
        <v>0</v>
      </c>
      <c r="N179" s="164"/>
      <c r="O179" s="164"/>
      <c r="P179" s="124">
        <f t="shared" si="37"/>
        <v>0</v>
      </c>
      <c r="Q179" s="120" t="e">
        <f t="shared" si="39"/>
        <v>#DIV/0!</v>
      </c>
      <c r="R179" s="168">
        <f t="shared" si="40"/>
        <v>0</v>
      </c>
      <c r="S179" s="168">
        <f t="shared" si="38"/>
        <v>0</v>
      </c>
      <c r="T179" s="125"/>
      <c r="U179" s="124"/>
      <c r="V179" s="120"/>
      <c r="W179" s="125"/>
      <c r="X179" s="125"/>
      <c r="Y179" s="166"/>
      <c r="Z179" s="168"/>
      <c r="AA179" s="168"/>
      <c r="AB179" s="168"/>
      <c r="AC179" s="168"/>
      <c r="AD179" s="124"/>
      <c r="AE179" s="120"/>
      <c r="AF179" s="120"/>
      <c r="AG179" s="120"/>
      <c r="AH179" s="120"/>
      <c r="AI179" s="120"/>
      <c r="AJ179" s="120"/>
      <c r="AK179" s="120"/>
      <c r="AL179" s="120"/>
    </row>
    <row r="180" spans="1:38">
      <c r="A180" s="13">
        <f t="shared" si="41"/>
        <v>173</v>
      </c>
      <c r="B180" s="128"/>
      <c r="C180" s="121"/>
      <c r="D180" s="121"/>
      <c r="E180" s="120"/>
      <c r="F180" s="121"/>
      <c r="G180" s="120"/>
      <c r="H180" s="122"/>
      <c r="I180" s="120"/>
      <c r="J180" s="120"/>
      <c r="K180" s="120"/>
      <c r="L180" s="120"/>
      <c r="M180" s="164">
        <f t="shared" si="36"/>
        <v>0</v>
      </c>
      <c r="N180" s="164"/>
      <c r="O180" s="164"/>
      <c r="P180" s="124">
        <f t="shared" si="37"/>
        <v>0</v>
      </c>
      <c r="Q180" s="120" t="e">
        <f t="shared" si="39"/>
        <v>#DIV/0!</v>
      </c>
      <c r="R180" s="168">
        <f t="shared" si="40"/>
        <v>0</v>
      </c>
      <c r="S180" s="168">
        <f t="shared" si="38"/>
        <v>0</v>
      </c>
      <c r="T180" s="125"/>
      <c r="U180" s="124"/>
      <c r="V180" s="120"/>
      <c r="W180" s="125"/>
      <c r="X180" s="125"/>
      <c r="Y180" s="166"/>
      <c r="Z180" s="168"/>
      <c r="AA180" s="168"/>
      <c r="AB180" s="168"/>
      <c r="AC180" s="168"/>
      <c r="AD180" s="124"/>
      <c r="AE180" s="120"/>
      <c r="AF180" s="120"/>
      <c r="AG180" s="120"/>
      <c r="AH180" s="120"/>
      <c r="AI180" s="120"/>
      <c r="AJ180" s="120"/>
      <c r="AK180" s="120"/>
      <c r="AL180" s="120"/>
    </row>
    <row r="181" spans="1:38">
      <c r="A181" s="13">
        <f t="shared" si="41"/>
        <v>174</v>
      </c>
      <c r="B181" s="128"/>
      <c r="C181" s="121"/>
      <c r="D181" s="121"/>
      <c r="E181" s="120"/>
      <c r="F181" s="121"/>
      <c r="G181" s="120"/>
      <c r="H181" s="122"/>
      <c r="I181" s="120"/>
      <c r="J181" s="120"/>
      <c r="K181" s="120"/>
      <c r="L181" s="120"/>
      <c r="M181" s="164">
        <f t="shared" ref="M181:M244" si="42">J181*(1+$M$6*IF(C181="B",-1,1))</f>
        <v>0</v>
      </c>
      <c r="N181" s="164"/>
      <c r="O181" s="164"/>
      <c r="P181" s="124">
        <f t="shared" ref="P181:P244" si="43">IF(AND(K181&lt;&gt;0,I181&lt;&gt;0),(IF(C181="B",1,-1))*(K181-J181)*I181-AL181*2,0)</f>
        <v>0</v>
      </c>
      <c r="Q181" s="120" t="e">
        <f t="shared" si="39"/>
        <v>#DIV/0!</v>
      </c>
      <c r="R181" s="168">
        <f t="shared" si="40"/>
        <v>0</v>
      </c>
      <c r="S181" s="168">
        <f t="shared" ref="S181:S244" si="44">(Y181-J181)*I181*IF(C181="B",1,-1)*IF(K181=0,1,0)</f>
        <v>0</v>
      </c>
      <c r="T181" s="125"/>
      <c r="U181" s="124"/>
      <c r="V181" s="120"/>
      <c r="W181" s="125"/>
      <c r="X181" s="125"/>
      <c r="Y181" s="166"/>
      <c r="Z181" s="168"/>
      <c r="AA181" s="168"/>
      <c r="AB181" s="168"/>
      <c r="AC181" s="168"/>
      <c r="AD181" s="124"/>
      <c r="AE181" s="120"/>
      <c r="AF181" s="120"/>
      <c r="AG181" s="120"/>
      <c r="AH181" s="120"/>
      <c r="AI181" s="120"/>
      <c r="AJ181" s="120"/>
      <c r="AK181" s="120"/>
      <c r="AL181" s="120"/>
    </row>
    <row r="182" spans="1:38">
      <c r="A182" s="13">
        <f t="shared" si="41"/>
        <v>175</v>
      </c>
      <c r="B182" s="128"/>
      <c r="C182" s="121"/>
      <c r="D182" s="121"/>
      <c r="E182" s="120"/>
      <c r="F182" s="121"/>
      <c r="G182" s="120"/>
      <c r="H182" s="122"/>
      <c r="I182" s="120"/>
      <c r="J182" s="120"/>
      <c r="K182" s="120"/>
      <c r="L182" s="120"/>
      <c r="M182" s="164">
        <f t="shared" si="42"/>
        <v>0</v>
      </c>
      <c r="N182" s="164"/>
      <c r="O182" s="164"/>
      <c r="P182" s="124">
        <f t="shared" si="43"/>
        <v>0</v>
      </c>
      <c r="Q182" s="120" t="e">
        <f t="shared" si="39"/>
        <v>#DIV/0!</v>
      </c>
      <c r="R182" s="168">
        <f t="shared" si="40"/>
        <v>0</v>
      </c>
      <c r="S182" s="168">
        <f t="shared" si="44"/>
        <v>0</v>
      </c>
      <c r="T182" s="125"/>
      <c r="U182" s="124"/>
      <c r="V182" s="120"/>
      <c r="W182" s="125"/>
      <c r="X182" s="125"/>
      <c r="Y182" s="166"/>
      <c r="Z182" s="168"/>
      <c r="AA182" s="168"/>
      <c r="AB182" s="168"/>
      <c r="AC182" s="168"/>
      <c r="AD182" s="124"/>
      <c r="AE182" s="120"/>
      <c r="AF182" s="120"/>
      <c r="AG182" s="120"/>
      <c r="AH182" s="120"/>
      <c r="AI182" s="120"/>
      <c r="AJ182" s="120"/>
      <c r="AK182" s="120"/>
      <c r="AL182" s="120"/>
    </row>
    <row r="183" spans="1:38">
      <c r="A183" s="13">
        <f t="shared" si="41"/>
        <v>176</v>
      </c>
      <c r="B183" s="128"/>
      <c r="C183" s="121"/>
      <c r="D183" s="121"/>
      <c r="E183" s="120"/>
      <c r="F183" s="121"/>
      <c r="G183" s="120"/>
      <c r="H183" s="122"/>
      <c r="I183" s="120"/>
      <c r="J183" s="120"/>
      <c r="K183" s="120"/>
      <c r="L183" s="120"/>
      <c r="M183" s="164">
        <f t="shared" si="42"/>
        <v>0</v>
      </c>
      <c r="N183" s="164"/>
      <c r="O183" s="164"/>
      <c r="P183" s="124">
        <f t="shared" si="43"/>
        <v>0</v>
      </c>
      <c r="Q183" s="120" t="e">
        <f t="shared" si="39"/>
        <v>#DIV/0!</v>
      </c>
      <c r="R183" s="168">
        <f t="shared" si="40"/>
        <v>0</v>
      </c>
      <c r="S183" s="168">
        <f t="shared" si="44"/>
        <v>0</v>
      </c>
      <c r="T183" s="125"/>
      <c r="U183" s="124"/>
      <c r="V183" s="120"/>
      <c r="W183" s="125"/>
      <c r="X183" s="125"/>
      <c r="Y183" s="166"/>
      <c r="Z183" s="168"/>
      <c r="AA183" s="168"/>
      <c r="AB183" s="168"/>
      <c r="AC183" s="168"/>
      <c r="AD183" s="124"/>
      <c r="AE183" s="120"/>
      <c r="AF183" s="120"/>
      <c r="AG183" s="120"/>
      <c r="AH183" s="120"/>
      <c r="AI183" s="120"/>
      <c r="AJ183" s="120"/>
      <c r="AK183" s="120"/>
      <c r="AL183" s="120"/>
    </row>
    <row r="184" spans="1:38">
      <c r="A184" s="13">
        <f t="shared" si="41"/>
        <v>177</v>
      </c>
      <c r="B184" s="128"/>
      <c r="C184" s="121"/>
      <c r="D184" s="121"/>
      <c r="E184" s="120"/>
      <c r="F184" s="121"/>
      <c r="G184" s="120"/>
      <c r="H184" s="122"/>
      <c r="I184" s="120"/>
      <c r="J184" s="120"/>
      <c r="K184" s="120"/>
      <c r="L184" s="120"/>
      <c r="M184" s="164">
        <f t="shared" si="42"/>
        <v>0</v>
      </c>
      <c r="N184" s="164"/>
      <c r="O184" s="164"/>
      <c r="P184" s="124">
        <f t="shared" si="43"/>
        <v>0</v>
      </c>
      <c r="Q184" s="120" t="e">
        <f t="shared" si="39"/>
        <v>#DIV/0!</v>
      </c>
      <c r="R184" s="168">
        <f t="shared" si="40"/>
        <v>0</v>
      </c>
      <c r="S184" s="168">
        <f t="shared" si="44"/>
        <v>0</v>
      </c>
      <c r="T184" s="125"/>
      <c r="U184" s="124"/>
      <c r="V184" s="120"/>
      <c r="W184" s="125"/>
      <c r="X184" s="125"/>
      <c r="Y184" s="166"/>
      <c r="Z184" s="168"/>
      <c r="AA184" s="168"/>
      <c r="AB184" s="168"/>
      <c r="AC184" s="168"/>
      <c r="AD184" s="124"/>
      <c r="AE184" s="120"/>
      <c r="AF184" s="120"/>
      <c r="AG184" s="120"/>
      <c r="AH184" s="120"/>
      <c r="AI184" s="120"/>
      <c r="AJ184" s="120"/>
      <c r="AK184" s="120"/>
      <c r="AL184" s="120"/>
    </row>
    <row r="185" spans="1:38">
      <c r="A185" s="13">
        <f t="shared" si="41"/>
        <v>178</v>
      </c>
      <c r="B185" s="128"/>
      <c r="C185" s="121"/>
      <c r="D185" s="121"/>
      <c r="E185" s="120"/>
      <c r="F185" s="121"/>
      <c r="G185" s="120"/>
      <c r="H185" s="122"/>
      <c r="I185" s="120"/>
      <c r="J185" s="120"/>
      <c r="K185" s="120"/>
      <c r="L185" s="120"/>
      <c r="M185" s="164">
        <f t="shared" si="42"/>
        <v>0</v>
      </c>
      <c r="N185" s="164"/>
      <c r="O185" s="164"/>
      <c r="P185" s="124">
        <f t="shared" si="43"/>
        <v>0</v>
      </c>
      <c r="Q185" s="120" t="e">
        <f t="shared" si="39"/>
        <v>#DIV/0!</v>
      </c>
      <c r="R185" s="168">
        <f t="shared" si="40"/>
        <v>0</v>
      </c>
      <c r="S185" s="168">
        <f t="shared" si="44"/>
        <v>0</v>
      </c>
      <c r="T185" s="125"/>
      <c r="U185" s="124"/>
      <c r="V185" s="120"/>
      <c r="W185" s="125"/>
      <c r="X185" s="125"/>
      <c r="Y185" s="166"/>
      <c r="Z185" s="168"/>
      <c r="AA185" s="168"/>
      <c r="AB185" s="168"/>
      <c r="AC185" s="168"/>
      <c r="AD185" s="124"/>
      <c r="AE185" s="120"/>
      <c r="AF185" s="120"/>
      <c r="AG185" s="120"/>
      <c r="AH185" s="120"/>
      <c r="AI185" s="120"/>
      <c r="AJ185" s="120"/>
      <c r="AK185" s="120"/>
      <c r="AL185" s="120"/>
    </row>
    <row r="186" spans="1:38">
      <c r="A186" s="13">
        <f t="shared" si="41"/>
        <v>179</v>
      </c>
      <c r="B186" s="128"/>
      <c r="C186" s="121"/>
      <c r="D186" s="121"/>
      <c r="E186" s="120"/>
      <c r="F186" s="121"/>
      <c r="G186" s="120"/>
      <c r="H186" s="122"/>
      <c r="I186" s="120"/>
      <c r="J186" s="120"/>
      <c r="K186" s="120"/>
      <c r="L186" s="120"/>
      <c r="M186" s="164">
        <f t="shared" si="42"/>
        <v>0</v>
      </c>
      <c r="N186" s="164"/>
      <c r="O186" s="164"/>
      <c r="P186" s="124">
        <f t="shared" si="43"/>
        <v>0</v>
      </c>
      <c r="Q186" s="120" t="e">
        <f t="shared" si="39"/>
        <v>#DIV/0!</v>
      </c>
      <c r="R186" s="168">
        <f t="shared" si="40"/>
        <v>0</v>
      </c>
      <c r="S186" s="168">
        <f t="shared" si="44"/>
        <v>0</v>
      </c>
      <c r="T186" s="125"/>
      <c r="U186" s="124"/>
      <c r="V186" s="120"/>
      <c r="W186" s="125"/>
      <c r="X186" s="125"/>
      <c r="Y186" s="166"/>
      <c r="Z186" s="168"/>
      <c r="AA186" s="168"/>
      <c r="AB186" s="168"/>
      <c r="AC186" s="168"/>
      <c r="AD186" s="124"/>
      <c r="AE186" s="120"/>
      <c r="AF186" s="120"/>
      <c r="AG186" s="120"/>
      <c r="AH186" s="120"/>
      <c r="AI186" s="120"/>
      <c r="AJ186" s="120"/>
      <c r="AK186" s="120"/>
      <c r="AL186" s="120"/>
    </row>
    <row r="187" spans="1:38">
      <c r="A187" s="13">
        <f t="shared" si="41"/>
        <v>180</v>
      </c>
      <c r="B187" s="128"/>
      <c r="C187" s="121"/>
      <c r="D187" s="121"/>
      <c r="E187" s="120"/>
      <c r="F187" s="121"/>
      <c r="G187" s="120"/>
      <c r="H187" s="122"/>
      <c r="I187" s="120"/>
      <c r="J187" s="120"/>
      <c r="K187" s="120"/>
      <c r="L187" s="120"/>
      <c r="M187" s="164">
        <f t="shared" si="42"/>
        <v>0</v>
      </c>
      <c r="N187" s="164"/>
      <c r="O187" s="164"/>
      <c r="P187" s="124">
        <f t="shared" si="43"/>
        <v>0</v>
      </c>
      <c r="Q187" s="120" t="e">
        <f t="shared" si="39"/>
        <v>#DIV/0!</v>
      </c>
      <c r="R187" s="168">
        <f t="shared" si="40"/>
        <v>0</v>
      </c>
      <c r="S187" s="168">
        <f t="shared" si="44"/>
        <v>0</v>
      </c>
      <c r="T187" s="125"/>
      <c r="U187" s="124"/>
      <c r="V187" s="120"/>
      <c r="W187" s="125"/>
      <c r="X187" s="125"/>
      <c r="Y187" s="166"/>
      <c r="Z187" s="168"/>
      <c r="AA187" s="168"/>
      <c r="AB187" s="168"/>
      <c r="AC187" s="168"/>
      <c r="AD187" s="124"/>
      <c r="AE187" s="120"/>
      <c r="AF187" s="120"/>
      <c r="AG187" s="120"/>
      <c r="AH187" s="120"/>
      <c r="AI187" s="120"/>
      <c r="AJ187" s="120"/>
      <c r="AK187" s="120"/>
      <c r="AL187" s="120"/>
    </row>
    <row r="188" spans="1:38">
      <c r="A188" s="13">
        <f t="shared" si="41"/>
        <v>181</v>
      </c>
      <c r="B188" s="128"/>
      <c r="C188" s="121"/>
      <c r="D188" s="121"/>
      <c r="E188" s="120"/>
      <c r="F188" s="121"/>
      <c r="G188" s="120"/>
      <c r="H188" s="122"/>
      <c r="I188" s="120"/>
      <c r="J188" s="120"/>
      <c r="K188" s="120"/>
      <c r="L188" s="120"/>
      <c r="M188" s="164">
        <f t="shared" si="42"/>
        <v>0</v>
      </c>
      <c r="N188" s="164"/>
      <c r="O188" s="164"/>
      <c r="P188" s="124">
        <f t="shared" si="43"/>
        <v>0</v>
      </c>
      <c r="Q188" s="120" t="e">
        <f t="shared" si="39"/>
        <v>#DIV/0!</v>
      </c>
      <c r="R188" s="168">
        <f t="shared" si="40"/>
        <v>0</v>
      </c>
      <c r="S188" s="168">
        <f t="shared" si="44"/>
        <v>0</v>
      </c>
      <c r="T188" s="125"/>
      <c r="U188" s="124"/>
      <c r="V188" s="120"/>
      <c r="W188" s="125"/>
      <c r="X188" s="125"/>
      <c r="Y188" s="166"/>
      <c r="Z188" s="168"/>
      <c r="AA188" s="168"/>
      <c r="AB188" s="168"/>
      <c r="AC188" s="168"/>
      <c r="AD188" s="124"/>
      <c r="AE188" s="120"/>
      <c r="AF188" s="120"/>
      <c r="AG188" s="120"/>
      <c r="AH188" s="120"/>
      <c r="AI188" s="120"/>
      <c r="AJ188" s="120"/>
      <c r="AK188" s="120"/>
      <c r="AL188" s="120"/>
    </row>
    <row r="189" spans="1:38">
      <c r="A189" s="13">
        <f t="shared" si="41"/>
        <v>182</v>
      </c>
      <c r="B189" s="128"/>
      <c r="C189" s="121"/>
      <c r="D189" s="121"/>
      <c r="E189" s="120"/>
      <c r="F189" s="121"/>
      <c r="G189" s="120"/>
      <c r="H189" s="122"/>
      <c r="I189" s="120"/>
      <c r="J189" s="120"/>
      <c r="K189" s="120"/>
      <c r="L189" s="120"/>
      <c r="M189" s="164">
        <f t="shared" si="42"/>
        <v>0</v>
      </c>
      <c r="N189" s="164"/>
      <c r="O189" s="164"/>
      <c r="P189" s="124">
        <f t="shared" si="43"/>
        <v>0</v>
      </c>
      <c r="Q189" s="120" t="e">
        <f t="shared" si="39"/>
        <v>#DIV/0!</v>
      </c>
      <c r="R189" s="168">
        <f t="shared" si="40"/>
        <v>0</v>
      </c>
      <c r="S189" s="168">
        <f t="shared" si="44"/>
        <v>0</v>
      </c>
      <c r="T189" s="125"/>
      <c r="U189" s="124"/>
      <c r="V189" s="120"/>
      <c r="W189" s="125"/>
      <c r="X189" s="125"/>
      <c r="Y189" s="166"/>
      <c r="Z189" s="168"/>
      <c r="AA189" s="168"/>
      <c r="AB189" s="168"/>
      <c r="AC189" s="168"/>
      <c r="AD189" s="124"/>
      <c r="AE189" s="120"/>
      <c r="AF189" s="120"/>
      <c r="AG189" s="120"/>
      <c r="AH189" s="120"/>
      <c r="AI189" s="120"/>
      <c r="AJ189" s="120"/>
      <c r="AK189" s="120"/>
      <c r="AL189" s="120"/>
    </row>
    <row r="190" spans="1:38">
      <c r="A190" s="13">
        <f t="shared" si="41"/>
        <v>183</v>
      </c>
      <c r="B190" s="128"/>
      <c r="C190" s="121"/>
      <c r="D190" s="121"/>
      <c r="E190" s="120"/>
      <c r="F190" s="121"/>
      <c r="G190" s="120"/>
      <c r="H190" s="122"/>
      <c r="I190" s="120"/>
      <c r="J190" s="120"/>
      <c r="K190" s="120"/>
      <c r="L190" s="120"/>
      <c r="M190" s="164">
        <f t="shared" si="42"/>
        <v>0</v>
      </c>
      <c r="N190" s="164"/>
      <c r="O190" s="164"/>
      <c r="P190" s="124">
        <f t="shared" si="43"/>
        <v>0</v>
      </c>
      <c r="Q190" s="120" t="e">
        <f t="shared" si="39"/>
        <v>#DIV/0!</v>
      </c>
      <c r="R190" s="168">
        <f t="shared" si="40"/>
        <v>0</v>
      </c>
      <c r="S190" s="168">
        <f t="shared" si="44"/>
        <v>0</v>
      </c>
      <c r="T190" s="125"/>
      <c r="U190" s="124"/>
      <c r="V190" s="120"/>
      <c r="W190" s="125"/>
      <c r="X190" s="125"/>
      <c r="Y190" s="166"/>
      <c r="Z190" s="168"/>
      <c r="AA190" s="168"/>
      <c r="AB190" s="168"/>
      <c r="AC190" s="168"/>
      <c r="AD190" s="124"/>
      <c r="AE190" s="120"/>
      <c r="AF190" s="120"/>
      <c r="AG190" s="120"/>
      <c r="AH190" s="120"/>
      <c r="AI190" s="120"/>
      <c r="AJ190" s="120"/>
      <c r="AK190" s="120"/>
      <c r="AL190" s="120"/>
    </row>
    <row r="191" spans="1:38">
      <c r="A191" s="13">
        <f t="shared" si="41"/>
        <v>184</v>
      </c>
      <c r="B191" s="128"/>
      <c r="C191" s="121"/>
      <c r="D191" s="121"/>
      <c r="E191" s="120"/>
      <c r="F191" s="121"/>
      <c r="G191" s="120"/>
      <c r="H191" s="122"/>
      <c r="I191" s="120"/>
      <c r="J191" s="120"/>
      <c r="K191" s="120"/>
      <c r="L191" s="120"/>
      <c r="M191" s="164">
        <f t="shared" si="42"/>
        <v>0</v>
      </c>
      <c r="N191" s="164"/>
      <c r="O191" s="164"/>
      <c r="P191" s="124">
        <f t="shared" si="43"/>
        <v>0</v>
      </c>
      <c r="Q191" s="120" t="e">
        <f t="shared" si="39"/>
        <v>#DIV/0!</v>
      </c>
      <c r="R191" s="168">
        <f t="shared" si="40"/>
        <v>0</v>
      </c>
      <c r="S191" s="168">
        <f t="shared" si="44"/>
        <v>0</v>
      </c>
      <c r="T191" s="125"/>
      <c r="U191" s="124"/>
      <c r="V191" s="120"/>
      <c r="W191" s="125"/>
      <c r="X191" s="125"/>
      <c r="Y191" s="166"/>
      <c r="Z191" s="168"/>
      <c r="AA191" s="168"/>
      <c r="AB191" s="168"/>
      <c r="AC191" s="168"/>
      <c r="AD191" s="124"/>
      <c r="AE191" s="120"/>
      <c r="AF191" s="120"/>
      <c r="AG191" s="120"/>
      <c r="AH191" s="120"/>
      <c r="AI191" s="120"/>
      <c r="AJ191" s="120"/>
      <c r="AK191" s="120"/>
      <c r="AL191" s="120"/>
    </row>
    <row r="192" spans="1:38">
      <c r="A192" s="13">
        <f t="shared" si="41"/>
        <v>185</v>
      </c>
      <c r="B192" s="128"/>
      <c r="C192" s="121"/>
      <c r="D192" s="121"/>
      <c r="E192" s="120"/>
      <c r="F192" s="121"/>
      <c r="G192" s="120"/>
      <c r="H192" s="122"/>
      <c r="I192" s="120"/>
      <c r="J192" s="120"/>
      <c r="K192" s="120"/>
      <c r="L192" s="120"/>
      <c r="M192" s="164">
        <f t="shared" si="42"/>
        <v>0</v>
      </c>
      <c r="N192" s="164"/>
      <c r="O192" s="164"/>
      <c r="P192" s="124">
        <f t="shared" si="43"/>
        <v>0</v>
      </c>
      <c r="Q192" s="120" t="e">
        <f t="shared" si="39"/>
        <v>#DIV/0!</v>
      </c>
      <c r="R192" s="168">
        <f t="shared" si="40"/>
        <v>0</v>
      </c>
      <c r="S192" s="168">
        <f t="shared" si="44"/>
        <v>0</v>
      </c>
      <c r="T192" s="125"/>
      <c r="U192" s="124"/>
      <c r="V192" s="120"/>
      <c r="W192" s="125"/>
      <c r="X192" s="125"/>
      <c r="Y192" s="166"/>
      <c r="Z192" s="168"/>
      <c r="AA192" s="168"/>
      <c r="AB192" s="168"/>
      <c r="AC192" s="168"/>
      <c r="AD192" s="124"/>
      <c r="AE192" s="120"/>
      <c r="AF192" s="120"/>
      <c r="AG192" s="120"/>
      <c r="AH192" s="120"/>
      <c r="AI192" s="120"/>
      <c r="AJ192" s="120"/>
      <c r="AK192" s="120"/>
      <c r="AL192" s="120"/>
    </row>
    <row r="193" spans="1:38">
      <c r="A193" s="13">
        <f t="shared" si="41"/>
        <v>186</v>
      </c>
      <c r="B193" s="128"/>
      <c r="C193" s="121"/>
      <c r="D193" s="121"/>
      <c r="E193" s="120"/>
      <c r="F193" s="121"/>
      <c r="G193" s="120"/>
      <c r="H193" s="122"/>
      <c r="I193" s="120"/>
      <c r="J193" s="120"/>
      <c r="K193" s="120"/>
      <c r="L193" s="120"/>
      <c r="M193" s="164">
        <f t="shared" si="42"/>
        <v>0</v>
      </c>
      <c r="N193" s="164"/>
      <c r="O193" s="164"/>
      <c r="P193" s="124">
        <f t="shared" si="43"/>
        <v>0</v>
      </c>
      <c r="Q193" s="120" t="e">
        <f t="shared" si="39"/>
        <v>#DIV/0!</v>
      </c>
      <c r="R193" s="168">
        <f t="shared" si="40"/>
        <v>0</v>
      </c>
      <c r="S193" s="168">
        <f t="shared" si="44"/>
        <v>0</v>
      </c>
      <c r="T193" s="125"/>
      <c r="U193" s="124"/>
      <c r="V193" s="120"/>
      <c r="W193" s="125"/>
      <c r="X193" s="125"/>
      <c r="Y193" s="166"/>
      <c r="Z193" s="168"/>
      <c r="AA193" s="168"/>
      <c r="AB193" s="168"/>
      <c r="AC193" s="168"/>
      <c r="AD193" s="124"/>
      <c r="AE193" s="120"/>
      <c r="AF193" s="120"/>
      <c r="AG193" s="120"/>
      <c r="AH193" s="120"/>
      <c r="AI193" s="120"/>
      <c r="AJ193" s="120"/>
      <c r="AK193" s="120"/>
      <c r="AL193" s="120"/>
    </row>
    <row r="194" spans="1:38">
      <c r="A194" s="13">
        <f t="shared" si="41"/>
        <v>187</v>
      </c>
      <c r="B194" s="128"/>
      <c r="C194" s="121"/>
      <c r="D194" s="121"/>
      <c r="E194" s="120"/>
      <c r="F194" s="121"/>
      <c r="G194" s="120"/>
      <c r="H194" s="122"/>
      <c r="I194" s="120"/>
      <c r="J194" s="120"/>
      <c r="K194" s="120"/>
      <c r="L194" s="120"/>
      <c r="M194" s="164">
        <f t="shared" si="42"/>
        <v>0</v>
      </c>
      <c r="N194" s="164"/>
      <c r="O194" s="164"/>
      <c r="P194" s="124">
        <f t="shared" si="43"/>
        <v>0</v>
      </c>
      <c r="Q194" s="120" t="e">
        <f t="shared" si="39"/>
        <v>#DIV/0!</v>
      </c>
      <c r="R194" s="168">
        <f t="shared" si="40"/>
        <v>0</v>
      </c>
      <c r="S194" s="168">
        <f t="shared" si="44"/>
        <v>0</v>
      </c>
      <c r="T194" s="125"/>
      <c r="U194" s="124"/>
      <c r="V194" s="120"/>
      <c r="W194" s="125"/>
      <c r="X194" s="125"/>
      <c r="Y194" s="166"/>
      <c r="Z194" s="168"/>
      <c r="AA194" s="168"/>
      <c r="AB194" s="168"/>
      <c r="AC194" s="168"/>
      <c r="AD194" s="124"/>
      <c r="AE194" s="120"/>
      <c r="AF194" s="120"/>
      <c r="AG194" s="120"/>
      <c r="AH194" s="120"/>
      <c r="AI194" s="120"/>
      <c r="AJ194" s="120"/>
      <c r="AK194" s="120"/>
      <c r="AL194" s="120"/>
    </row>
    <row r="195" spans="1:38">
      <c r="A195" s="13">
        <f t="shared" si="41"/>
        <v>188</v>
      </c>
      <c r="B195" s="128"/>
      <c r="C195" s="121"/>
      <c r="D195" s="121"/>
      <c r="E195" s="120"/>
      <c r="F195" s="121"/>
      <c r="G195" s="120"/>
      <c r="H195" s="122"/>
      <c r="I195" s="120"/>
      <c r="J195" s="120"/>
      <c r="K195" s="120"/>
      <c r="L195" s="120"/>
      <c r="M195" s="164">
        <f t="shared" si="42"/>
        <v>0</v>
      </c>
      <c r="N195" s="164"/>
      <c r="O195" s="164"/>
      <c r="P195" s="124">
        <f t="shared" si="43"/>
        <v>0</v>
      </c>
      <c r="Q195" s="120" t="e">
        <f t="shared" si="39"/>
        <v>#DIV/0!</v>
      </c>
      <c r="R195" s="168">
        <f t="shared" si="40"/>
        <v>0</v>
      </c>
      <c r="S195" s="168">
        <f t="shared" si="44"/>
        <v>0</v>
      </c>
      <c r="T195" s="125"/>
      <c r="U195" s="124"/>
      <c r="V195" s="120"/>
      <c r="W195" s="125"/>
      <c r="X195" s="125"/>
      <c r="Y195" s="166"/>
      <c r="Z195" s="168"/>
      <c r="AA195" s="168"/>
      <c r="AB195" s="168"/>
      <c r="AC195" s="168"/>
      <c r="AD195" s="124"/>
      <c r="AE195" s="120"/>
      <c r="AF195" s="120"/>
      <c r="AG195" s="120"/>
      <c r="AH195" s="120"/>
      <c r="AI195" s="120"/>
      <c r="AJ195" s="120"/>
      <c r="AK195" s="120"/>
      <c r="AL195" s="120"/>
    </row>
    <row r="196" spans="1:38">
      <c r="A196" s="13">
        <f t="shared" si="41"/>
        <v>189</v>
      </c>
      <c r="B196" s="128"/>
      <c r="C196" s="121"/>
      <c r="D196" s="121"/>
      <c r="E196" s="120"/>
      <c r="F196" s="121"/>
      <c r="G196" s="120"/>
      <c r="H196" s="122"/>
      <c r="I196" s="120"/>
      <c r="J196" s="120"/>
      <c r="K196" s="120"/>
      <c r="L196" s="120"/>
      <c r="M196" s="164">
        <f t="shared" si="42"/>
        <v>0</v>
      </c>
      <c r="N196" s="164"/>
      <c r="O196" s="164"/>
      <c r="P196" s="124">
        <f t="shared" si="43"/>
        <v>0</v>
      </c>
      <c r="Q196" s="120" t="e">
        <f t="shared" si="39"/>
        <v>#DIV/0!</v>
      </c>
      <c r="R196" s="168">
        <f t="shared" si="40"/>
        <v>0</v>
      </c>
      <c r="S196" s="168">
        <f t="shared" si="44"/>
        <v>0</v>
      </c>
      <c r="T196" s="125"/>
      <c r="U196" s="124"/>
      <c r="V196" s="120"/>
      <c r="W196" s="125"/>
      <c r="X196" s="125"/>
      <c r="Y196" s="166"/>
      <c r="Z196" s="168"/>
      <c r="AA196" s="168"/>
      <c r="AB196" s="168"/>
      <c r="AC196" s="168"/>
      <c r="AD196" s="124"/>
      <c r="AE196" s="120"/>
      <c r="AF196" s="120"/>
      <c r="AG196" s="120"/>
      <c r="AH196" s="120"/>
      <c r="AI196" s="120"/>
      <c r="AJ196" s="120"/>
      <c r="AK196" s="120"/>
      <c r="AL196" s="120"/>
    </row>
    <row r="197" spans="1:38">
      <c r="A197" s="13">
        <f t="shared" si="41"/>
        <v>190</v>
      </c>
      <c r="B197" s="128"/>
      <c r="C197" s="121"/>
      <c r="D197" s="121"/>
      <c r="E197" s="120"/>
      <c r="F197" s="121"/>
      <c r="G197" s="120"/>
      <c r="H197" s="122"/>
      <c r="I197" s="120"/>
      <c r="J197" s="120"/>
      <c r="K197" s="120"/>
      <c r="L197" s="120"/>
      <c r="M197" s="164">
        <f t="shared" si="42"/>
        <v>0</v>
      </c>
      <c r="N197" s="164"/>
      <c r="O197" s="164"/>
      <c r="P197" s="124">
        <f t="shared" si="43"/>
        <v>0</v>
      </c>
      <c r="Q197" s="120" t="e">
        <f t="shared" si="39"/>
        <v>#DIV/0!</v>
      </c>
      <c r="R197" s="168">
        <f t="shared" si="40"/>
        <v>0</v>
      </c>
      <c r="S197" s="168">
        <f t="shared" si="44"/>
        <v>0</v>
      </c>
      <c r="T197" s="125"/>
      <c r="U197" s="124"/>
      <c r="V197" s="120"/>
      <c r="W197" s="125"/>
      <c r="X197" s="125"/>
      <c r="Y197" s="166"/>
      <c r="Z197" s="168"/>
      <c r="AA197" s="168"/>
      <c r="AB197" s="168"/>
      <c r="AC197" s="168"/>
      <c r="AD197" s="124"/>
      <c r="AE197" s="120"/>
      <c r="AF197" s="120"/>
      <c r="AG197" s="120"/>
      <c r="AH197" s="120"/>
      <c r="AI197" s="120"/>
      <c r="AJ197" s="120"/>
      <c r="AK197" s="120"/>
      <c r="AL197" s="120"/>
    </row>
    <row r="198" spans="1:38">
      <c r="A198" s="13">
        <f t="shared" si="41"/>
        <v>191</v>
      </c>
      <c r="B198" s="128"/>
      <c r="C198" s="121"/>
      <c r="D198" s="121"/>
      <c r="E198" s="120"/>
      <c r="F198" s="121"/>
      <c r="G198" s="120"/>
      <c r="H198" s="122"/>
      <c r="I198" s="120"/>
      <c r="J198" s="120"/>
      <c r="K198" s="120"/>
      <c r="L198" s="120"/>
      <c r="M198" s="164">
        <f t="shared" si="42"/>
        <v>0</v>
      </c>
      <c r="N198" s="164"/>
      <c r="O198" s="164"/>
      <c r="P198" s="124">
        <f t="shared" si="43"/>
        <v>0</v>
      </c>
      <c r="Q198" s="120" t="e">
        <f t="shared" si="39"/>
        <v>#DIV/0!</v>
      </c>
      <c r="R198" s="168">
        <f t="shared" si="40"/>
        <v>0</v>
      </c>
      <c r="S198" s="168">
        <f t="shared" si="44"/>
        <v>0</v>
      </c>
      <c r="T198" s="125"/>
      <c r="U198" s="124"/>
      <c r="V198" s="120"/>
      <c r="W198" s="125"/>
      <c r="X198" s="125"/>
      <c r="Y198" s="166"/>
      <c r="Z198" s="168"/>
      <c r="AA198" s="168"/>
      <c r="AB198" s="168"/>
      <c r="AC198" s="168"/>
      <c r="AD198" s="124"/>
      <c r="AE198" s="120"/>
      <c r="AF198" s="120"/>
      <c r="AG198" s="120"/>
      <c r="AH198" s="120"/>
      <c r="AI198" s="120"/>
      <c r="AJ198" s="120"/>
      <c r="AK198" s="120"/>
      <c r="AL198" s="120"/>
    </row>
    <row r="199" spans="1:38">
      <c r="A199" s="13">
        <f t="shared" si="41"/>
        <v>192</v>
      </c>
      <c r="B199" s="128"/>
      <c r="C199" s="121"/>
      <c r="D199" s="121"/>
      <c r="E199" s="120"/>
      <c r="F199" s="121"/>
      <c r="G199" s="120"/>
      <c r="H199" s="122"/>
      <c r="I199" s="120"/>
      <c r="J199" s="120"/>
      <c r="K199" s="120"/>
      <c r="L199" s="120"/>
      <c r="M199" s="164">
        <f t="shared" si="42"/>
        <v>0</v>
      </c>
      <c r="N199" s="164"/>
      <c r="O199" s="164"/>
      <c r="P199" s="124">
        <f t="shared" si="43"/>
        <v>0</v>
      </c>
      <c r="Q199" s="120" t="e">
        <f t="shared" si="39"/>
        <v>#DIV/0!</v>
      </c>
      <c r="R199" s="168">
        <f t="shared" si="40"/>
        <v>0</v>
      </c>
      <c r="S199" s="168">
        <f t="shared" si="44"/>
        <v>0</v>
      </c>
      <c r="T199" s="125"/>
      <c r="U199" s="124"/>
      <c r="V199" s="120"/>
      <c r="W199" s="125"/>
      <c r="X199" s="125"/>
      <c r="Y199" s="166"/>
      <c r="Z199" s="168"/>
      <c r="AA199" s="168"/>
      <c r="AB199" s="168"/>
      <c r="AC199" s="168"/>
      <c r="AD199" s="124"/>
      <c r="AE199" s="120"/>
      <c r="AF199" s="120"/>
      <c r="AG199" s="120"/>
      <c r="AH199" s="120"/>
      <c r="AI199" s="120"/>
      <c r="AJ199" s="120"/>
      <c r="AK199" s="120"/>
      <c r="AL199" s="120"/>
    </row>
    <row r="200" spans="1:38">
      <c r="A200" s="13">
        <f t="shared" si="41"/>
        <v>193</v>
      </c>
      <c r="B200" s="128"/>
      <c r="C200" s="121"/>
      <c r="D200" s="121"/>
      <c r="E200" s="120"/>
      <c r="F200" s="121"/>
      <c r="G200" s="120"/>
      <c r="H200" s="122"/>
      <c r="I200" s="120"/>
      <c r="J200" s="120"/>
      <c r="K200" s="120"/>
      <c r="L200" s="120"/>
      <c r="M200" s="164">
        <f t="shared" si="42"/>
        <v>0</v>
      </c>
      <c r="N200" s="164"/>
      <c r="O200" s="164"/>
      <c r="P200" s="124">
        <f t="shared" si="43"/>
        <v>0</v>
      </c>
      <c r="Q200" s="120" t="e">
        <f t="shared" ref="Q200:Q263" si="45">K200/$J200</f>
        <v>#DIV/0!</v>
      </c>
      <c r="R200" s="168">
        <f t="shared" ref="R200:R263" si="46">$J200*$I200</f>
        <v>0</v>
      </c>
      <c r="S200" s="168">
        <f t="shared" si="44"/>
        <v>0</v>
      </c>
      <c r="T200" s="125"/>
      <c r="U200" s="124"/>
      <c r="V200" s="120"/>
      <c r="W200" s="125"/>
      <c r="X200" s="125"/>
      <c r="Y200" s="166"/>
      <c r="Z200" s="168"/>
      <c r="AA200" s="168"/>
      <c r="AB200" s="168"/>
      <c r="AC200" s="168"/>
      <c r="AD200" s="124"/>
      <c r="AE200" s="120"/>
      <c r="AF200" s="120"/>
      <c r="AG200" s="120"/>
      <c r="AH200" s="120"/>
      <c r="AI200" s="120"/>
      <c r="AJ200" s="120"/>
      <c r="AK200" s="120"/>
      <c r="AL200" s="120"/>
    </row>
    <row r="201" spans="1:38">
      <c r="A201" s="13">
        <f t="shared" ref="A201:A264" si="47">A200+1</f>
        <v>194</v>
      </c>
      <c r="B201" s="128"/>
      <c r="C201" s="121"/>
      <c r="D201" s="121"/>
      <c r="E201" s="120"/>
      <c r="F201" s="121"/>
      <c r="G201" s="120"/>
      <c r="H201" s="122"/>
      <c r="I201" s="120"/>
      <c r="J201" s="120"/>
      <c r="K201" s="120"/>
      <c r="L201" s="120"/>
      <c r="M201" s="164">
        <f t="shared" si="42"/>
        <v>0</v>
      </c>
      <c r="N201" s="164"/>
      <c r="O201" s="164"/>
      <c r="P201" s="124">
        <f t="shared" si="43"/>
        <v>0</v>
      </c>
      <c r="Q201" s="120" t="e">
        <f t="shared" si="45"/>
        <v>#DIV/0!</v>
      </c>
      <c r="R201" s="168">
        <f t="shared" si="46"/>
        <v>0</v>
      </c>
      <c r="S201" s="168">
        <f t="shared" si="44"/>
        <v>0</v>
      </c>
      <c r="T201" s="125"/>
      <c r="U201" s="124"/>
      <c r="V201" s="120"/>
      <c r="W201" s="125"/>
      <c r="X201" s="125"/>
      <c r="Y201" s="166"/>
      <c r="Z201" s="168"/>
      <c r="AA201" s="168"/>
      <c r="AB201" s="168"/>
      <c r="AC201" s="168"/>
      <c r="AD201" s="124"/>
      <c r="AE201" s="120"/>
      <c r="AF201" s="120"/>
      <c r="AG201" s="120"/>
      <c r="AH201" s="120"/>
      <c r="AI201" s="120"/>
      <c r="AJ201" s="120"/>
      <c r="AK201" s="120"/>
      <c r="AL201" s="120"/>
    </row>
    <row r="202" spans="1:38">
      <c r="A202" s="13">
        <f t="shared" si="47"/>
        <v>195</v>
      </c>
      <c r="B202" s="128"/>
      <c r="C202" s="121"/>
      <c r="D202" s="121"/>
      <c r="E202" s="120"/>
      <c r="F202" s="121"/>
      <c r="G202" s="120"/>
      <c r="H202" s="122"/>
      <c r="I202" s="120"/>
      <c r="J202" s="120"/>
      <c r="K202" s="120"/>
      <c r="L202" s="120"/>
      <c r="M202" s="164">
        <f t="shared" si="42"/>
        <v>0</v>
      </c>
      <c r="N202" s="164"/>
      <c r="O202" s="164"/>
      <c r="P202" s="124">
        <f t="shared" si="43"/>
        <v>0</v>
      </c>
      <c r="Q202" s="120" t="e">
        <f t="shared" si="45"/>
        <v>#DIV/0!</v>
      </c>
      <c r="R202" s="168">
        <f t="shared" si="46"/>
        <v>0</v>
      </c>
      <c r="S202" s="168">
        <f t="shared" si="44"/>
        <v>0</v>
      </c>
      <c r="T202" s="125"/>
      <c r="U202" s="124"/>
      <c r="V202" s="120"/>
      <c r="W202" s="125"/>
      <c r="X202" s="125"/>
      <c r="Y202" s="166"/>
      <c r="Z202" s="168"/>
      <c r="AA202" s="168"/>
      <c r="AB202" s="168"/>
      <c r="AC202" s="168"/>
      <c r="AD202" s="124"/>
      <c r="AE202" s="120"/>
      <c r="AF202" s="120"/>
      <c r="AG202" s="120"/>
      <c r="AH202" s="120"/>
      <c r="AI202" s="120"/>
      <c r="AJ202" s="120"/>
      <c r="AK202" s="120"/>
      <c r="AL202" s="120"/>
    </row>
    <row r="203" spans="1:38">
      <c r="A203" s="13">
        <f t="shared" si="47"/>
        <v>196</v>
      </c>
      <c r="B203" s="128"/>
      <c r="C203" s="121"/>
      <c r="D203" s="121"/>
      <c r="E203" s="120"/>
      <c r="F203" s="121"/>
      <c r="G203" s="120"/>
      <c r="H203" s="122"/>
      <c r="I203" s="120"/>
      <c r="J203" s="120"/>
      <c r="K203" s="120"/>
      <c r="L203" s="120"/>
      <c r="M203" s="164">
        <f t="shared" si="42"/>
        <v>0</v>
      </c>
      <c r="N203" s="164"/>
      <c r="O203" s="164"/>
      <c r="P203" s="124">
        <f t="shared" si="43"/>
        <v>0</v>
      </c>
      <c r="Q203" s="120" t="e">
        <f t="shared" si="45"/>
        <v>#DIV/0!</v>
      </c>
      <c r="R203" s="168">
        <f t="shared" si="46"/>
        <v>0</v>
      </c>
      <c r="S203" s="168">
        <f t="shared" si="44"/>
        <v>0</v>
      </c>
      <c r="T203" s="125"/>
      <c r="U203" s="124"/>
      <c r="V203" s="120"/>
      <c r="W203" s="125"/>
      <c r="X203" s="125"/>
      <c r="Y203" s="166"/>
      <c r="Z203" s="168"/>
      <c r="AA203" s="168"/>
      <c r="AB203" s="168"/>
      <c r="AC203" s="168"/>
      <c r="AD203" s="124"/>
      <c r="AE203" s="120"/>
      <c r="AF203" s="120"/>
      <c r="AG203" s="120"/>
      <c r="AH203" s="120"/>
      <c r="AI203" s="120"/>
      <c r="AJ203" s="120"/>
      <c r="AK203" s="120"/>
      <c r="AL203" s="120"/>
    </row>
    <row r="204" spans="1:38">
      <c r="A204" s="13">
        <f t="shared" si="47"/>
        <v>197</v>
      </c>
      <c r="B204" s="128"/>
      <c r="C204" s="121"/>
      <c r="D204" s="121"/>
      <c r="E204" s="120"/>
      <c r="F204" s="121"/>
      <c r="G204" s="120"/>
      <c r="H204" s="122"/>
      <c r="I204" s="120"/>
      <c r="J204" s="120"/>
      <c r="K204" s="120"/>
      <c r="L204" s="120"/>
      <c r="M204" s="164">
        <f t="shared" si="42"/>
        <v>0</v>
      </c>
      <c r="N204" s="164"/>
      <c r="O204" s="164"/>
      <c r="P204" s="124">
        <f t="shared" si="43"/>
        <v>0</v>
      </c>
      <c r="Q204" s="120" t="e">
        <f t="shared" si="45"/>
        <v>#DIV/0!</v>
      </c>
      <c r="R204" s="168">
        <f t="shared" si="46"/>
        <v>0</v>
      </c>
      <c r="S204" s="168">
        <f t="shared" si="44"/>
        <v>0</v>
      </c>
      <c r="T204" s="125"/>
      <c r="U204" s="124"/>
      <c r="V204" s="120"/>
      <c r="W204" s="125"/>
      <c r="X204" s="125"/>
      <c r="Y204" s="166"/>
      <c r="Z204" s="168"/>
      <c r="AA204" s="168"/>
      <c r="AB204" s="168"/>
      <c r="AC204" s="168"/>
      <c r="AD204" s="124"/>
      <c r="AE204" s="120"/>
      <c r="AF204" s="120"/>
      <c r="AG204" s="120"/>
      <c r="AH204" s="120"/>
      <c r="AI204" s="120"/>
      <c r="AJ204" s="120"/>
      <c r="AK204" s="120"/>
      <c r="AL204" s="120"/>
    </row>
    <row r="205" spans="1:38">
      <c r="A205" s="13">
        <f t="shared" si="47"/>
        <v>198</v>
      </c>
      <c r="B205" s="128"/>
      <c r="C205" s="121"/>
      <c r="D205" s="121"/>
      <c r="E205" s="120"/>
      <c r="F205" s="121"/>
      <c r="G205" s="120"/>
      <c r="H205" s="122"/>
      <c r="I205" s="120"/>
      <c r="J205" s="120"/>
      <c r="K205" s="120"/>
      <c r="L205" s="120"/>
      <c r="M205" s="164">
        <f t="shared" si="42"/>
        <v>0</v>
      </c>
      <c r="N205" s="164"/>
      <c r="O205" s="164"/>
      <c r="P205" s="124">
        <f t="shared" si="43"/>
        <v>0</v>
      </c>
      <c r="Q205" s="120" t="e">
        <f t="shared" si="45"/>
        <v>#DIV/0!</v>
      </c>
      <c r="R205" s="168">
        <f t="shared" si="46"/>
        <v>0</v>
      </c>
      <c r="S205" s="168">
        <f t="shared" si="44"/>
        <v>0</v>
      </c>
      <c r="T205" s="125"/>
      <c r="U205" s="124"/>
      <c r="V205" s="120"/>
      <c r="W205" s="125"/>
      <c r="X205" s="125"/>
      <c r="Y205" s="166"/>
      <c r="Z205" s="168"/>
      <c r="AA205" s="168"/>
      <c r="AB205" s="168"/>
      <c r="AC205" s="168"/>
      <c r="AD205" s="124"/>
      <c r="AE205" s="120"/>
      <c r="AF205" s="120"/>
      <c r="AG205" s="120"/>
      <c r="AH205" s="120"/>
      <c r="AI205" s="120"/>
      <c r="AJ205" s="120"/>
      <c r="AK205" s="120"/>
      <c r="AL205" s="120"/>
    </row>
    <row r="206" spans="1:38">
      <c r="A206" s="13">
        <f t="shared" si="47"/>
        <v>199</v>
      </c>
      <c r="B206" s="128"/>
      <c r="C206" s="121"/>
      <c r="D206" s="121"/>
      <c r="E206" s="120"/>
      <c r="F206" s="121"/>
      <c r="G206" s="120"/>
      <c r="H206" s="122"/>
      <c r="I206" s="120"/>
      <c r="J206" s="120"/>
      <c r="K206" s="120"/>
      <c r="L206" s="120"/>
      <c r="M206" s="164">
        <f t="shared" si="42"/>
        <v>0</v>
      </c>
      <c r="N206" s="164"/>
      <c r="O206" s="164"/>
      <c r="P206" s="124">
        <f t="shared" si="43"/>
        <v>0</v>
      </c>
      <c r="Q206" s="120" t="e">
        <f t="shared" si="45"/>
        <v>#DIV/0!</v>
      </c>
      <c r="R206" s="168">
        <f t="shared" si="46"/>
        <v>0</v>
      </c>
      <c r="S206" s="168">
        <f t="shared" si="44"/>
        <v>0</v>
      </c>
      <c r="T206" s="125"/>
      <c r="U206" s="124"/>
      <c r="V206" s="120"/>
      <c r="W206" s="125"/>
      <c r="X206" s="125"/>
      <c r="Y206" s="166"/>
      <c r="Z206" s="168"/>
      <c r="AA206" s="168"/>
      <c r="AB206" s="168"/>
      <c r="AC206" s="168"/>
      <c r="AD206" s="124"/>
      <c r="AE206" s="120"/>
      <c r="AF206" s="120"/>
      <c r="AG206" s="120"/>
      <c r="AH206" s="120"/>
      <c r="AI206" s="120"/>
      <c r="AJ206" s="120"/>
      <c r="AK206" s="120"/>
      <c r="AL206" s="120"/>
    </row>
    <row r="207" spans="1:38">
      <c r="A207" s="13">
        <f t="shared" si="47"/>
        <v>200</v>
      </c>
      <c r="B207" s="128"/>
      <c r="C207" s="121"/>
      <c r="D207" s="121"/>
      <c r="E207" s="120"/>
      <c r="F207" s="121"/>
      <c r="G207" s="120"/>
      <c r="H207" s="122"/>
      <c r="I207" s="120"/>
      <c r="J207" s="120"/>
      <c r="K207" s="120"/>
      <c r="L207" s="120"/>
      <c r="M207" s="164">
        <f t="shared" si="42"/>
        <v>0</v>
      </c>
      <c r="N207" s="164"/>
      <c r="O207" s="164"/>
      <c r="P207" s="124">
        <f t="shared" si="43"/>
        <v>0</v>
      </c>
      <c r="Q207" s="120" t="e">
        <f t="shared" si="45"/>
        <v>#DIV/0!</v>
      </c>
      <c r="R207" s="168">
        <f t="shared" si="46"/>
        <v>0</v>
      </c>
      <c r="S207" s="168">
        <f t="shared" si="44"/>
        <v>0</v>
      </c>
      <c r="T207" s="125"/>
      <c r="U207" s="124"/>
      <c r="V207" s="120"/>
      <c r="W207" s="125"/>
      <c r="X207" s="125"/>
      <c r="Y207" s="166"/>
      <c r="Z207" s="168"/>
      <c r="AA207" s="168"/>
      <c r="AB207" s="168"/>
      <c r="AC207" s="168"/>
      <c r="AD207" s="124"/>
      <c r="AE207" s="120"/>
      <c r="AF207" s="120"/>
      <c r="AG207" s="120"/>
      <c r="AH207" s="120"/>
      <c r="AI207" s="120"/>
      <c r="AJ207" s="120"/>
      <c r="AK207" s="120"/>
      <c r="AL207" s="120"/>
    </row>
    <row r="208" spans="1:38">
      <c r="A208" s="13">
        <f t="shared" si="47"/>
        <v>201</v>
      </c>
      <c r="B208" s="128"/>
      <c r="C208" s="121"/>
      <c r="D208" s="121"/>
      <c r="E208" s="120"/>
      <c r="F208" s="121"/>
      <c r="G208" s="120"/>
      <c r="H208" s="122"/>
      <c r="I208" s="120"/>
      <c r="J208" s="120"/>
      <c r="K208" s="120"/>
      <c r="L208" s="120"/>
      <c r="M208" s="164">
        <f t="shared" si="42"/>
        <v>0</v>
      </c>
      <c r="N208" s="164"/>
      <c r="O208" s="164"/>
      <c r="P208" s="124">
        <f t="shared" si="43"/>
        <v>0</v>
      </c>
      <c r="Q208" s="120" t="e">
        <f t="shared" si="45"/>
        <v>#DIV/0!</v>
      </c>
      <c r="R208" s="168">
        <f t="shared" si="46"/>
        <v>0</v>
      </c>
      <c r="S208" s="168">
        <f t="shared" si="44"/>
        <v>0</v>
      </c>
      <c r="T208" s="125"/>
      <c r="U208" s="124"/>
      <c r="V208" s="120"/>
      <c r="W208" s="125"/>
      <c r="X208" s="125"/>
      <c r="Y208" s="166"/>
      <c r="Z208" s="168"/>
      <c r="AA208" s="168"/>
      <c r="AB208" s="168"/>
      <c r="AC208" s="168"/>
      <c r="AD208" s="124"/>
      <c r="AE208" s="120"/>
      <c r="AF208" s="120"/>
      <c r="AG208" s="120"/>
      <c r="AH208" s="120"/>
      <c r="AI208" s="120"/>
      <c r="AJ208" s="120"/>
      <c r="AK208" s="120"/>
      <c r="AL208" s="120"/>
    </row>
    <row r="209" spans="1:38">
      <c r="A209" s="13">
        <f t="shared" si="47"/>
        <v>202</v>
      </c>
      <c r="B209" s="128"/>
      <c r="C209" s="121"/>
      <c r="D209" s="121"/>
      <c r="E209" s="120"/>
      <c r="F209" s="121"/>
      <c r="G209" s="120"/>
      <c r="H209" s="122"/>
      <c r="I209" s="120"/>
      <c r="J209" s="120"/>
      <c r="K209" s="120"/>
      <c r="L209" s="120"/>
      <c r="M209" s="164">
        <f t="shared" si="42"/>
        <v>0</v>
      </c>
      <c r="N209" s="164"/>
      <c r="O209" s="164"/>
      <c r="P209" s="124">
        <f t="shared" si="43"/>
        <v>0</v>
      </c>
      <c r="Q209" s="120" t="e">
        <f t="shared" si="45"/>
        <v>#DIV/0!</v>
      </c>
      <c r="R209" s="168">
        <f t="shared" si="46"/>
        <v>0</v>
      </c>
      <c r="S209" s="168">
        <f t="shared" si="44"/>
        <v>0</v>
      </c>
      <c r="T209" s="125"/>
      <c r="U209" s="124"/>
      <c r="V209" s="120"/>
      <c r="W209" s="125"/>
      <c r="X209" s="125"/>
      <c r="Y209" s="166"/>
      <c r="Z209" s="168"/>
      <c r="AA209" s="168"/>
      <c r="AB209" s="168"/>
      <c r="AC209" s="168"/>
      <c r="AD209" s="124"/>
      <c r="AE209" s="120"/>
      <c r="AF209" s="120"/>
      <c r="AG209" s="120"/>
      <c r="AH209" s="120"/>
      <c r="AI209" s="120"/>
      <c r="AJ209" s="120"/>
      <c r="AK209" s="120"/>
      <c r="AL209" s="120"/>
    </row>
    <row r="210" spans="1:38">
      <c r="A210" s="13">
        <f t="shared" si="47"/>
        <v>203</v>
      </c>
      <c r="B210" s="128"/>
      <c r="C210" s="121"/>
      <c r="D210" s="121"/>
      <c r="E210" s="120"/>
      <c r="F210" s="121"/>
      <c r="G210" s="120"/>
      <c r="H210" s="122"/>
      <c r="I210" s="120"/>
      <c r="J210" s="120"/>
      <c r="K210" s="120"/>
      <c r="L210" s="120"/>
      <c r="M210" s="164">
        <f t="shared" si="42"/>
        <v>0</v>
      </c>
      <c r="N210" s="164"/>
      <c r="O210" s="164"/>
      <c r="P210" s="124">
        <f t="shared" si="43"/>
        <v>0</v>
      </c>
      <c r="Q210" s="120" t="e">
        <f t="shared" si="45"/>
        <v>#DIV/0!</v>
      </c>
      <c r="R210" s="168">
        <f t="shared" si="46"/>
        <v>0</v>
      </c>
      <c r="S210" s="168">
        <f t="shared" si="44"/>
        <v>0</v>
      </c>
      <c r="T210" s="125"/>
      <c r="U210" s="124"/>
      <c r="V210" s="120"/>
      <c r="W210" s="125"/>
      <c r="X210" s="125"/>
      <c r="Y210" s="166"/>
      <c r="Z210" s="168"/>
      <c r="AA210" s="168"/>
      <c r="AB210" s="168"/>
      <c r="AC210" s="168"/>
      <c r="AD210" s="124"/>
      <c r="AE210" s="120"/>
      <c r="AF210" s="120"/>
      <c r="AG210" s="120"/>
      <c r="AH210" s="120"/>
      <c r="AI210" s="120"/>
      <c r="AJ210" s="120"/>
      <c r="AK210" s="120"/>
      <c r="AL210" s="120"/>
    </row>
    <row r="211" spans="1:38">
      <c r="A211" s="13">
        <f t="shared" si="47"/>
        <v>204</v>
      </c>
      <c r="B211" s="128"/>
      <c r="C211" s="121"/>
      <c r="D211" s="121"/>
      <c r="E211" s="120"/>
      <c r="F211" s="121"/>
      <c r="G211" s="120"/>
      <c r="H211" s="122"/>
      <c r="I211" s="120"/>
      <c r="J211" s="120"/>
      <c r="K211" s="120"/>
      <c r="L211" s="120"/>
      <c r="M211" s="164">
        <f t="shared" si="42"/>
        <v>0</v>
      </c>
      <c r="N211" s="164"/>
      <c r="O211" s="164"/>
      <c r="P211" s="124">
        <f t="shared" si="43"/>
        <v>0</v>
      </c>
      <c r="Q211" s="120" t="e">
        <f t="shared" si="45"/>
        <v>#DIV/0!</v>
      </c>
      <c r="R211" s="168">
        <f t="shared" si="46"/>
        <v>0</v>
      </c>
      <c r="S211" s="168">
        <f t="shared" si="44"/>
        <v>0</v>
      </c>
      <c r="T211" s="125"/>
      <c r="U211" s="124"/>
      <c r="V211" s="120"/>
      <c r="W211" s="125"/>
      <c r="X211" s="125"/>
      <c r="Y211" s="166"/>
      <c r="Z211" s="168"/>
      <c r="AA211" s="168"/>
      <c r="AB211" s="168"/>
      <c r="AC211" s="168"/>
      <c r="AD211" s="124"/>
      <c r="AE211" s="120"/>
      <c r="AF211" s="120"/>
      <c r="AG211" s="120"/>
      <c r="AH211" s="120"/>
      <c r="AI211" s="120"/>
      <c r="AJ211" s="120"/>
      <c r="AK211" s="120"/>
      <c r="AL211" s="120"/>
    </row>
    <row r="212" spans="1:38">
      <c r="A212" s="13">
        <f t="shared" si="47"/>
        <v>205</v>
      </c>
      <c r="B212" s="128"/>
      <c r="C212" s="121"/>
      <c r="D212" s="121"/>
      <c r="E212" s="120"/>
      <c r="F212" s="121"/>
      <c r="G212" s="120"/>
      <c r="H212" s="122"/>
      <c r="I212" s="120"/>
      <c r="J212" s="120"/>
      <c r="K212" s="120"/>
      <c r="L212" s="120"/>
      <c r="M212" s="164">
        <f t="shared" si="42"/>
        <v>0</v>
      </c>
      <c r="N212" s="164"/>
      <c r="O212" s="164"/>
      <c r="P212" s="124">
        <f t="shared" si="43"/>
        <v>0</v>
      </c>
      <c r="Q212" s="120" t="e">
        <f t="shared" si="45"/>
        <v>#DIV/0!</v>
      </c>
      <c r="R212" s="168">
        <f t="shared" si="46"/>
        <v>0</v>
      </c>
      <c r="S212" s="168">
        <f t="shared" si="44"/>
        <v>0</v>
      </c>
      <c r="T212" s="125"/>
      <c r="U212" s="124"/>
      <c r="V212" s="120"/>
      <c r="W212" s="125"/>
      <c r="X212" s="125"/>
      <c r="Y212" s="166"/>
      <c r="Z212" s="168"/>
      <c r="AA212" s="168"/>
      <c r="AB212" s="168"/>
      <c r="AC212" s="168"/>
      <c r="AD212" s="124"/>
      <c r="AE212" s="120"/>
      <c r="AF212" s="120"/>
      <c r="AG212" s="120"/>
      <c r="AH212" s="120"/>
      <c r="AI212" s="120"/>
      <c r="AJ212" s="120"/>
      <c r="AK212" s="120"/>
      <c r="AL212" s="120"/>
    </row>
    <row r="213" spans="1:38">
      <c r="A213" s="13">
        <f t="shared" si="47"/>
        <v>206</v>
      </c>
      <c r="B213" s="128"/>
      <c r="C213" s="121"/>
      <c r="D213" s="121"/>
      <c r="E213" s="120"/>
      <c r="F213" s="121"/>
      <c r="G213" s="120"/>
      <c r="H213" s="122"/>
      <c r="I213" s="120"/>
      <c r="J213" s="120"/>
      <c r="K213" s="120"/>
      <c r="L213" s="120"/>
      <c r="M213" s="164">
        <f t="shared" si="42"/>
        <v>0</v>
      </c>
      <c r="N213" s="164"/>
      <c r="O213" s="164"/>
      <c r="P213" s="124">
        <f t="shared" si="43"/>
        <v>0</v>
      </c>
      <c r="Q213" s="120" t="e">
        <f t="shared" si="45"/>
        <v>#DIV/0!</v>
      </c>
      <c r="R213" s="168">
        <f t="shared" si="46"/>
        <v>0</v>
      </c>
      <c r="S213" s="168">
        <f t="shared" si="44"/>
        <v>0</v>
      </c>
      <c r="T213" s="125"/>
      <c r="U213" s="124"/>
      <c r="V213" s="120"/>
      <c r="W213" s="125"/>
      <c r="X213" s="125"/>
      <c r="Y213" s="166"/>
      <c r="Z213" s="168"/>
      <c r="AA213" s="168"/>
      <c r="AB213" s="168"/>
      <c r="AC213" s="168"/>
      <c r="AD213" s="124"/>
      <c r="AE213" s="120"/>
      <c r="AF213" s="120"/>
      <c r="AG213" s="120"/>
      <c r="AH213" s="120"/>
      <c r="AI213" s="120"/>
      <c r="AJ213" s="120"/>
      <c r="AK213" s="120"/>
      <c r="AL213" s="120"/>
    </row>
    <row r="214" spans="1:38">
      <c r="A214" s="13">
        <f t="shared" si="47"/>
        <v>207</v>
      </c>
      <c r="B214" s="128"/>
      <c r="C214" s="121"/>
      <c r="D214" s="121"/>
      <c r="E214" s="120"/>
      <c r="F214" s="121"/>
      <c r="G214" s="120"/>
      <c r="H214" s="122"/>
      <c r="I214" s="120"/>
      <c r="J214" s="120"/>
      <c r="K214" s="120"/>
      <c r="L214" s="120"/>
      <c r="M214" s="164">
        <f t="shared" si="42"/>
        <v>0</v>
      </c>
      <c r="N214" s="164"/>
      <c r="O214" s="164"/>
      <c r="P214" s="124">
        <f t="shared" si="43"/>
        <v>0</v>
      </c>
      <c r="Q214" s="120" t="e">
        <f t="shared" si="45"/>
        <v>#DIV/0!</v>
      </c>
      <c r="R214" s="168">
        <f t="shared" si="46"/>
        <v>0</v>
      </c>
      <c r="S214" s="168">
        <f t="shared" si="44"/>
        <v>0</v>
      </c>
      <c r="T214" s="125"/>
      <c r="U214" s="124"/>
      <c r="V214" s="120"/>
      <c r="W214" s="125"/>
      <c r="X214" s="125"/>
      <c r="Y214" s="166"/>
      <c r="Z214" s="168"/>
      <c r="AA214" s="168"/>
      <c r="AB214" s="168"/>
      <c r="AC214" s="168"/>
      <c r="AD214" s="124"/>
      <c r="AE214" s="120"/>
      <c r="AF214" s="120"/>
      <c r="AG214" s="120"/>
      <c r="AH214" s="120"/>
      <c r="AI214" s="120"/>
      <c r="AJ214" s="120"/>
      <c r="AK214" s="120"/>
      <c r="AL214" s="120"/>
    </row>
    <row r="215" spans="1:38">
      <c r="A215" s="13">
        <f t="shared" si="47"/>
        <v>208</v>
      </c>
      <c r="B215" s="128"/>
      <c r="C215" s="121"/>
      <c r="D215" s="121"/>
      <c r="E215" s="120"/>
      <c r="F215" s="121"/>
      <c r="G215" s="120"/>
      <c r="H215" s="122"/>
      <c r="I215" s="120"/>
      <c r="J215" s="120"/>
      <c r="K215" s="120"/>
      <c r="L215" s="120"/>
      <c r="M215" s="164">
        <f t="shared" si="42"/>
        <v>0</v>
      </c>
      <c r="N215" s="164"/>
      <c r="O215" s="164"/>
      <c r="P215" s="124">
        <f t="shared" si="43"/>
        <v>0</v>
      </c>
      <c r="Q215" s="120" t="e">
        <f t="shared" si="45"/>
        <v>#DIV/0!</v>
      </c>
      <c r="R215" s="168">
        <f t="shared" si="46"/>
        <v>0</v>
      </c>
      <c r="S215" s="168">
        <f t="shared" si="44"/>
        <v>0</v>
      </c>
      <c r="T215" s="125"/>
      <c r="U215" s="124"/>
      <c r="V215" s="120"/>
      <c r="W215" s="125"/>
      <c r="X215" s="125"/>
      <c r="Y215" s="166"/>
      <c r="Z215" s="168"/>
      <c r="AA215" s="168"/>
      <c r="AB215" s="168"/>
      <c r="AC215" s="168"/>
      <c r="AD215" s="124"/>
      <c r="AE215" s="120"/>
      <c r="AF215" s="120"/>
      <c r="AG215" s="120"/>
      <c r="AH215" s="120"/>
      <c r="AI215" s="120"/>
      <c r="AJ215" s="120"/>
      <c r="AK215" s="120"/>
      <c r="AL215" s="120"/>
    </row>
    <row r="216" spans="1:38">
      <c r="A216" s="13">
        <f t="shared" si="47"/>
        <v>209</v>
      </c>
      <c r="B216" s="128"/>
      <c r="C216" s="121"/>
      <c r="D216" s="121"/>
      <c r="E216" s="120"/>
      <c r="F216" s="121"/>
      <c r="G216" s="120"/>
      <c r="H216" s="122"/>
      <c r="I216" s="120"/>
      <c r="J216" s="120"/>
      <c r="K216" s="120"/>
      <c r="L216" s="120"/>
      <c r="M216" s="164">
        <f t="shared" si="42"/>
        <v>0</v>
      </c>
      <c r="N216" s="164"/>
      <c r="O216" s="164"/>
      <c r="P216" s="124">
        <f t="shared" si="43"/>
        <v>0</v>
      </c>
      <c r="Q216" s="120" t="e">
        <f t="shared" si="45"/>
        <v>#DIV/0!</v>
      </c>
      <c r="R216" s="168">
        <f t="shared" si="46"/>
        <v>0</v>
      </c>
      <c r="S216" s="168">
        <f t="shared" si="44"/>
        <v>0</v>
      </c>
      <c r="T216" s="125"/>
      <c r="U216" s="124"/>
      <c r="V216" s="120"/>
      <c r="W216" s="125"/>
      <c r="X216" s="125"/>
      <c r="Y216" s="166"/>
      <c r="Z216" s="168"/>
      <c r="AA216" s="168"/>
      <c r="AB216" s="168"/>
      <c r="AC216" s="168"/>
      <c r="AD216" s="124"/>
      <c r="AE216" s="120"/>
      <c r="AF216" s="120"/>
      <c r="AG216" s="120"/>
      <c r="AH216" s="120"/>
      <c r="AI216" s="120"/>
      <c r="AJ216" s="120"/>
      <c r="AK216" s="120"/>
      <c r="AL216" s="120"/>
    </row>
    <row r="217" spans="1:38">
      <c r="A217" s="13">
        <f t="shared" si="47"/>
        <v>210</v>
      </c>
      <c r="B217" s="128"/>
      <c r="C217" s="121"/>
      <c r="D217" s="121"/>
      <c r="E217" s="120"/>
      <c r="F217" s="121"/>
      <c r="G217" s="120"/>
      <c r="H217" s="122"/>
      <c r="I217" s="120"/>
      <c r="J217" s="120"/>
      <c r="K217" s="120"/>
      <c r="L217" s="120"/>
      <c r="M217" s="164">
        <f t="shared" si="42"/>
        <v>0</v>
      </c>
      <c r="N217" s="164"/>
      <c r="O217" s="164"/>
      <c r="P217" s="124">
        <f t="shared" si="43"/>
        <v>0</v>
      </c>
      <c r="Q217" s="120" t="e">
        <f t="shared" si="45"/>
        <v>#DIV/0!</v>
      </c>
      <c r="R217" s="168">
        <f t="shared" si="46"/>
        <v>0</v>
      </c>
      <c r="S217" s="168">
        <f t="shared" si="44"/>
        <v>0</v>
      </c>
      <c r="T217" s="125"/>
      <c r="U217" s="124"/>
      <c r="V217" s="120"/>
      <c r="W217" s="125"/>
      <c r="X217" s="125"/>
      <c r="Y217" s="166"/>
      <c r="Z217" s="168"/>
      <c r="AA217" s="168"/>
      <c r="AB217" s="168"/>
      <c r="AC217" s="168"/>
      <c r="AD217" s="124"/>
      <c r="AE217" s="120"/>
      <c r="AF217" s="120"/>
      <c r="AG217" s="120"/>
      <c r="AH217" s="120"/>
      <c r="AI217" s="120"/>
      <c r="AJ217" s="120"/>
      <c r="AK217" s="120"/>
      <c r="AL217" s="120"/>
    </row>
    <row r="218" spans="1:38">
      <c r="A218" s="13">
        <f t="shared" si="47"/>
        <v>211</v>
      </c>
      <c r="B218" s="128"/>
      <c r="C218" s="121"/>
      <c r="D218" s="121"/>
      <c r="E218" s="120"/>
      <c r="F218" s="121"/>
      <c r="G218" s="120"/>
      <c r="H218" s="122"/>
      <c r="I218" s="120"/>
      <c r="J218" s="120"/>
      <c r="K218" s="120"/>
      <c r="L218" s="120"/>
      <c r="M218" s="164">
        <f t="shared" si="42"/>
        <v>0</v>
      </c>
      <c r="N218" s="164"/>
      <c r="O218" s="164"/>
      <c r="P218" s="124">
        <f t="shared" si="43"/>
        <v>0</v>
      </c>
      <c r="Q218" s="120" t="e">
        <f t="shared" si="45"/>
        <v>#DIV/0!</v>
      </c>
      <c r="R218" s="168">
        <f t="shared" si="46"/>
        <v>0</v>
      </c>
      <c r="S218" s="168">
        <f t="shared" si="44"/>
        <v>0</v>
      </c>
      <c r="T218" s="125"/>
      <c r="U218" s="124"/>
      <c r="V218" s="120"/>
      <c r="W218" s="125"/>
      <c r="X218" s="125"/>
      <c r="Y218" s="166"/>
      <c r="Z218" s="168"/>
      <c r="AA218" s="168"/>
      <c r="AB218" s="168"/>
      <c r="AC218" s="168"/>
      <c r="AD218" s="124"/>
      <c r="AE218" s="120"/>
      <c r="AF218" s="120"/>
      <c r="AG218" s="120"/>
      <c r="AH218" s="120"/>
      <c r="AI218" s="120"/>
      <c r="AJ218" s="120"/>
      <c r="AK218" s="120"/>
      <c r="AL218" s="120"/>
    </row>
    <row r="219" spans="1:38">
      <c r="A219" s="13">
        <f t="shared" si="47"/>
        <v>212</v>
      </c>
      <c r="B219" s="128"/>
      <c r="C219" s="121"/>
      <c r="D219" s="121"/>
      <c r="E219" s="120"/>
      <c r="F219" s="121"/>
      <c r="G219" s="120"/>
      <c r="H219" s="122"/>
      <c r="I219" s="120"/>
      <c r="J219" s="120"/>
      <c r="K219" s="120"/>
      <c r="L219" s="120"/>
      <c r="M219" s="164">
        <f t="shared" si="42"/>
        <v>0</v>
      </c>
      <c r="N219" s="164"/>
      <c r="O219" s="164"/>
      <c r="P219" s="124">
        <f t="shared" si="43"/>
        <v>0</v>
      </c>
      <c r="Q219" s="120" t="e">
        <f t="shared" si="45"/>
        <v>#DIV/0!</v>
      </c>
      <c r="R219" s="168">
        <f t="shared" si="46"/>
        <v>0</v>
      </c>
      <c r="S219" s="168">
        <f t="shared" si="44"/>
        <v>0</v>
      </c>
      <c r="T219" s="125"/>
      <c r="U219" s="124"/>
      <c r="V219" s="120"/>
      <c r="W219" s="125"/>
      <c r="X219" s="125"/>
      <c r="Y219" s="166"/>
      <c r="Z219" s="168"/>
      <c r="AA219" s="168"/>
      <c r="AB219" s="168"/>
      <c r="AC219" s="168"/>
      <c r="AD219" s="124"/>
      <c r="AE219" s="120"/>
      <c r="AF219" s="120"/>
      <c r="AG219" s="120"/>
      <c r="AH219" s="120"/>
      <c r="AI219" s="120"/>
      <c r="AJ219" s="120"/>
      <c r="AK219" s="120"/>
      <c r="AL219" s="120"/>
    </row>
    <row r="220" spans="1:38">
      <c r="A220" s="13">
        <f t="shared" si="47"/>
        <v>213</v>
      </c>
      <c r="B220" s="128"/>
      <c r="C220" s="121"/>
      <c r="D220" s="121"/>
      <c r="E220" s="120"/>
      <c r="F220" s="121"/>
      <c r="G220" s="120"/>
      <c r="H220" s="122"/>
      <c r="I220" s="120"/>
      <c r="J220" s="120"/>
      <c r="K220" s="120"/>
      <c r="L220" s="120"/>
      <c r="M220" s="164">
        <f t="shared" si="42"/>
        <v>0</v>
      </c>
      <c r="N220" s="164"/>
      <c r="O220" s="164"/>
      <c r="P220" s="124">
        <f t="shared" si="43"/>
        <v>0</v>
      </c>
      <c r="Q220" s="120" t="e">
        <f t="shared" si="45"/>
        <v>#DIV/0!</v>
      </c>
      <c r="R220" s="168">
        <f t="shared" si="46"/>
        <v>0</v>
      </c>
      <c r="S220" s="168">
        <f t="shared" si="44"/>
        <v>0</v>
      </c>
      <c r="T220" s="125"/>
      <c r="U220" s="124"/>
      <c r="V220" s="120"/>
      <c r="W220" s="125"/>
      <c r="X220" s="125"/>
      <c r="Y220" s="166"/>
      <c r="Z220" s="168"/>
      <c r="AA220" s="168"/>
      <c r="AB220" s="168"/>
      <c r="AC220" s="168"/>
      <c r="AD220" s="124"/>
      <c r="AE220" s="120"/>
      <c r="AF220" s="120"/>
      <c r="AG220" s="120"/>
      <c r="AH220" s="120"/>
      <c r="AI220" s="120"/>
      <c r="AJ220" s="120"/>
      <c r="AK220" s="120"/>
      <c r="AL220" s="120"/>
    </row>
    <row r="221" spans="1:38">
      <c r="A221" s="13">
        <f t="shared" si="47"/>
        <v>214</v>
      </c>
      <c r="B221" s="128"/>
      <c r="C221" s="121"/>
      <c r="D221" s="121"/>
      <c r="E221" s="120"/>
      <c r="F221" s="121"/>
      <c r="G221" s="120"/>
      <c r="H221" s="122"/>
      <c r="I221" s="120"/>
      <c r="J221" s="120"/>
      <c r="K221" s="120"/>
      <c r="L221" s="120"/>
      <c r="M221" s="164">
        <f t="shared" si="42"/>
        <v>0</v>
      </c>
      <c r="N221" s="164"/>
      <c r="O221" s="164"/>
      <c r="P221" s="124">
        <f t="shared" si="43"/>
        <v>0</v>
      </c>
      <c r="Q221" s="120" t="e">
        <f t="shared" si="45"/>
        <v>#DIV/0!</v>
      </c>
      <c r="R221" s="168">
        <f t="shared" si="46"/>
        <v>0</v>
      </c>
      <c r="S221" s="168">
        <f t="shared" si="44"/>
        <v>0</v>
      </c>
      <c r="T221" s="125"/>
      <c r="U221" s="124"/>
      <c r="V221" s="120"/>
      <c r="W221" s="125"/>
      <c r="X221" s="125"/>
      <c r="Y221" s="166"/>
      <c r="Z221" s="168"/>
      <c r="AA221" s="168"/>
      <c r="AB221" s="168"/>
      <c r="AC221" s="168"/>
      <c r="AD221" s="124"/>
      <c r="AE221" s="120"/>
      <c r="AF221" s="120"/>
      <c r="AG221" s="120"/>
      <c r="AH221" s="120"/>
      <c r="AI221" s="120"/>
      <c r="AJ221" s="120"/>
      <c r="AK221" s="120"/>
      <c r="AL221" s="120"/>
    </row>
    <row r="222" spans="1:38">
      <c r="A222" s="13">
        <f t="shared" si="47"/>
        <v>215</v>
      </c>
      <c r="B222" s="128"/>
      <c r="C222" s="121"/>
      <c r="D222" s="121"/>
      <c r="E222" s="120"/>
      <c r="F222" s="121"/>
      <c r="G222" s="120"/>
      <c r="H222" s="122"/>
      <c r="I222" s="120"/>
      <c r="J222" s="120"/>
      <c r="K222" s="120"/>
      <c r="L222" s="120"/>
      <c r="M222" s="164">
        <f t="shared" si="42"/>
        <v>0</v>
      </c>
      <c r="N222" s="164"/>
      <c r="O222" s="164"/>
      <c r="P222" s="124">
        <f t="shared" si="43"/>
        <v>0</v>
      </c>
      <c r="Q222" s="120" t="e">
        <f t="shared" si="45"/>
        <v>#DIV/0!</v>
      </c>
      <c r="R222" s="168">
        <f t="shared" si="46"/>
        <v>0</v>
      </c>
      <c r="S222" s="168">
        <f t="shared" si="44"/>
        <v>0</v>
      </c>
      <c r="T222" s="125"/>
      <c r="U222" s="124"/>
      <c r="V222" s="120"/>
      <c r="W222" s="125"/>
      <c r="X222" s="125"/>
      <c r="Y222" s="166"/>
      <c r="Z222" s="168"/>
      <c r="AA222" s="168"/>
      <c r="AB222" s="168"/>
      <c r="AC222" s="168"/>
      <c r="AD222" s="124"/>
      <c r="AE222" s="120"/>
      <c r="AF222" s="120"/>
      <c r="AG222" s="120"/>
      <c r="AH222" s="120"/>
      <c r="AI222" s="120"/>
      <c r="AJ222" s="120"/>
      <c r="AK222" s="120"/>
      <c r="AL222" s="120"/>
    </row>
    <row r="223" spans="1:38">
      <c r="A223" s="13">
        <f t="shared" si="47"/>
        <v>216</v>
      </c>
      <c r="B223" s="128"/>
      <c r="C223" s="121"/>
      <c r="D223" s="121"/>
      <c r="E223" s="120"/>
      <c r="F223" s="121"/>
      <c r="G223" s="120"/>
      <c r="H223" s="122"/>
      <c r="I223" s="120"/>
      <c r="J223" s="120"/>
      <c r="K223" s="120"/>
      <c r="L223" s="120"/>
      <c r="M223" s="164">
        <f t="shared" si="42"/>
        <v>0</v>
      </c>
      <c r="N223" s="164"/>
      <c r="O223" s="164"/>
      <c r="P223" s="124">
        <f t="shared" si="43"/>
        <v>0</v>
      </c>
      <c r="Q223" s="120" t="e">
        <f t="shared" si="45"/>
        <v>#DIV/0!</v>
      </c>
      <c r="R223" s="168">
        <f t="shared" si="46"/>
        <v>0</v>
      </c>
      <c r="S223" s="168">
        <f t="shared" si="44"/>
        <v>0</v>
      </c>
      <c r="T223" s="125"/>
      <c r="U223" s="124"/>
      <c r="V223" s="120"/>
      <c r="W223" s="125"/>
      <c r="X223" s="125"/>
      <c r="Y223" s="166"/>
      <c r="Z223" s="168"/>
      <c r="AA223" s="168"/>
      <c r="AB223" s="168"/>
      <c r="AC223" s="168"/>
      <c r="AD223" s="124"/>
      <c r="AE223" s="120"/>
      <c r="AF223" s="120"/>
      <c r="AG223" s="120"/>
      <c r="AH223" s="120"/>
      <c r="AI223" s="120"/>
      <c r="AJ223" s="120"/>
      <c r="AK223" s="120"/>
      <c r="AL223" s="120"/>
    </row>
    <row r="224" spans="1:38">
      <c r="A224" s="13">
        <f t="shared" si="47"/>
        <v>217</v>
      </c>
      <c r="B224" s="128"/>
      <c r="C224" s="121"/>
      <c r="D224" s="121"/>
      <c r="E224" s="120"/>
      <c r="F224" s="121"/>
      <c r="G224" s="120"/>
      <c r="H224" s="122"/>
      <c r="I224" s="120"/>
      <c r="J224" s="120"/>
      <c r="K224" s="120"/>
      <c r="L224" s="120"/>
      <c r="M224" s="164">
        <f t="shared" si="42"/>
        <v>0</v>
      </c>
      <c r="N224" s="164"/>
      <c r="O224" s="164"/>
      <c r="P224" s="124">
        <f t="shared" si="43"/>
        <v>0</v>
      </c>
      <c r="Q224" s="120" t="e">
        <f t="shared" si="45"/>
        <v>#DIV/0!</v>
      </c>
      <c r="R224" s="168">
        <f t="shared" si="46"/>
        <v>0</v>
      </c>
      <c r="S224" s="168">
        <f t="shared" si="44"/>
        <v>0</v>
      </c>
      <c r="T224" s="125"/>
      <c r="U224" s="124"/>
      <c r="V224" s="120"/>
      <c r="W224" s="125"/>
      <c r="X224" s="125"/>
      <c r="Y224" s="166"/>
      <c r="Z224" s="168"/>
      <c r="AA224" s="168"/>
      <c r="AB224" s="168"/>
      <c r="AC224" s="168"/>
      <c r="AD224" s="124"/>
      <c r="AE224" s="120"/>
      <c r="AF224" s="120"/>
      <c r="AG224" s="120"/>
      <c r="AH224" s="120"/>
      <c r="AI224" s="120"/>
      <c r="AJ224" s="120"/>
      <c r="AK224" s="120"/>
      <c r="AL224" s="120"/>
    </row>
    <row r="225" spans="1:38">
      <c r="A225" s="13">
        <f t="shared" si="47"/>
        <v>218</v>
      </c>
      <c r="B225" s="128"/>
      <c r="C225" s="121"/>
      <c r="D225" s="121"/>
      <c r="E225" s="120"/>
      <c r="F225" s="121"/>
      <c r="G225" s="120"/>
      <c r="H225" s="122"/>
      <c r="I225" s="120"/>
      <c r="J225" s="120"/>
      <c r="K225" s="120"/>
      <c r="L225" s="120"/>
      <c r="M225" s="164">
        <f t="shared" si="42"/>
        <v>0</v>
      </c>
      <c r="N225" s="164"/>
      <c r="O225" s="164"/>
      <c r="P225" s="124">
        <f t="shared" si="43"/>
        <v>0</v>
      </c>
      <c r="Q225" s="120" t="e">
        <f t="shared" si="45"/>
        <v>#DIV/0!</v>
      </c>
      <c r="R225" s="168">
        <f t="shared" si="46"/>
        <v>0</v>
      </c>
      <c r="S225" s="168">
        <f t="shared" si="44"/>
        <v>0</v>
      </c>
      <c r="T225" s="125"/>
      <c r="U225" s="124"/>
      <c r="V225" s="120"/>
      <c r="W225" s="125"/>
      <c r="X225" s="125"/>
      <c r="Y225" s="166"/>
      <c r="Z225" s="168"/>
      <c r="AA225" s="168"/>
      <c r="AB225" s="168"/>
      <c r="AC225" s="168"/>
      <c r="AD225" s="124"/>
      <c r="AE225" s="120"/>
      <c r="AF225" s="120"/>
      <c r="AG225" s="120"/>
      <c r="AH225" s="120"/>
      <c r="AI225" s="120"/>
      <c r="AJ225" s="120"/>
      <c r="AK225" s="120"/>
      <c r="AL225" s="120"/>
    </row>
    <row r="226" spans="1:38">
      <c r="A226" s="13">
        <f t="shared" si="47"/>
        <v>219</v>
      </c>
      <c r="B226" s="128"/>
      <c r="C226" s="121"/>
      <c r="D226" s="121"/>
      <c r="E226" s="120"/>
      <c r="F226" s="121"/>
      <c r="G226" s="120"/>
      <c r="H226" s="122"/>
      <c r="I226" s="120"/>
      <c r="J226" s="120"/>
      <c r="K226" s="120"/>
      <c r="L226" s="120"/>
      <c r="M226" s="164">
        <f t="shared" si="42"/>
        <v>0</v>
      </c>
      <c r="N226" s="164"/>
      <c r="O226" s="164"/>
      <c r="P226" s="124">
        <f t="shared" si="43"/>
        <v>0</v>
      </c>
      <c r="Q226" s="120" t="e">
        <f t="shared" si="45"/>
        <v>#DIV/0!</v>
      </c>
      <c r="R226" s="168">
        <f t="shared" si="46"/>
        <v>0</v>
      </c>
      <c r="S226" s="168">
        <f t="shared" si="44"/>
        <v>0</v>
      </c>
      <c r="T226" s="125"/>
      <c r="U226" s="124"/>
      <c r="V226" s="120"/>
      <c r="W226" s="125"/>
      <c r="X226" s="125"/>
      <c r="Y226" s="166"/>
      <c r="Z226" s="168"/>
      <c r="AA226" s="168"/>
      <c r="AB226" s="168"/>
      <c r="AC226" s="168"/>
      <c r="AD226" s="124"/>
      <c r="AE226" s="120"/>
      <c r="AF226" s="120"/>
      <c r="AG226" s="120"/>
      <c r="AH226" s="120"/>
      <c r="AI226" s="120"/>
      <c r="AJ226" s="120"/>
      <c r="AK226" s="120"/>
      <c r="AL226" s="120"/>
    </row>
    <row r="227" spans="1:38">
      <c r="A227" s="13">
        <f t="shared" si="47"/>
        <v>220</v>
      </c>
      <c r="B227" s="128"/>
      <c r="C227" s="121"/>
      <c r="D227" s="121"/>
      <c r="E227" s="120"/>
      <c r="F227" s="121"/>
      <c r="G227" s="120"/>
      <c r="H227" s="122"/>
      <c r="I227" s="120"/>
      <c r="J227" s="120"/>
      <c r="K227" s="120"/>
      <c r="L227" s="120"/>
      <c r="M227" s="164">
        <f t="shared" si="42"/>
        <v>0</v>
      </c>
      <c r="N227" s="164"/>
      <c r="O227" s="164"/>
      <c r="P227" s="124">
        <f t="shared" si="43"/>
        <v>0</v>
      </c>
      <c r="Q227" s="120" t="e">
        <f t="shared" si="45"/>
        <v>#DIV/0!</v>
      </c>
      <c r="R227" s="168">
        <f t="shared" si="46"/>
        <v>0</v>
      </c>
      <c r="S227" s="168">
        <f t="shared" si="44"/>
        <v>0</v>
      </c>
      <c r="T227" s="125"/>
      <c r="U227" s="124"/>
      <c r="V227" s="120"/>
      <c r="W227" s="125"/>
      <c r="X227" s="125"/>
      <c r="Y227" s="166"/>
      <c r="Z227" s="168"/>
      <c r="AA227" s="168"/>
      <c r="AB227" s="168"/>
      <c r="AC227" s="168"/>
      <c r="AD227" s="124"/>
      <c r="AE227" s="120"/>
      <c r="AF227" s="120"/>
      <c r="AG227" s="120"/>
      <c r="AH227" s="120"/>
      <c r="AI227" s="120"/>
      <c r="AJ227" s="120"/>
      <c r="AK227" s="120"/>
      <c r="AL227" s="120"/>
    </row>
    <row r="228" spans="1:38">
      <c r="A228" s="13">
        <f t="shared" si="47"/>
        <v>221</v>
      </c>
      <c r="B228" s="128"/>
      <c r="C228" s="121"/>
      <c r="D228" s="121"/>
      <c r="E228" s="120"/>
      <c r="F228" s="121"/>
      <c r="G228" s="120"/>
      <c r="H228" s="122"/>
      <c r="I228" s="120"/>
      <c r="J228" s="120"/>
      <c r="K228" s="120"/>
      <c r="L228" s="120"/>
      <c r="M228" s="164">
        <f t="shared" si="42"/>
        <v>0</v>
      </c>
      <c r="N228" s="164"/>
      <c r="O228" s="164"/>
      <c r="P228" s="124">
        <f t="shared" si="43"/>
        <v>0</v>
      </c>
      <c r="Q228" s="120" t="e">
        <f t="shared" si="45"/>
        <v>#DIV/0!</v>
      </c>
      <c r="R228" s="168">
        <f t="shared" si="46"/>
        <v>0</v>
      </c>
      <c r="S228" s="168">
        <f t="shared" si="44"/>
        <v>0</v>
      </c>
      <c r="T228" s="125"/>
      <c r="U228" s="124"/>
      <c r="V228" s="120"/>
      <c r="W228" s="125"/>
      <c r="X228" s="125"/>
      <c r="Y228" s="166"/>
      <c r="Z228" s="168"/>
      <c r="AA228" s="168"/>
      <c r="AB228" s="168"/>
      <c r="AC228" s="168"/>
      <c r="AD228" s="124"/>
      <c r="AE228" s="120"/>
      <c r="AF228" s="120"/>
      <c r="AG228" s="120"/>
      <c r="AH228" s="120"/>
      <c r="AI228" s="120"/>
      <c r="AJ228" s="120"/>
      <c r="AK228" s="120"/>
      <c r="AL228" s="120"/>
    </row>
    <row r="229" spans="1:38">
      <c r="A229" s="13">
        <f t="shared" si="47"/>
        <v>222</v>
      </c>
      <c r="B229" s="128"/>
      <c r="C229" s="121"/>
      <c r="D229" s="121"/>
      <c r="E229" s="120"/>
      <c r="F229" s="121"/>
      <c r="G229" s="120"/>
      <c r="H229" s="122"/>
      <c r="I229" s="120"/>
      <c r="J229" s="120"/>
      <c r="K229" s="120"/>
      <c r="L229" s="120"/>
      <c r="M229" s="164">
        <f t="shared" si="42"/>
        <v>0</v>
      </c>
      <c r="N229" s="164"/>
      <c r="O229" s="164"/>
      <c r="P229" s="124">
        <f t="shared" si="43"/>
        <v>0</v>
      </c>
      <c r="Q229" s="120" t="e">
        <f t="shared" si="45"/>
        <v>#DIV/0!</v>
      </c>
      <c r="R229" s="168">
        <f t="shared" si="46"/>
        <v>0</v>
      </c>
      <c r="S229" s="168">
        <f t="shared" si="44"/>
        <v>0</v>
      </c>
      <c r="T229" s="125"/>
      <c r="U229" s="124"/>
      <c r="V229" s="120"/>
      <c r="W229" s="125"/>
      <c r="X229" s="125"/>
      <c r="Y229" s="166"/>
      <c r="Z229" s="168"/>
      <c r="AA229" s="168"/>
      <c r="AB229" s="168"/>
      <c r="AC229" s="168"/>
      <c r="AD229" s="124"/>
      <c r="AE229" s="120"/>
      <c r="AF229" s="120"/>
      <c r="AG229" s="120"/>
      <c r="AH229" s="120"/>
      <c r="AI229" s="120"/>
      <c r="AJ229" s="120"/>
      <c r="AK229" s="120"/>
      <c r="AL229" s="120"/>
    </row>
    <row r="230" spans="1:38">
      <c r="A230" s="13">
        <f t="shared" si="47"/>
        <v>223</v>
      </c>
      <c r="B230" s="128"/>
      <c r="C230" s="121"/>
      <c r="D230" s="121"/>
      <c r="E230" s="120"/>
      <c r="F230" s="121"/>
      <c r="G230" s="120"/>
      <c r="H230" s="122"/>
      <c r="I230" s="120"/>
      <c r="J230" s="120"/>
      <c r="K230" s="120"/>
      <c r="L230" s="120"/>
      <c r="M230" s="164">
        <f t="shared" si="42"/>
        <v>0</v>
      </c>
      <c r="N230" s="164"/>
      <c r="O230" s="164"/>
      <c r="P230" s="124">
        <f t="shared" si="43"/>
        <v>0</v>
      </c>
      <c r="Q230" s="120" t="e">
        <f t="shared" si="45"/>
        <v>#DIV/0!</v>
      </c>
      <c r="R230" s="168">
        <f t="shared" si="46"/>
        <v>0</v>
      </c>
      <c r="S230" s="168">
        <f t="shared" si="44"/>
        <v>0</v>
      </c>
      <c r="T230" s="125"/>
      <c r="U230" s="124"/>
      <c r="V230" s="120"/>
      <c r="W230" s="125"/>
      <c r="X230" s="125"/>
      <c r="Y230" s="166"/>
      <c r="Z230" s="168"/>
      <c r="AA230" s="168"/>
      <c r="AB230" s="168"/>
      <c r="AC230" s="168"/>
      <c r="AD230" s="124"/>
      <c r="AE230" s="120"/>
      <c r="AF230" s="120"/>
      <c r="AG230" s="120"/>
      <c r="AH230" s="120"/>
      <c r="AI230" s="120"/>
      <c r="AJ230" s="120"/>
      <c r="AK230" s="120"/>
      <c r="AL230" s="120"/>
    </row>
    <row r="231" spans="1:38">
      <c r="A231" s="13">
        <f t="shared" si="47"/>
        <v>224</v>
      </c>
      <c r="B231" s="128"/>
      <c r="C231" s="121"/>
      <c r="D231" s="121"/>
      <c r="E231" s="120"/>
      <c r="F231" s="121"/>
      <c r="G231" s="120"/>
      <c r="H231" s="122"/>
      <c r="I231" s="120"/>
      <c r="J231" s="120"/>
      <c r="K231" s="120"/>
      <c r="L231" s="120"/>
      <c r="M231" s="164">
        <f t="shared" si="42"/>
        <v>0</v>
      </c>
      <c r="N231" s="164"/>
      <c r="O231" s="164"/>
      <c r="P231" s="124">
        <f t="shared" si="43"/>
        <v>0</v>
      </c>
      <c r="Q231" s="120" t="e">
        <f t="shared" si="45"/>
        <v>#DIV/0!</v>
      </c>
      <c r="R231" s="168">
        <f t="shared" si="46"/>
        <v>0</v>
      </c>
      <c r="S231" s="168">
        <f t="shared" si="44"/>
        <v>0</v>
      </c>
      <c r="T231" s="125"/>
      <c r="U231" s="124"/>
      <c r="V231" s="120"/>
      <c r="W231" s="125"/>
      <c r="X231" s="125"/>
      <c r="Y231" s="166"/>
      <c r="Z231" s="168"/>
      <c r="AA231" s="168"/>
      <c r="AB231" s="168"/>
      <c r="AC231" s="168"/>
      <c r="AD231" s="124"/>
      <c r="AE231" s="120"/>
      <c r="AF231" s="120"/>
      <c r="AG231" s="120"/>
      <c r="AH231" s="120"/>
      <c r="AI231" s="120"/>
      <c r="AJ231" s="120"/>
      <c r="AK231" s="120"/>
      <c r="AL231" s="120"/>
    </row>
    <row r="232" spans="1:38">
      <c r="A232" s="13">
        <f t="shared" si="47"/>
        <v>225</v>
      </c>
      <c r="B232" s="128"/>
      <c r="C232" s="121"/>
      <c r="D232" s="121"/>
      <c r="E232" s="120"/>
      <c r="F232" s="121"/>
      <c r="G232" s="120"/>
      <c r="H232" s="122"/>
      <c r="I232" s="120"/>
      <c r="J232" s="120"/>
      <c r="K232" s="120"/>
      <c r="L232" s="120"/>
      <c r="M232" s="164">
        <f t="shared" si="42"/>
        <v>0</v>
      </c>
      <c r="N232" s="164"/>
      <c r="O232" s="164"/>
      <c r="P232" s="124">
        <f t="shared" si="43"/>
        <v>0</v>
      </c>
      <c r="Q232" s="120" t="e">
        <f t="shared" si="45"/>
        <v>#DIV/0!</v>
      </c>
      <c r="R232" s="168">
        <f t="shared" si="46"/>
        <v>0</v>
      </c>
      <c r="S232" s="168">
        <f t="shared" si="44"/>
        <v>0</v>
      </c>
      <c r="T232" s="125"/>
      <c r="U232" s="124"/>
      <c r="V232" s="120"/>
      <c r="W232" s="125"/>
      <c r="X232" s="125"/>
      <c r="Y232" s="166"/>
      <c r="Z232" s="168"/>
      <c r="AA232" s="168"/>
      <c r="AB232" s="168"/>
      <c r="AC232" s="168"/>
      <c r="AD232" s="124"/>
      <c r="AE232" s="120"/>
      <c r="AF232" s="120"/>
      <c r="AG232" s="120"/>
      <c r="AH232" s="120"/>
      <c r="AI232" s="120"/>
      <c r="AJ232" s="120"/>
      <c r="AK232" s="120"/>
      <c r="AL232" s="120"/>
    </row>
    <row r="233" spans="1:38">
      <c r="A233" s="13">
        <f t="shared" si="47"/>
        <v>226</v>
      </c>
      <c r="B233" s="128"/>
      <c r="C233" s="121"/>
      <c r="D233" s="121"/>
      <c r="E233" s="120"/>
      <c r="F233" s="121"/>
      <c r="G233" s="120"/>
      <c r="H233" s="122"/>
      <c r="I233" s="120"/>
      <c r="J233" s="120"/>
      <c r="K233" s="120"/>
      <c r="L233" s="120"/>
      <c r="M233" s="164">
        <f t="shared" si="42"/>
        <v>0</v>
      </c>
      <c r="N233" s="164"/>
      <c r="O233" s="164"/>
      <c r="P233" s="124">
        <f t="shared" si="43"/>
        <v>0</v>
      </c>
      <c r="Q233" s="120" t="e">
        <f t="shared" si="45"/>
        <v>#DIV/0!</v>
      </c>
      <c r="R233" s="168">
        <f t="shared" si="46"/>
        <v>0</v>
      </c>
      <c r="S233" s="168">
        <f t="shared" si="44"/>
        <v>0</v>
      </c>
      <c r="T233" s="125"/>
      <c r="U233" s="124"/>
      <c r="V233" s="120"/>
      <c r="W233" s="125"/>
      <c r="X233" s="125"/>
      <c r="Y233" s="166"/>
      <c r="Z233" s="168"/>
      <c r="AA233" s="168"/>
      <c r="AB233" s="168"/>
      <c r="AC233" s="168"/>
      <c r="AD233" s="124"/>
      <c r="AE233" s="120"/>
      <c r="AF233" s="120"/>
      <c r="AG233" s="120"/>
      <c r="AH233" s="120"/>
      <c r="AI233" s="120"/>
      <c r="AJ233" s="120"/>
      <c r="AK233" s="120"/>
      <c r="AL233" s="120"/>
    </row>
    <row r="234" spans="1:38">
      <c r="A234" s="13">
        <f t="shared" si="47"/>
        <v>227</v>
      </c>
      <c r="B234" s="128"/>
      <c r="C234" s="121"/>
      <c r="D234" s="121"/>
      <c r="E234" s="120"/>
      <c r="F234" s="121"/>
      <c r="G234" s="120"/>
      <c r="H234" s="122"/>
      <c r="I234" s="120"/>
      <c r="J234" s="120"/>
      <c r="K234" s="120"/>
      <c r="L234" s="120"/>
      <c r="M234" s="164">
        <f t="shared" si="42"/>
        <v>0</v>
      </c>
      <c r="N234" s="164"/>
      <c r="O234" s="164"/>
      <c r="P234" s="124">
        <f t="shared" si="43"/>
        <v>0</v>
      </c>
      <c r="Q234" s="120" t="e">
        <f t="shared" si="45"/>
        <v>#DIV/0!</v>
      </c>
      <c r="R234" s="168">
        <f t="shared" si="46"/>
        <v>0</v>
      </c>
      <c r="S234" s="168">
        <f t="shared" si="44"/>
        <v>0</v>
      </c>
      <c r="T234" s="125"/>
      <c r="U234" s="124"/>
      <c r="V234" s="120"/>
      <c r="W234" s="125"/>
      <c r="X234" s="125"/>
      <c r="Y234" s="166"/>
      <c r="Z234" s="168"/>
      <c r="AA234" s="168"/>
      <c r="AB234" s="168"/>
      <c r="AC234" s="168"/>
      <c r="AD234" s="124"/>
      <c r="AE234" s="120"/>
      <c r="AF234" s="120"/>
      <c r="AG234" s="120"/>
      <c r="AH234" s="120"/>
      <c r="AI234" s="120"/>
      <c r="AJ234" s="120"/>
      <c r="AK234" s="120"/>
      <c r="AL234" s="120"/>
    </row>
    <row r="235" spans="1:38">
      <c r="A235" s="13">
        <f t="shared" si="47"/>
        <v>228</v>
      </c>
      <c r="B235" s="128"/>
      <c r="C235" s="121"/>
      <c r="D235" s="121"/>
      <c r="E235" s="120"/>
      <c r="F235" s="121"/>
      <c r="G235" s="120"/>
      <c r="H235" s="122"/>
      <c r="I235" s="120"/>
      <c r="J235" s="120"/>
      <c r="K235" s="120"/>
      <c r="L235" s="120"/>
      <c r="M235" s="164">
        <f t="shared" si="42"/>
        <v>0</v>
      </c>
      <c r="N235" s="164"/>
      <c r="O235" s="164"/>
      <c r="P235" s="124">
        <f t="shared" si="43"/>
        <v>0</v>
      </c>
      <c r="Q235" s="120" t="e">
        <f t="shared" si="45"/>
        <v>#DIV/0!</v>
      </c>
      <c r="R235" s="168">
        <f t="shared" si="46"/>
        <v>0</v>
      </c>
      <c r="S235" s="168">
        <f t="shared" si="44"/>
        <v>0</v>
      </c>
      <c r="T235" s="125"/>
      <c r="U235" s="124"/>
      <c r="V235" s="120"/>
      <c r="W235" s="125"/>
      <c r="X235" s="125"/>
      <c r="Y235" s="166"/>
      <c r="Z235" s="168"/>
      <c r="AA235" s="168"/>
      <c r="AB235" s="168"/>
      <c r="AC235" s="168"/>
      <c r="AD235" s="124"/>
      <c r="AE235" s="120"/>
      <c r="AF235" s="120"/>
      <c r="AG235" s="120"/>
      <c r="AH235" s="120"/>
      <c r="AI235" s="120"/>
      <c r="AJ235" s="120"/>
      <c r="AK235" s="120"/>
      <c r="AL235" s="120"/>
    </row>
    <row r="236" spans="1:38">
      <c r="A236" s="13">
        <f t="shared" si="47"/>
        <v>229</v>
      </c>
      <c r="B236" s="128"/>
      <c r="C236" s="121"/>
      <c r="D236" s="121"/>
      <c r="E236" s="120"/>
      <c r="F236" s="121"/>
      <c r="G236" s="120"/>
      <c r="H236" s="122"/>
      <c r="I236" s="120"/>
      <c r="J236" s="120"/>
      <c r="K236" s="120"/>
      <c r="L236" s="120"/>
      <c r="M236" s="164">
        <f t="shared" si="42"/>
        <v>0</v>
      </c>
      <c r="N236" s="164"/>
      <c r="O236" s="164"/>
      <c r="P236" s="124">
        <f t="shared" si="43"/>
        <v>0</v>
      </c>
      <c r="Q236" s="120" t="e">
        <f t="shared" si="45"/>
        <v>#DIV/0!</v>
      </c>
      <c r="R236" s="168">
        <f t="shared" si="46"/>
        <v>0</v>
      </c>
      <c r="S236" s="168">
        <f t="shared" si="44"/>
        <v>0</v>
      </c>
      <c r="T236" s="125"/>
      <c r="U236" s="124"/>
      <c r="V236" s="120"/>
      <c r="W236" s="125"/>
      <c r="X236" s="125"/>
      <c r="Y236" s="166"/>
      <c r="Z236" s="168"/>
      <c r="AA236" s="168"/>
      <c r="AB236" s="168"/>
      <c r="AC236" s="168"/>
      <c r="AD236" s="124"/>
      <c r="AE236" s="120"/>
      <c r="AF236" s="120"/>
      <c r="AG236" s="120"/>
      <c r="AH236" s="120"/>
      <c r="AI236" s="120"/>
      <c r="AJ236" s="120"/>
      <c r="AK236" s="120"/>
      <c r="AL236" s="120"/>
    </row>
    <row r="237" spans="1:38">
      <c r="A237" s="13">
        <f t="shared" si="47"/>
        <v>230</v>
      </c>
      <c r="B237" s="128"/>
      <c r="C237" s="121"/>
      <c r="D237" s="121"/>
      <c r="E237" s="120"/>
      <c r="F237" s="121"/>
      <c r="G237" s="120"/>
      <c r="H237" s="122"/>
      <c r="I237" s="120"/>
      <c r="J237" s="120"/>
      <c r="K237" s="120"/>
      <c r="L237" s="120"/>
      <c r="M237" s="164">
        <f t="shared" si="42"/>
        <v>0</v>
      </c>
      <c r="N237" s="164"/>
      <c r="O237" s="164"/>
      <c r="P237" s="124">
        <f t="shared" si="43"/>
        <v>0</v>
      </c>
      <c r="Q237" s="120" t="e">
        <f t="shared" si="45"/>
        <v>#DIV/0!</v>
      </c>
      <c r="R237" s="168">
        <f t="shared" si="46"/>
        <v>0</v>
      </c>
      <c r="S237" s="168">
        <f t="shared" si="44"/>
        <v>0</v>
      </c>
      <c r="T237" s="125"/>
      <c r="U237" s="124"/>
      <c r="V237" s="120"/>
      <c r="W237" s="125"/>
      <c r="X237" s="125"/>
      <c r="Y237" s="166"/>
      <c r="Z237" s="168"/>
      <c r="AA237" s="168"/>
      <c r="AB237" s="168"/>
      <c r="AC237" s="168"/>
      <c r="AD237" s="124"/>
      <c r="AE237" s="120"/>
      <c r="AF237" s="120"/>
      <c r="AG237" s="120"/>
      <c r="AH237" s="120"/>
      <c r="AI237" s="120"/>
      <c r="AJ237" s="120"/>
      <c r="AK237" s="120"/>
      <c r="AL237" s="120"/>
    </row>
    <row r="238" spans="1:38">
      <c r="A238" s="13">
        <f t="shared" si="47"/>
        <v>231</v>
      </c>
      <c r="B238" s="128"/>
      <c r="C238" s="121"/>
      <c r="D238" s="121"/>
      <c r="E238" s="120"/>
      <c r="F238" s="121"/>
      <c r="G238" s="120"/>
      <c r="H238" s="122"/>
      <c r="I238" s="120"/>
      <c r="J238" s="120"/>
      <c r="K238" s="120"/>
      <c r="L238" s="120"/>
      <c r="M238" s="164">
        <f t="shared" si="42"/>
        <v>0</v>
      </c>
      <c r="N238" s="164"/>
      <c r="O238" s="164"/>
      <c r="P238" s="124">
        <f t="shared" si="43"/>
        <v>0</v>
      </c>
      <c r="Q238" s="120" t="e">
        <f t="shared" si="45"/>
        <v>#DIV/0!</v>
      </c>
      <c r="R238" s="168">
        <f t="shared" si="46"/>
        <v>0</v>
      </c>
      <c r="S238" s="168">
        <f t="shared" si="44"/>
        <v>0</v>
      </c>
      <c r="T238" s="125"/>
      <c r="U238" s="124"/>
      <c r="V238" s="120"/>
      <c r="W238" s="125"/>
      <c r="X238" s="125"/>
      <c r="Y238" s="166"/>
      <c r="Z238" s="168"/>
      <c r="AA238" s="168"/>
      <c r="AB238" s="168"/>
      <c r="AC238" s="168"/>
      <c r="AD238" s="124"/>
      <c r="AE238" s="120"/>
      <c r="AF238" s="120"/>
      <c r="AG238" s="120"/>
      <c r="AH238" s="120"/>
      <c r="AI238" s="120"/>
      <c r="AJ238" s="120"/>
      <c r="AK238" s="120"/>
      <c r="AL238" s="120"/>
    </row>
    <row r="239" spans="1:38">
      <c r="A239" s="13">
        <f t="shared" si="47"/>
        <v>232</v>
      </c>
      <c r="B239" s="128"/>
      <c r="C239" s="121"/>
      <c r="D239" s="121"/>
      <c r="E239" s="120"/>
      <c r="F239" s="121"/>
      <c r="G239" s="120"/>
      <c r="H239" s="122"/>
      <c r="I239" s="120"/>
      <c r="J239" s="120"/>
      <c r="K239" s="120"/>
      <c r="L239" s="120"/>
      <c r="M239" s="164">
        <f t="shared" si="42"/>
        <v>0</v>
      </c>
      <c r="N239" s="164"/>
      <c r="O239" s="164"/>
      <c r="P239" s="124">
        <f t="shared" si="43"/>
        <v>0</v>
      </c>
      <c r="Q239" s="120" t="e">
        <f t="shared" si="45"/>
        <v>#DIV/0!</v>
      </c>
      <c r="R239" s="168">
        <f t="shared" si="46"/>
        <v>0</v>
      </c>
      <c r="S239" s="168">
        <f t="shared" si="44"/>
        <v>0</v>
      </c>
      <c r="T239" s="125"/>
      <c r="U239" s="124"/>
      <c r="V239" s="120"/>
      <c r="W239" s="125"/>
      <c r="X239" s="125"/>
      <c r="Y239" s="166"/>
      <c r="Z239" s="168"/>
      <c r="AA239" s="168"/>
      <c r="AB239" s="168"/>
      <c r="AC239" s="168"/>
      <c r="AD239" s="124"/>
      <c r="AE239" s="120"/>
      <c r="AF239" s="120"/>
      <c r="AG239" s="120"/>
      <c r="AH239" s="120"/>
      <c r="AI239" s="120"/>
      <c r="AJ239" s="120"/>
      <c r="AK239" s="120"/>
      <c r="AL239" s="120"/>
    </row>
    <row r="240" spans="1:38">
      <c r="A240" s="13">
        <f t="shared" si="47"/>
        <v>233</v>
      </c>
      <c r="B240" s="128"/>
      <c r="C240" s="121"/>
      <c r="D240" s="121"/>
      <c r="E240" s="120"/>
      <c r="F240" s="121"/>
      <c r="G240" s="120"/>
      <c r="H240" s="122"/>
      <c r="I240" s="120"/>
      <c r="J240" s="120"/>
      <c r="K240" s="120"/>
      <c r="L240" s="120"/>
      <c r="M240" s="164">
        <f t="shared" si="42"/>
        <v>0</v>
      </c>
      <c r="N240" s="164"/>
      <c r="O240" s="164"/>
      <c r="P240" s="124">
        <f t="shared" si="43"/>
        <v>0</v>
      </c>
      <c r="Q240" s="120" t="e">
        <f t="shared" si="45"/>
        <v>#DIV/0!</v>
      </c>
      <c r="R240" s="168">
        <f t="shared" si="46"/>
        <v>0</v>
      </c>
      <c r="S240" s="168">
        <f t="shared" si="44"/>
        <v>0</v>
      </c>
      <c r="T240" s="125"/>
      <c r="U240" s="124"/>
      <c r="V240" s="120"/>
      <c r="W240" s="125"/>
      <c r="X240" s="125"/>
      <c r="Y240" s="166"/>
      <c r="Z240" s="168"/>
      <c r="AA240" s="168"/>
      <c r="AB240" s="168"/>
      <c r="AC240" s="168"/>
      <c r="AD240" s="124"/>
      <c r="AE240" s="120"/>
      <c r="AF240" s="120"/>
      <c r="AG240" s="120"/>
      <c r="AH240" s="120"/>
      <c r="AI240" s="120"/>
      <c r="AJ240" s="120"/>
      <c r="AK240" s="120"/>
      <c r="AL240" s="120"/>
    </row>
    <row r="241" spans="1:38">
      <c r="A241" s="13">
        <f t="shared" si="47"/>
        <v>234</v>
      </c>
      <c r="B241" s="128"/>
      <c r="C241" s="121"/>
      <c r="D241" s="121"/>
      <c r="E241" s="120"/>
      <c r="F241" s="121"/>
      <c r="G241" s="120"/>
      <c r="H241" s="122"/>
      <c r="I241" s="120"/>
      <c r="J241" s="120"/>
      <c r="K241" s="120"/>
      <c r="L241" s="120"/>
      <c r="M241" s="164">
        <f t="shared" si="42"/>
        <v>0</v>
      </c>
      <c r="N241" s="164"/>
      <c r="O241" s="164"/>
      <c r="P241" s="124">
        <f t="shared" si="43"/>
        <v>0</v>
      </c>
      <c r="Q241" s="120" t="e">
        <f t="shared" si="45"/>
        <v>#DIV/0!</v>
      </c>
      <c r="R241" s="168">
        <f t="shared" si="46"/>
        <v>0</v>
      </c>
      <c r="S241" s="168">
        <f t="shared" si="44"/>
        <v>0</v>
      </c>
      <c r="T241" s="125"/>
      <c r="U241" s="124"/>
      <c r="V241" s="120"/>
      <c r="W241" s="125"/>
      <c r="X241" s="125"/>
      <c r="Y241" s="166"/>
      <c r="Z241" s="168"/>
      <c r="AA241" s="168"/>
      <c r="AB241" s="168"/>
      <c r="AC241" s="168"/>
      <c r="AD241" s="124"/>
      <c r="AE241" s="120"/>
      <c r="AF241" s="120"/>
      <c r="AG241" s="120"/>
      <c r="AH241" s="120"/>
      <c r="AI241" s="120"/>
      <c r="AJ241" s="120"/>
      <c r="AK241" s="120"/>
      <c r="AL241" s="120"/>
    </row>
    <row r="242" spans="1:38">
      <c r="A242" s="13">
        <f t="shared" si="47"/>
        <v>235</v>
      </c>
      <c r="B242" s="128"/>
      <c r="C242" s="121"/>
      <c r="D242" s="121"/>
      <c r="E242" s="120"/>
      <c r="F242" s="121"/>
      <c r="G242" s="120"/>
      <c r="H242" s="122"/>
      <c r="I242" s="120"/>
      <c r="J242" s="120"/>
      <c r="K242" s="120"/>
      <c r="L242" s="120"/>
      <c r="M242" s="164">
        <f t="shared" si="42"/>
        <v>0</v>
      </c>
      <c r="N242" s="164"/>
      <c r="O242" s="164"/>
      <c r="P242" s="124">
        <f t="shared" si="43"/>
        <v>0</v>
      </c>
      <c r="Q242" s="120" t="e">
        <f t="shared" si="45"/>
        <v>#DIV/0!</v>
      </c>
      <c r="R242" s="168">
        <f t="shared" si="46"/>
        <v>0</v>
      </c>
      <c r="S242" s="168">
        <f t="shared" si="44"/>
        <v>0</v>
      </c>
      <c r="T242" s="125"/>
      <c r="U242" s="124"/>
      <c r="V242" s="120"/>
      <c r="W242" s="125"/>
      <c r="X242" s="125"/>
      <c r="Y242" s="166"/>
      <c r="Z242" s="168"/>
      <c r="AA242" s="168"/>
      <c r="AB242" s="168"/>
      <c r="AC242" s="168"/>
      <c r="AD242" s="124"/>
      <c r="AE242" s="120"/>
      <c r="AF242" s="120"/>
      <c r="AG242" s="120"/>
      <c r="AH242" s="120"/>
      <c r="AI242" s="120"/>
      <c r="AJ242" s="120"/>
      <c r="AK242" s="120"/>
      <c r="AL242" s="120"/>
    </row>
    <row r="243" spans="1:38">
      <c r="A243" s="13">
        <f t="shared" si="47"/>
        <v>236</v>
      </c>
      <c r="B243" s="128"/>
      <c r="C243" s="121"/>
      <c r="D243" s="121"/>
      <c r="E243" s="120"/>
      <c r="F243" s="121"/>
      <c r="G243" s="120"/>
      <c r="H243" s="122"/>
      <c r="I243" s="120"/>
      <c r="J243" s="120"/>
      <c r="K243" s="120"/>
      <c r="L243" s="120"/>
      <c r="M243" s="164">
        <f t="shared" si="42"/>
        <v>0</v>
      </c>
      <c r="N243" s="164"/>
      <c r="O243" s="164"/>
      <c r="P243" s="124">
        <f t="shared" si="43"/>
        <v>0</v>
      </c>
      <c r="Q243" s="120" t="e">
        <f t="shared" si="45"/>
        <v>#DIV/0!</v>
      </c>
      <c r="R243" s="168">
        <f t="shared" si="46"/>
        <v>0</v>
      </c>
      <c r="S243" s="168">
        <f t="shared" si="44"/>
        <v>0</v>
      </c>
      <c r="T243" s="125"/>
      <c r="U243" s="124"/>
      <c r="V243" s="120"/>
      <c r="W243" s="125"/>
      <c r="X243" s="125"/>
      <c r="Y243" s="166"/>
      <c r="Z243" s="168"/>
      <c r="AA243" s="168"/>
      <c r="AB243" s="168"/>
      <c r="AC243" s="168"/>
      <c r="AD243" s="124"/>
      <c r="AE243" s="120"/>
      <c r="AF243" s="120"/>
      <c r="AG243" s="120"/>
      <c r="AH243" s="120"/>
      <c r="AI243" s="120"/>
      <c r="AJ243" s="120"/>
      <c r="AK243" s="120"/>
      <c r="AL243" s="120"/>
    </row>
    <row r="244" spans="1:38">
      <c r="A244" s="13">
        <f t="shared" si="47"/>
        <v>237</v>
      </c>
      <c r="B244" s="128"/>
      <c r="C244" s="121"/>
      <c r="D244" s="121"/>
      <c r="E244" s="120"/>
      <c r="F244" s="121"/>
      <c r="G244" s="120"/>
      <c r="H244" s="122"/>
      <c r="I244" s="120"/>
      <c r="J244" s="120"/>
      <c r="K244" s="120"/>
      <c r="L244" s="120"/>
      <c r="M244" s="164">
        <f t="shared" si="42"/>
        <v>0</v>
      </c>
      <c r="N244" s="164"/>
      <c r="O244" s="164"/>
      <c r="P244" s="124">
        <f t="shared" si="43"/>
        <v>0</v>
      </c>
      <c r="Q244" s="120" t="e">
        <f t="shared" si="45"/>
        <v>#DIV/0!</v>
      </c>
      <c r="R244" s="168">
        <f t="shared" si="46"/>
        <v>0</v>
      </c>
      <c r="S244" s="168">
        <f t="shared" si="44"/>
        <v>0</v>
      </c>
      <c r="T244" s="125"/>
      <c r="U244" s="124"/>
      <c r="V244" s="120"/>
      <c r="W244" s="125"/>
      <c r="X244" s="125"/>
      <c r="Y244" s="166"/>
      <c r="Z244" s="168"/>
      <c r="AA244" s="168"/>
      <c r="AB244" s="168"/>
      <c r="AC244" s="168"/>
      <c r="AD244" s="124"/>
      <c r="AE244" s="120"/>
      <c r="AF244" s="120"/>
      <c r="AG244" s="120"/>
      <c r="AH244" s="120"/>
      <c r="AI244" s="120"/>
      <c r="AJ244" s="120"/>
      <c r="AK244" s="120"/>
      <c r="AL244" s="120"/>
    </row>
    <row r="245" spans="1:38">
      <c r="A245" s="13">
        <f t="shared" si="47"/>
        <v>238</v>
      </c>
      <c r="B245" s="128"/>
      <c r="C245" s="121"/>
      <c r="D245" s="121"/>
      <c r="E245" s="120"/>
      <c r="F245" s="121"/>
      <c r="G245" s="120"/>
      <c r="H245" s="122"/>
      <c r="I245" s="120"/>
      <c r="J245" s="120"/>
      <c r="K245" s="120"/>
      <c r="L245" s="120"/>
      <c r="M245" s="164">
        <f t="shared" ref="M245:M308" si="48">J245*(1+$M$6*IF(C245="B",-1,1))</f>
        <v>0</v>
      </c>
      <c r="N245" s="164"/>
      <c r="O245" s="164"/>
      <c r="P245" s="124">
        <f t="shared" ref="P245:P308" si="49">IF(AND(K245&lt;&gt;0,I245&lt;&gt;0),(IF(C245="B",1,-1))*(K245-J245)*I245-AL245*2,0)</f>
        <v>0</v>
      </c>
      <c r="Q245" s="120" t="e">
        <f t="shared" si="45"/>
        <v>#DIV/0!</v>
      </c>
      <c r="R245" s="168">
        <f t="shared" si="46"/>
        <v>0</v>
      </c>
      <c r="S245" s="168">
        <f t="shared" ref="S245:S308" si="50">(Y245-J245)*I245*IF(C245="B",1,-1)*IF(K245=0,1,0)</f>
        <v>0</v>
      </c>
      <c r="T245" s="125"/>
      <c r="U245" s="124"/>
      <c r="V245" s="120"/>
      <c r="W245" s="125"/>
      <c r="X245" s="125"/>
      <c r="Y245" s="166"/>
      <c r="Z245" s="168"/>
      <c r="AA245" s="168"/>
      <c r="AB245" s="168"/>
      <c r="AC245" s="168"/>
      <c r="AD245" s="124"/>
      <c r="AE245" s="120"/>
      <c r="AF245" s="120"/>
      <c r="AG245" s="120"/>
      <c r="AH245" s="120"/>
      <c r="AI245" s="120"/>
      <c r="AJ245" s="120"/>
      <c r="AK245" s="120"/>
      <c r="AL245" s="120"/>
    </row>
    <row r="246" spans="1:38">
      <c r="A246" s="13">
        <f t="shared" si="47"/>
        <v>239</v>
      </c>
      <c r="B246" s="128"/>
      <c r="C246" s="121"/>
      <c r="D246" s="121"/>
      <c r="E246" s="120"/>
      <c r="F246" s="121"/>
      <c r="G246" s="120"/>
      <c r="H246" s="122"/>
      <c r="I246" s="120"/>
      <c r="J246" s="120"/>
      <c r="K246" s="120"/>
      <c r="L246" s="120"/>
      <c r="M246" s="164">
        <f t="shared" si="48"/>
        <v>0</v>
      </c>
      <c r="N246" s="164"/>
      <c r="O246" s="164"/>
      <c r="P246" s="124">
        <f t="shared" si="49"/>
        <v>0</v>
      </c>
      <c r="Q246" s="120" t="e">
        <f t="shared" si="45"/>
        <v>#DIV/0!</v>
      </c>
      <c r="R246" s="168">
        <f t="shared" si="46"/>
        <v>0</v>
      </c>
      <c r="S246" s="168">
        <f t="shared" si="50"/>
        <v>0</v>
      </c>
      <c r="T246" s="125"/>
      <c r="U246" s="124"/>
      <c r="V246" s="120"/>
      <c r="W246" s="125"/>
      <c r="X246" s="125"/>
      <c r="Y246" s="166"/>
      <c r="Z246" s="168"/>
      <c r="AA246" s="168"/>
      <c r="AB246" s="168"/>
      <c r="AC246" s="168"/>
      <c r="AD246" s="124"/>
      <c r="AE246" s="120"/>
      <c r="AF246" s="120"/>
      <c r="AG246" s="120"/>
      <c r="AH246" s="120"/>
      <c r="AI246" s="120"/>
      <c r="AJ246" s="120"/>
      <c r="AK246" s="120"/>
      <c r="AL246" s="120"/>
    </row>
    <row r="247" spans="1:38">
      <c r="A247" s="13">
        <f t="shared" si="47"/>
        <v>240</v>
      </c>
      <c r="B247" s="128"/>
      <c r="C247" s="121"/>
      <c r="D247" s="121"/>
      <c r="E247" s="120"/>
      <c r="F247" s="121"/>
      <c r="G247" s="120"/>
      <c r="H247" s="122"/>
      <c r="I247" s="120"/>
      <c r="J247" s="120"/>
      <c r="K247" s="120"/>
      <c r="L247" s="120"/>
      <c r="M247" s="164">
        <f t="shared" si="48"/>
        <v>0</v>
      </c>
      <c r="N247" s="164"/>
      <c r="O247" s="164"/>
      <c r="P247" s="124">
        <f t="shared" si="49"/>
        <v>0</v>
      </c>
      <c r="Q247" s="120" t="e">
        <f t="shared" si="45"/>
        <v>#DIV/0!</v>
      </c>
      <c r="R247" s="168">
        <f t="shared" si="46"/>
        <v>0</v>
      </c>
      <c r="S247" s="168">
        <f t="shared" si="50"/>
        <v>0</v>
      </c>
      <c r="T247" s="125"/>
      <c r="U247" s="124"/>
      <c r="V247" s="120"/>
      <c r="W247" s="125"/>
      <c r="X247" s="125"/>
      <c r="Y247" s="166"/>
      <c r="Z247" s="168"/>
      <c r="AA247" s="168"/>
      <c r="AB247" s="168"/>
      <c r="AC247" s="168"/>
      <c r="AD247" s="124"/>
      <c r="AE247" s="120"/>
      <c r="AF247" s="120"/>
      <c r="AG247" s="120"/>
      <c r="AH247" s="120"/>
      <c r="AI247" s="120"/>
      <c r="AJ247" s="120"/>
      <c r="AK247" s="120"/>
      <c r="AL247" s="120"/>
    </row>
    <row r="248" spans="1:38">
      <c r="A248" s="13">
        <f t="shared" si="47"/>
        <v>241</v>
      </c>
      <c r="B248" s="128"/>
      <c r="C248" s="121"/>
      <c r="D248" s="121"/>
      <c r="E248" s="120"/>
      <c r="F248" s="121"/>
      <c r="G248" s="120"/>
      <c r="H248" s="122"/>
      <c r="I248" s="120"/>
      <c r="J248" s="120"/>
      <c r="K248" s="120"/>
      <c r="L248" s="120"/>
      <c r="M248" s="164">
        <f t="shared" si="48"/>
        <v>0</v>
      </c>
      <c r="N248" s="164"/>
      <c r="O248" s="164"/>
      <c r="P248" s="124">
        <f t="shared" si="49"/>
        <v>0</v>
      </c>
      <c r="Q248" s="120" t="e">
        <f t="shared" si="45"/>
        <v>#DIV/0!</v>
      </c>
      <c r="R248" s="168">
        <f t="shared" si="46"/>
        <v>0</v>
      </c>
      <c r="S248" s="168">
        <f t="shared" si="50"/>
        <v>0</v>
      </c>
      <c r="T248" s="125"/>
      <c r="U248" s="124"/>
      <c r="V248" s="120"/>
      <c r="W248" s="125"/>
      <c r="X248" s="125"/>
      <c r="Y248" s="166"/>
      <c r="Z248" s="168"/>
      <c r="AA248" s="168"/>
      <c r="AB248" s="168"/>
      <c r="AC248" s="168"/>
      <c r="AD248" s="124"/>
      <c r="AE248" s="120"/>
      <c r="AF248" s="120"/>
      <c r="AG248" s="120"/>
      <c r="AH248" s="120"/>
      <c r="AI248" s="120"/>
      <c r="AJ248" s="120"/>
      <c r="AK248" s="120"/>
      <c r="AL248" s="120"/>
    </row>
    <row r="249" spans="1:38">
      <c r="A249" s="13">
        <f t="shared" si="47"/>
        <v>242</v>
      </c>
      <c r="B249" s="128"/>
      <c r="C249" s="121"/>
      <c r="D249" s="121"/>
      <c r="E249" s="120"/>
      <c r="F249" s="121"/>
      <c r="G249" s="120"/>
      <c r="H249" s="122"/>
      <c r="I249" s="120"/>
      <c r="J249" s="120"/>
      <c r="K249" s="120"/>
      <c r="L249" s="120"/>
      <c r="M249" s="164">
        <f t="shared" si="48"/>
        <v>0</v>
      </c>
      <c r="N249" s="164"/>
      <c r="O249" s="164"/>
      <c r="P249" s="124">
        <f t="shared" si="49"/>
        <v>0</v>
      </c>
      <c r="Q249" s="120" t="e">
        <f t="shared" si="45"/>
        <v>#DIV/0!</v>
      </c>
      <c r="R249" s="168">
        <f t="shared" si="46"/>
        <v>0</v>
      </c>
      <c r="S249" s="168">
        <f t="shared" si="50"/>
        <v>0</v>
      </c>
      <c r="T249" s="125"/>
      <c r="U249" s="124"/>
      <c r="V249" s="120"/>
      <c r="W249" s="125"/>
      <c r="X249" s="125"/>
      <c r="Y249" s="166"/>
      <c r="Z249" s="168"/>
      <c r="AA249" s="168"/>
      <c r="AB249" s="168"/>
      <c r="AC249" s="168"/>
      <c r="AD249" s="124"/>
      <c r="AE249" s="120"/>
      <c r="AF249" s="120"/>
      <c r="AG249" s="120"/>
      <c r="AH249" s="120"/>
      <c r="AI249" s="120"/>
      <c r="AJ249" s="120"/>
      <c r="AK249" s="120"/>
      <c r="AL249" s="120"/>
    </row>
    <row r="250" spans="1:38">
      <c r="A250" s="13">
        <f t="shared" si="47"/>
        <v>243</v>
      </c>
      <c r="B250" s="128"/>
      <c r="C250" s="121"/>
      <c r="D250" s="121"/>
      <c r="E250" s="120"/>
      <c r="F250" s="121"/>
      <c r="G250" s="120"/>
      <c r="H250" s="122"/>
      <c r="I250" s="120"/>
      <c r="J250" s="120"/>
      <c r="K250" s="120"/>
      <c r="L250" s="120"/>
      <c r="M250" s="164">
        <f t="shared" si="48"/>
        <v>0</v>
      </c>
      <c r="N250" s="164"/>
      <c r="O250" s="164"/>
      <c r="P250" s="124">
        <f t="shared" si="49"/>
        <v>0</v>
      </c>
      <c r="Q250" s="120" t="e">
        <f t="shared" si="45"/>
        <v>#DIV/0!</v>
      </c>
      <c r="R250" s="168">
        <f t="shared" si="46"/>
        <v>0</v>
      </c>
      <c r="S250" s="168">
        <f t="shared" si="50"/>
        <v>0</v>
      </c>
      <c r="T250" s="125"/>
      <c r="U250" s="124"/>
      <c r="V250" s="120"/>
      <c r="W250" s="125"/>
      <c r="X250" s="125"/>
      <c r="Y250" s="166"/>
      <c r="Z250" s="168"/>
      <c r="AA250" s="168"/>
      <c r="AB250" s="168"/>
      <c r="AC250" s="168"/>
      <c r="AD250" s="124"/>
      <c r="AE250" s="120"/>
      <c r="AF250" s="120"/>
      <c r="AG250" s="120"/>
      <c r="AH250" s="120"/>
      <c r="AI250" s="120"/>
      <c r="AJ250" s="120"/>
      <c r="AK250" s="120"/>
      <c r="AL250" s="120"/>
    </row>
    <row r="251" spans="1:38">
      <c r="A251" s="13">
        <f t="shared" si="47"/>
        <v>244</v>
      </c>
      <c r="B251" s="128"/>
      <c r="C251" s="121"/>
      <c r="D251" s="121"/>
      <c r="E251" s="120"/>
      <c r="F251" s="121"/>
      <c r="G251" s="120"/>
      <c r="H251" s="122"/>
      <c r="I251" s="120"/>
      <c r="J251" s="120"/>
      <c r="K251" s="120"/>
      <c r="L251" s="120"/>
      <c r="M251" s="164">
        <f t="shared" si="48"/>
        <v>0</v>
      </c>
      <c r="N251" s="164"/>
      <c r="O251" s="164"/>
      <c r="P251" s="124">
        <f t="shared" si="49"/>
        <v>0</v>
      </c>
      <c r="Q251" s="120" t="e">
        <f t="shared" si="45"/>
        <v>#DIV/0!</v>
      </c>
      <c r="R251" s="168">
        <f t="shared" si="46"/>
        <v>0</v>
      </c>
      <c r="S251" s="168">
        <f t="shared" si="50"/>
        <v>0</v>
      </c>
      <c r="T251" s="125"/>
      <c r="U251" s="124"/>
      <c r="V251" s="120"/>
      <c r="W251" s="125"/>
      <c r="X251" s="125"/>
      <c r="Y251" s="166"/>
      <c r="Z251" s="168"/>
      <c r="AA251" s="168"/>
      <c r="AB251" s="168"/>
      <c r="AC251" s="168"/>
      <c r="AD251" s="124"/>
      <c r="AE251" s="120"/>
      <c r="AF251" s="120"/>
      <c r="AG251" s="120"/>
      <c r="AH251" s="120"/>
      <c r="AI251" s="120"/>
      <c r="AJ251" s="120"/>
      <c r="AK251" s="120"/>
      <c r="AL251" s="120"/>
    </row>
    <row r="252" spans="1:38">
      <c r="A252" s="13">
        <f t="shared" si="47"/>
        <v>245</v>
      </c>
      <c r="B252" s="128"/>
      <c r="C252" s="121"/>
      <c r="D252" s="121"/>
      <c r="E252" s="120"/>
      <c r="F252" s="121"/>
      <c r="G252" s="120"/>
      <c r="H252" s="122"/>
      <c r="I252" s="120"/>
      <c r="J252" s="120"/>
      <c r="K252" s="120"/>
      <c r="L252" s="120"/>
      <c r="M252" s="164">
        <f t="shared" si="48"/>
        <v>0</v>
      </c>
      <c r="N252" s="164"/>
      <c r="O252" s="164"/>
      <c r="P252" s="124">
        <f t="shared" si="49"/>
        <v>0</v>
      </c>
      <c r="Q252" s="120" t="e">
        <f t="shared" si="45"/>
        <v>#DIV/0!</v>
      </c>
      <c r="R252" s="168">
        <f t="shared" si="46"/>
        <v>0</v>
      </c>
      <c r="S252" s="168">
        <f t="shared" si="50"/>
        <v>0</v>
      </c>
      <c r="T252" s="125"/>
      <c r="U252" s="124"/>
      <c r="V252" s="120"/>
      <c r="W252" s="125"/>
      <c r="X252" s="125"/>
      <c r="Y252" s="166"/>
      <c r="Z252" s="168"/>
      <c r="AA252" s="168"/>
      <c r="AB252" s="168"/>
      <c r="AC252" s="168"/>
      <c r="AD252" s="124"/>
      <c r="AE252" s="120"/>
      <c r="AF252" s="120"/>
      <c r="AG252" s="120"/>
      <c r="AH252" s="120"/>
      <c r="AI252" s="120"/>
      <c r="AJ252" s="120"/>
      <c r="AK252" s="120"/>
      <c r="AL252" s="120"/>
    </row>
    <row r="253" spans="1:38">
      <c r="A253" s="13">
        <f t="shared" si="47"/>
        <v>246</v>
      </c>
      <c r="B253" s="128"/>
      <c r="C253" s="121"/>
      <c r="D253" s="121"/>
      <c r="E253" s="120"/>
      <c r="F253" s="121"/>
      <c r="G253" s="120"/>
      <c r="H253" s="122"/>
      <c r="I253" s="120"/>
      <c r="J253" s="120"/>
      <c r="K253" s="120"/>
      <c r="L253" s="120"/>
      <c r="M253" s="164">
        <f t="shared" si="48"/>
        <v>0</v>
      </c>
      <c r="N253" s="164"/>
      <c r="O253" s="164"/>
      <c r="P253" s="124">
        <f t="shared" si="49"/>
        <v>0</v>
      </c>
      <c r="Q253" s="120" t="e">
        <f t="shared" si="45"/>
        <v>#DIV/0!</v>
      </c>
      <c r="R253" s="168">
        <f t="shared" si="46"/>
        <v>0</v>
      </c>
      <c r="S253" s="168">
        <f t="shared" si="50"/>
        <v>0</v>
      </c>
      <c r="T253" s="125"/>
      <c r="U253" s="124"/>
      <c r="V253" s="120"/>
      <c r="W253" s="125"/>
      <c r="X253" s="125"/>
      <c r="Y253" s="166"/>
      <c r="Z253" s="168"/>
      <c r="AA253" s="168"/>
      <c r="AB253" s="168"/>
      <c r="AC253" s="168"/>
      <c r="AD253" s="124"/>
      <c r="AE253" s="120"/>
      <c r="AF253" s="120"/>
      <c r="AG253" s="120"/>
      <c r="AH253" s="120"/>
      <c r="AI253" s="120"/>
      <c r="AJ253" s="120"/>
      <c r="AK253" s="120"/>
      <c r="AL253" s="120"/>
    </row>
    <row r="254" spans="1:38">
      <c r="A254" s="13">
        <f t="shared" si="47"/>
        <v>247</v>
      </c>
      <c r="B254" s="128"/>
      <c r="C254" s="121"/>
      <c r="D254" s="121"/>
      <c r="E254" s="120"/>
      <c r="F254" s="121"/>
      <c r="G254" s="120"/>
      <c r="H254" s="122"/>
      <c r="I254" s="120"/>
      <c r="J254" s="120"/>
      <c r="K254" s="120"/>
      <c r="L254" s="120"/>
      <c r="M254" s="164">
        <f t="shared" si="48"/>
        <v>0</v>
      </c>
      <c r="N254" s="164"/>
      <c r="O254" s="164"/>
      <c r="P254" s="124">
        <f t="shared" si="49"/>
        <v>0</v>
      </c>
      <c r="Q254" s="120" t="e">
        <f t="shared" si="45"/>
        <v>#DIV/0!</v>
      </c>
      <c r="R254" s="168">
        <f t="shared" si="46"/>
        <v>0</v>
      </c>
      <c r="S254" s="168">
        <f t="shared" si="50"/>
        <v>0</v>
      </c>
      <c r="T254" s="125"/>
      <c r="U254" s="124"/>
      <c r="V254" s="120"/>
      <c r="W254" s="125"/>
      <c r="X254" s="125"/>
      <c r="Y254" s="166"/>
      <c r="Z254" s="168"/>
      <c r="AA254" s="168"/>
      <c r="AB254" s="168"/>
      <c r="AC254" s="168"/>
      <c r="AD254" s="124"/>
      <c r="AE254" s="120"/>
      <c r="AF254" s="120"/>
      <c r="AG254" s="120"/>
      <c r="AH254" s="120"/>
      <c r="AI254" s="120"/>
      <c r="AJ254" s="120"/>
      <c r="AK254" s="120"/>
      <c r="AL254" s="120"/>
    </row>
    <row r="255" spans="1:38">
      <c r="A255" s="13">
        <f t="shared" si="47"/>
        <v>248</v>
      </c>
      <c r="B255" s="128"/>
      <c r="C255" s="121"/>
      <c r="D255" s="121"/>
      <c r="E255" s="120"/>
      <c r="F255" s="121"/>
      <c r="G255" s="120"/>
      <c r="H255" s="122"/>
      <c r="I255" s="120"/>
      <c r="J255" s="120"/>
      <c r="K255" s="120"/>
      <c r="L255" s="120"/>
      <c r="M255" s="164">
        <f t="shared" si="48"/>
        <v>0</v>
      </c>
      <c r="N255" s="164"/>
      <c r="O255" s="164"/>
      <c r="P255" s="124">
        <f t="shared" si="49"/>
        <v>0</v>
      </c>
      <c r="Q255" s="120" t="e">
        <f t="shared" si="45"/>
        <v>#DIV/0!</v>
      </c>
      <c r="R255" s="168">
        <f t="shared" si="46"/>
        <v>0</v>
      </c>
      <c r="S255" s="168">
        <f t="shared" si="50"/>
        <v>0</v>
      </c>
      <c r="T255" s="125"/>
      <c r="U255" s="124"/>
      <c r="V255" s="120"/>
      <c r="W255" s="125"/>
      <c r="X255" s="125"/>
      <c r="Y255" s="166"/>
      <c r="Z255" s="168"/>
      <c r="AA255" s="168"/>
      <c r="AB255" s="168"/>
      <c r="AC255" s="168"/>
      <c r="AD255" s="124"/>
      <c r="AE255" s="120"/>
      <c r="AF255" s="120"/>
      <c r="AG255" s="120"/>
      <c r="AH255" s="120"/>
      <c r="AI255" s="120"/>
      <c r="AJ255" s="120"/>
      <c r="AK255" s="120"/>
      <c r="AL255" s="120"/>
    </row>
    <row r="256" spans="1:38">
      <c r="A256" s="13">
        <f t="shared" si="47"/>
        <v>249</v>
      </c>
      <c r="B256" s="128"/>
      <c r="C256" s="121"/>
      <c r="D256" s="121"/>
      <c r="E256" s="120"/>
      <c r="F256" s="121"/>
      <c r="G256" s="120"/>
      <c r="H256" s="122"/>
      <c r="I256" s="120"/>
      <c r="J256" s="120"/>
      <c r="K256" s="120"/>
      <c r="L256" s="120"/>
      <c r="M256" s="164">
        <f t="shared" si="48"/>
        <v>0</v>
      </c>
      <c r="N256" s="164"/>
      <c r="O256" s="164"/>
      <c r="P256" s="124">
        <f t="shared" si="49"/>
        <v>0</v>
      </c>
      <c r="Q256" s="120" t="e">
        <f t="shared" si="45"/>
        <v>#DIV/0!</v>
      </c>
      <c r="R256" s="168">
        <f t="shared" si="46"/>
        <v>0</v>
      </c>
      <c r="S256" s="168">
        <f t="shared" si="50"/>
        <v>0</v>
      </c>
      <c r="T256" s="125"/>
      <c r="U256" s="124"/>
      <c r="V256" s="120"/>
      <c r="W256" s="125"/>
      <c r="X256" s="125"/>
      <c r="Y256" s="166"/>
      <c r="Z256" s="168"/>
      <c r="AA256" s="168"/>
      <c r="AB256" s="168"/>
      <c r="AC256" s="168"/>
      <c r="AD256" s="124"/>
      <c r="AE256" s="120"/>
      <c r="AF256" s="120"/>
      <c r="AG256" s="120"/>
      <c r="AH256" s="120"/>
      <c r="AI256" s="120"/>
      <c r="AJ256" s="120"/>
      <c r="AK256" s="120"/>
      <c r="AL256" s="120"/>
    </row>
    <row r="257" spans="1:38">
      <c r="A257" s="13">
        <f t="shared" si="47"/>
        <v>250</v>
      </c>
      <c r="B257" s="128"/>
      <c r="C257" s="121"/>
      <c r="D257" s="121"/>
      <c r="E257" s="120"/>
      <c r="F257" s="121"/>
      <c r="G257" s="120"/>
      <c r="H257" s="122"/>
      <c r="I257" s="120"/>
      <c r="J257" s="120"/>
      <c r="K257" s="120"/>
      <c r="L257" s="120"/>
      <c r="M257" s="164">
        <f t="shared" si="48"/>
        <v>0</v>
      </c>
      <c r="N257" s="164"/>
      <c r="O257" s="164"/>
      <c r="P257" s="124">
        <f t="shared" si="49"/>
        <v>0</v>
      </c>
      <c r="Q257" s="120" t="e">
        <f t="shared" si="45"/>
        <v>#DIV/0!</v>
      </c>
      <c r="R257" s="168">
        <f t="shared" si="46"/>
        <v>0</v>
      </c>
      <c r="S257" s="168">
        <f t="shared" si="50"/>
        <v>0</v>
      </c>
      <c r="T257" s="125"/>
      <c r="U257" s="124"/>
      <c r="V257" s="120"/>
      <c r="W257" s="125"/>
      <c r="X257" s="125"/>
      <c r="Y257" s="166"/>
      <c r="Z257" s="168"/>
      <c r="AA257" s="168"/>
      <c r="AB257" s="168"/>
      <c r="AC257" s="168"/>
      <c r="AD257" s="124"/>
      <c r="AE257" s="120"/>
      <c r="AF257" s="120"/>
      <c r="AG257" s="120"/>
      <c r="AH257" s="120"/>
      <c r="AI257" s="120"/>
      <c r="AJ257" s="120"/>
      <c r="AK257" s="120"/>
      <c r="AL257" s="120"/>
    </row>
    <row r="258" spans="1:38">
      <c r="A258" s="13">
        <f t="shared" si="47"/>
        <v>251</v>
      </c>
      <c r="B258" s="128"/>
      <c r="C258" s="121"/>
      <c r="D258" s="121"/>
      <c r="E258" s="120"/>
      <c r="F258" s="121"/>
      <c r="G258" s="120"/>
      <c r="H258" s="122"/>
      <c r="I258" s="120"/>
      <c r="J258" s="120"/>
      <c r="K258" s="120"/>
      <c r="L258" s="120"/>
      <c r="M258" s="164">
        <f t="shared" si="48"/>
        <v>0</v>
      </c>
      <c r="N258" s="164"/>
      <c r="O258" s="164"/>
      <c r="P258" s="124">
        <f t="shared" si="49"/>
        <v>0</v>
      </c>
      <c r="Q258" s="120" t="e">
        <f t="shared" si="45"/>
        <v>#DIV/0!</v>
      </c>
      <c r="R258" s="168">
        <f t="shared" si="46"/>
        <v>0</v>
      </c>
      <c r="S258" s="168">
        <f t="shared" si="50"/>
        <v>0</v>
      </c>
      <c r="T258" s="125"/>
      <c r="U258" s="124"/>
      <c r="V258" s="120"/>
      <c r="W258" s="125"/>
      <c r="X258" s="125"/>
      <c r="Y258" s="166"/>
      <c r="Z258" s="168"/>
      <c r="AA258" s="168"/>
      <c r="AB258" s="168"/>
      <c r="AC258" s="168"/>
      <c r="AD258" s="124"/>
      <c r="AE258" s="120"/>
      <c r="AF258" s="120"/>
      <c r="AG258" s="120"/>
      <c r="AH258" s="120"/>
      <c r="AI258" s="120"/>
      <c r="AJ258" s="120"/>
      <c r="AK258" s="120"/>
      <c r="AL258" s="120"/>
    </row>
    <row r="259" spans="1:38">
      <c r="A259" s="13">
        <f t="shared" si="47"/>
        <v>252</v>
      </c>
      <c r="B259" s="128"/>
      <c r="C259" s="121"/>
      <c r="D259" s="121"/>
      <c r="E259" s="120"/>
      <c r="F259" s="121"/>
      <c r="G259" s="120"/>
      <c r="H259" s="122"/>
      <c r="I259" s="120"/>
      <c r="J259" s="120"/>
      <c r="K259" s="120"/>
      <c r="L259" s="120"/>
      <c r="M259" s="164">
        <f t="shared" si="48"/>
        <v>0</v>
      </c>
      <c r="N259" s="164"/>
      <c r="O259" s="164"/>
      <c r="P259" s="124">
        <f t="shared" si="49"/>
        <v>0</v>
      </c>
      <c r="Q259" s="120" t="e">
        <f t="shared" si="45"/>
        <v>#DIV/0!</v>
      </c>
      <c r="R259" s="168">
        <f t="shared" si="46"/>
        <v>0</v>
      </c>
      <c r="S259" s="168">
        <f t="shared" si="50"/>
        <v>0</v>
      </c>
      <c r="T259" s="125"/>
      <c r="U259" s="124"/>
      <c r="V259" s="120"/>
      <c r="W259" s="125"/>
      <c r="X259" s="125"/>
      <c r="Y259" s="166"/>
      <c r="Z259" s="168"/>
      <c r="AA259" s="168"/>
      <c r="AB259" s="168"/>
      <c r="AC259" s="168"/>
      <c r="AD259" s="124"/>
      <c r="AE259" s="120"/>
      <c r="AF259" s="120"/>
      <c r="AG259" s="120"/>
      <c r="AH259" s="120"/>
      <c r="AI259" s="120"/>
      <c r="AJ259" s="120"/>
      <c r="AK259" s="120"/>
      <c r="AL259" s="120"/>
    </row>
    <row r="260" spans="1:38">
      <c r="A260" s="13">
        <f t="shared" si="47"/>
        <v>253</v>
      </c>
      <c r="B260" s="128"/>
      <c r="C260" s="121"/>
      <c r="D260" s="121"/>
      <c r="E260" s="120"/>
      <c r="F260" s="121"/>
      <c r="G260" s="120"/>
      <c r="H260" s="122"/>
      <c r="I260" s="120"/>
      <c r="J260" s="120"/>
      <c r="K260" s="120"/>
      <c r="L260" s="120"/>
      <c r="M260" s="164">
        <f t="shared" si="48"/>
        <v>0</v>
      </c>
      <c r="N260" s="164"/>
      <c r="O260" s="164"/>
      <c r="P260" s="124">
        <f t="shared" si="49"/>
        <v>0</v>
      </c>
      <c r="Q260" s="120" t="e">
        <f t="shared" si="45"/>
        <v>#DIV/0!</v>
      </c>
      <c r="R260" s="168">
        <f t="shared" si="46"/>
        <v>0</v>
      </c>
      <c r="S260" s="168">
        <f t="shared" si="50"/>
        <v>0</v>
      </c>
      <c r="T260" s="125"/>
      <c r="U260" s="124"/>
      <c r="V260" s="120"/>
      <c r="W260" s="125"/>
      <c r="X260" s="125"/>
      <c r="Y260" s="166"/>
      <c r="Z260" s="168"/>
      <c r="AA260" s="168"/>
      <c r="AB260" s="168"/>
      <c r="AC260" s="168"/>
      <c r="AD260" s="124"/>
      <c r="AE260" s="120"/>
      <c r="AF260" s="120"/>
      <c r="AG260" s="120"/>
      <c r="AH260" s="120"/>
      <c r="AI260" s="120"/>
      <c r="AJ260" s="120"/>
      <c r="AK260" s="120"/>
      <c r="AL260" s="120"/>
    </row>
    <row r="261" spans="1:38">
      <c r="A261" s="13">
        <f t="shared" si="47"/>
        <v>254</v>
      </c>
      <c r="B261" s="128"/>
      <c r="C261" s="121"/>
      <c r="D261" s="121"/>
      <c r="E261" s="120"/>
      <c r="F261" s="121"/>
      <c r="G261" s="120"/>
      <c r="H261" s="122"/>
      <c r="I261" s="120"/>
      <c r="J261" s="120"/>
      <c r="K261" s="120"/>
      <c r="L261" s="120"/>
      <c r="M261" s="164">
        <f t="shared" si="48"/>
        <v>0</v>
      </c>
      <c r="N261" s="164"/>
      <c r="O261" s="164"/>
      <c r="P261" s="124">
        <f t="shared" si="49"/>
        <v>0</v>
      </c>
      <c r="Q261" s="120" t="e">
        <f t="shared" si="45"/>
        <v>#DIV/0!</v>
      </c>
      <c r="R261" s="168">
        <f t="shared" si="46"/>
        <v>0</v>
      </c>
      <c r="S261" s="168">
        <f t="shared" si="50"/>
        <v>0</v>
      </c>
      <c r="T261" s="125"/>
      <c r="U261" s="124"/>
      <c r="V261" s="120"/>
      <c r="W261" s="125"/>
      <c r="X261" s="125"/>
      <c r="Y261" s="166"/>
      <c r="Z261" s="168"/>
      <c r="AA261" s="168"/>
      <c r="AB261" s="168"/>
      <c r="AC261" s="168"/>
      <c r="AD261" s="124"/>
      <c r="AE261" s="120"/>
      <c r="AF261" s="120"/>
      <c r="AG261" s="120"/>
      <c r="AH261" s="120"/>
      <c r="AI261" s="120"/>
      <c r="AJ261" s="120"/>
      <c r="AK261" s="120"/>
      <c r="AL261" s="120"/>
    </row>
    <row r="262" spans="1:38">
      <c r="A262" s="13">
        <f t="shared" si="47"/>
        <v>255</v>
      </c>
      <c r="B262" s="128"/>
      <c r="C262" s="121"/>
      <c r="D262" s="121"/>
      <c r="E262" s="120"/>
      <c r="F262" s="121"/>
      <c r="G262" s="120"/>
      <c r="H262" s="122"/>
      <c r="I262" s="120"/>
      <c r="J262" s="120"/>
      <c r="K262" s="120"/>
      <c r="L262" s="120"/>
      <c r="M262" s="164">
        <f t="shared" si="48"/>
        <v>0</v>
      </c>
      <c r="N262" s="164"/>
      <c r="O262" s="164"/>
      <c r="P262" s="124">
        <f t="shared" si="49"/>
        <v>0</v>
      </c>
      <c r="Q262" s="120" t="e">
        <f t="shared" si="45"/>
        <v>#DIV/0!</v>
      </c>
      <c r="R262" s="168">
        <f t="shared" si="46"/>
        <v>0</v>
      </c>
      <c r="S262" s="168">
        <f t="shared" si="50"/>
        <v>0</v>
      </c>
      <c r="T262" s="125"/>
      <c r="U262" s="124"/>
      <c r="V262" s="120"/>
      <c r="W262" s="125"/>
      <c r="X262" s="125"/>
      <c r="Y262" s="166"/>
      <c r="Z262" s="168"/>
      <c r="AA262" s="168"/>
      <c r="AB262" s="168"/>
      <c r="AC262" s="168"/>
      <c r="AD262" s="124"/>
      <c r="AE262" s="120"/>
      <c r="AF262" s="120"/>
      <c r="AG262" s="120"/>
      <c r="AH262" s="120"/>
      <c r="AI262" s="120"/>
      <c r="AJ262" s="120"/>
      <c r="AK262" s="120"/>
      <c r="AL262" s="120"/>
    </row>
    <row r="263" spans="1:38">
      <c r="A263" s="13">
        <f t="shared" si="47"/>
        <v>256</v>
      </c>
      <c r="B263" s="128"/>
      <c r="C263" s="121"/>
      <c r="D263" s="121"/>
      <c r="E263" s="120"/>
      <c r="F263" s="121"/>
      <c r="G263" s="120"/>
      <c r="H263" s="122"/>
      <c r="I263" s="120"/>
      <c r="J263" s="120"/>
      <c r="K263" s="120"/>
      <c r="L263" s="120"/>
      <c r="M263" s="164">
        <f t="shared" si="48"/>
        <v>0</v>
      </c>
      <c r="N263" s="164"/>
      <c r="O263" s="164"/>
      <c r="P263" s="124">
        <f t="shared" si="49"/>
        <v>0</v>
      </c>
      <c r="Q263" s="120" t="e">
        <f t="shared" si="45"/>
        <v>#DIV/0!</v>
      </c>
      <c r="R263" s="168">
        <f t="shared" si="46"/>
        <v>0</v>
      </c>
      <c r="S263" s="168">
        <f t="shared" si="50"/>
        <v>0</v>
      </c>
      <c r="T263" s="125"/>
      <c r="U263" s="124"/>
      <c r="V263" s="120"/>
      <c r="W263" s="125"/>
      <c r="X263" s="125"/>
      <c r="Y263" s="166"/>
      <c r="Z263" s="168"/>
      <c r="AA263" s="168"/>
      <c r="AB263" s="168"/>
      <c r="AC263" s="168"/>
      <c r="AD263" s="124"/>
      <c r="AE263" s="120"/>
      <c r="AF263" s="120"/>
      <c r="AG263" s="120"/>
      <c r="AH263" s="120"/>
      <c r="AI263" s="120"/>
      <c r="AJ263" s="120"/>
      <c r="AK263" s="120"/>
      <c r="AL263" s="120"/>
    </row>
    <row r="264" spans="1:38">
      <c r="A264" s="13">
        <f t="shared" si="47"/>
        <v>257</v>
      </c>
      <c r="B264" s="128"/>
      <c r="C264" s="121"/>
      <c r="D264" s="121"/>
      <c r="E264" s="120"/>
      <c r="F264" s="121"/>
      <c r="G264" s="120"/>
      <c r="H264" s="122"/>
      <c r="I264" s="120"/>
      <c r="J264" s="120"/>
      <c r="K264" s="120"/>
      <c r="L264" s="120"/>
      <c r="M264" s="164">
        <f t="shared" si="48"/>
        <v>0</v>
      </c>
      <c r="N264" s="164"/>
      <c r="O264" s="164"/>
      <c r="P264" s="124">
        <f t="shared" si="49"/>
        <v>0</v>
      </c>
      <c r="Q264" s="120" t="e">
        <f t="shared" ref="Q264:Q316" si="51">K264/$J264</f>
        <v>#DIV/0!</v>
      </c>
      <c r="R264" s="168">
        <f t="shared" ref="R264:R316" si="52">$J264*$I264</f>
        <v>0</v>
      </c>
      <c r="S264" s="168">
        <f t="shared" si="50"/>
        <v>0</v>
      </c>
      <c r="T264" s="125"/>
      <c r="U264" s="124"/>
      <c r="V264" s="120"/>
      <c r="W264" s="125"/>
      <c r="X264" s="125"/>
      <c r="Y264" s="166"/>
      <c r="Z264" s="168"/>
      <c r="AA264" s="168"/>
      <c r="AB264" s="168"/>
      <c r="AC264" s="168"/>
      <c r="AD264" s="124"/>
      <c r="AE264" s="120"/>
      <c r="AF264" s="120"/>
      <c r="AG264" s="120"/>
      <c r="AH264" s="120"/>
      <c r="AI264" s="120"/>
      <c r="AJ264" s="120"/>
      <c r="AK264" s="120"/>
      <c r="AL264" s="120"/>
    </row>
    <row r="265" spans="1:38">
      <c r="A265" s="13">
        <f t="shared" ref="A265:A316" si="53">A264+1</f>
        <v>258</v>
      </c>
      <c r="B265" s="128"/>
      <c r="C265" s="121"/>
      <c r="D265" s="121"/>
      <c r="E265" s="120"/>
      <c r="F265" s="121"/>
      <c r="G265" s="120"/>
      <c r="H265" s="122"/>
      <c r="I265" s="120"/>
      <c r="J265" s="120"/>
      <c r="K265" s="120"/>
      <c r="L265" s="120"/>
      <c r="M265" s="164">
        <f t="shared" si="48"/>
        <v>0</v>
      </c>
      <c r="N265" s="164"/>
      <c r="O265" s="164"/>
      <c r="P265" s="124">
        <f t="shared" si="49"/>
        <v>0</v>
      </c>
      <c r="Q265" s="120" t="e">
        <f t="shared" si="51"/>
        <v>#DIV/0!</v>
      </c>
      <c r="R265" s="168">
        <f t="shared" si="52"/>
        <v>0</v>
      </c>
      <c r="S265" s="168">
        <f t="shared" si="50"/>
        <v>0</v>
      </c>
      <c r="T265" s="125"/>
      <c r="U265" s="124"/>
      <c r="V265" s="120"/>
      <c r="W265" s="125"/>
      <c r="X265" s="125"/>
      <c r="Y265" s="166"/>
      <c r="Z265" s="168"/>
      <c r="AA265" s="168"/>
      <c r="AB265" s="168"/>
      <c r="AC265" s="168"/>
      <c r="AD265" s="124"/>
      <c r="AE265" s="120"/>
      <c r="AF265" s="120"/>
      <c r="AG265" s="120"/>
      <c r="AH265" s="120"/>
      <c r="AI265" s="120"/>
      <c r="AJ265" s="120"/>
      <c r="AK265" s="120"/>
      <c r="AL265" s="120"/>
    </row>
    <row r="266" spans="1:38">
      <c r="A266" s="13">
        <f t="shared" si="53"/>
        <v>259</v>
      </c>
      <c r="B266" s="128"/>
      <c r="C266" s="121"/>
      <c r="D266" s="121"/>
      <c r="E266" s="120"/>
      <c r="F266" s="121"/>
      <c r="G266" s="120"/>
      <c r="H266" s="122"/>
      <c r="I266" s="120"/>
      <c r="J266" s="120"/>
      <c r="K266" s="120"/>
      <c r="L266" s="120"/>
      <c r="M266" s="164">
        <f t="shared" si="48"/>
        <v>0</v>
      </c>
      <c r="N266" s="164"/>
      <c r="O266" s="164"/>
      <c r="P266" s="124">
        <f t="shared" si="49"/>
        <v>0</v>
      </c>
      <c r="Q266" s="120" t="e">
        <f t="shared" si="51"/>
        <v>#DIV/0!</v>
      </c>
      <c r="R266" s="168">
        <f t="shared" si="52"/>
        <v>0</v>
      </c>
      <c r="S266" s="168">
        <f t="shared" si="50"/>
        <v>0</v>
      </c>
      <c r="T266" s="125"/>
      <c r="U266" s="124"/>
      <c r="V266" s="120"/>
      <c r="W266" s="125"/>
      <c r="X266" s="125"/>
      <c r="Y266" s="166"/>
      <c r="Z266" s="168"/>
      <c r="AA266" s="168"/>
      <c r="AB266" s="168"/>
      <c r="AC266" s="168"/>
      <c r="AD266" s="124"/>
      <c r="AE266" s="120"/>
      <c r="AF266" s="120"/>
      <c r="AG266" s="120"/>
      <c r="AH266" s="120"/>
      <c r="AI266" s="120"/>
      <c r="AJ266" s="120"/>
      <c r="AK266" s="120"/>
      <c r="AL266" s="120"/>
    </row>
    <row r="267" spans="1:38">
      <c r="A267" s="13">
        <f t="shared" si="53"/>
        <v>260</v>
      </c>
      <c r="B267" s="128"/>
      <c r="C267" s="121"/>
      <c r="D267" s="121"/>
      <c r="E267" s="120"/>
      <c r="F267" s="121"/>
      <c r="G267" s="120"/>
      <c r="H267" s="122"/>
      <c r="I267" s="120"/>
      <c r="J267" s="120"/>
      <c r="K267" s="120"/>
      <c r="L267" s="120"/>
      <c r="M267" s="164">
        <f t="shared" si="48"/>
        <v>0</v>
      </c>
      <c r="N267" s="164"/>
      <c r="O267" s="164"/>
      <c r="P267" s="124">
        <f t="shared" si="49"/>
        <v>0</v>
      </c>
      <c r="Q267" s="120" t="e">
        <f t="shared" si="51"/>
        <v>#DIV/0!</v>
      </c>
      <c r="R267" s="168">
        <f t="shared" si="52"/>
        <v>0</v>
      </c>
      <c r="S267" s="168">
        <f t="shared" si="50"/>
        <v>0</v>
      </c>
      <c r="T267" s="125"/>
      <c r="U267" s="124"/>
      <c r="V267" s="120"/>
      <c r="W267" s="125"/>
      <c r="X267" s="125"/>
      <c r="Y267" s="166"/>
      <c r="Z267" s="168"/>
      <c r="AA267" s="168"/>
      <c r="AB267" s="168"/>
      <c r="AC267" s="168"/>
      <c r="AD267" s="124"/>
      <c r="AE267" s="120"/>
      <c r="AF267" s="120"/>
      <c r="AG267" s="120"/>
      <c r="AH267" s="120"/>
      <c r="AI267" s="120"/>
      <c r="AJ267" s="120"/>
      <c r="AK267" s="120"/>
      <c r="AL267" s="120"/>
    </row>
    <row r="268" spans="1:38">
      <c r="A268" s="13">
        <f t="shared" si="53"/>
        <v>261</v>
      </c>
      <c r="B268" s="128"/>
      <c r="C268" s="121"/>
      <c r="D268" s="121"/>
      <c r="E268" s="120"/>
      <c r="F268" s="121"/>
      <c r="G268" s="120"/>
      <c r="H268" s="122"/>
      <c r="I268" s="120"/>
      <c r="J268" s="120"/>
      <c r="K268" s="120"/>
      <c r="L268" s="120"/>
      <c r="M268" s="164">
        <f t="shared" si="48"/>
        <v>0</v>
      </c>
      <c r="N268" s="164"/>
      <c r="O268" s="164"/>
      <c r="P268" s="124">
        <f t="shared" si="49"/>
        <v>0</v>
      </c>
      <c r="Q268" s="120" t="e">
        <f t="shared" si="51"/>
        <v>#DIV/0!</v>
      </c>
      <c r="R268" s="168">
        <f t="shared" si="52"/>
        <v>0</v>
      </c>
      <c r="S268" s="168">
        <f t="shared" si="50"/>
        <v>0</v>
      </c>
      <c r="T268" s="125"/>
      <c r="U268" s="124"/>
      <c r="V268" s="120"/>
      <c r="W268" s="125"/>
      <c r="X268" s="125"/>
      <c r="Y268" s="166"/>
      <c r="Z268" s="168"/>
      <c r="AA268" s="168"/>
      <c r="AB268" s="168"/>
      <c r="AC268" s="168"/>
      <c r="AD268" s="124"/>
      <c r="AE268" s="120"/>
      <c r="AF268" s="120"/>
      <c r="AG268" s="120"/>
      <c r="AH268" s="120"/>
      <c r="AI268" s="120"/>
      <c r="AJ268" s="120"/>
      <c r="AK268" s="120"/>
      <c r="AL268" s="120"/>
    </row>
    <row r="269" spans="1:38">
      <c r="A269" s="13">
        <f t="shared" si="53"/>
        <v>262</v>
      </c>
      <c r="B269" s="128"/>
      <c r="C269" s="121"/>
      <c r="D269" s="121"/>
      <c r="E269" s="120"/>
      <c r="F269" s="121"/>
      <c r="G269" s="120"/>
      <c r="H269" s="122"/>
      <c r="I269" s="120"/>
      <c r="J269" s="120"/>
      <c r="K269" s="120"/>
      <c r="L269" s="120"/>
      <c r="M269" s="164">
        <f t="shared" si="48"/>
        <v>0</v>
      </c>
      <c r="N269" s="164"/>
      <c r="O269" s="164"/>
      <c r="P269" s="124">
        <f t="shared" si="49"/>
        <v>0</v>
      </c>
      <c r="Q269" s="120" t="e">
        <f t="shared" si="51"/>
        <v>#DIV/0!</v>
      </c>
      <c r="R269" s="168">
        <f t="shared" si="52"/>
        <v>0</v>
      </c>
      <c r="S269" s="168">
        <f t="shared" si="50"/>
        <v>0</v>
      </c>
      <c r="T269" s="125"/>
      <c r="U269" s="124"/>
      <c r="V269" s="120"/>
      <c r="W269" s="125"/>
      <c r="X269" s="125"/>
      <c r="Y269" s="166"/>
      <c r="Z269" s="168"/>
      <c r="AA269" s="168"/>
      <c r="AB269" s="168"/>
      <c r="AC269" s="168"/>
      <c r="AD269" s="124"/>
      <c r="AE269" s="120"/>
      <c r="AF269" s="120"/>
      <c r="AG269" s="120"/>
      <c r="AH269" s="120"/>
      <c r="AI269" s="120"/>
      <c r="AJ269" s="120"/>
      <c r="AK269" s="120"/>
      <c r="AL269" s="120"/>
    </row>
    <row r="270" spans="1:38">
      <c r="A270" s="13">
        <f t="shared" si="53"/>
        <v>263</v>
      </c>
      <c r="B270" s="128"/>
      <c r="C270" s="121"/>
      <c r="D270" s="121"/>
      <c r="E270" s="120"/>
      <c r="F270" s="121"/>
      <c r="G270" s="120"/>
      <c r="H270" s="122"/>
      <c r="I270" s="120"/>
      <c r="J270" s="120"/>
      <c r="K270" s="120"/>
      <c r="L270" s="120"/>
      <c r="M270" s="164">
        <f t="shared" si="48"/>
        <v>0</v>
      </c>
      <c r="N270" s="164"/>
      <c r="O270" s="164"/>
      <c r="P270" s="124">
        <f t="shared" si="49"/>
        <v>0</v>
      </c>
      <c r="Q270" s="120" t="e">
        <f t="shared" si="51"/>
        <v>#DIV/0!</v>
      </c>
      <c r="R270" s="168">
        <f t="shared" si="52"/>
        <v>0</v>
      </c>
      <c r="S270" s="168">
        <f t="shared" si="50"/>
        <v>0</v>
      </c>
      <c r="T270" s="125"/>
      <c r="U270" s="124"/>
      <c r="V270" s="120"/>
      <c r="W270" s="125"/>
      <c r="X270" s="125"/>
      <c r="Y270" s="166"/>
      <c r="Z270" s="168"/>
      <c r="AA270" s="168"/>
      <c r="AB270" s="168"/>
      <c r="AC270" s="168"/>
      <c r="AD270" s="124"/>
      <c r="AE270" s="120"/>
      <c r="AF270" s="120"/>
      <c r="AG270" s="120"/>
      <c r="AH270" s="120"/>
      <c r="AI270" s="120"/>
      <c r="AJ270" s="120"/>
      <c r="AK270" s="120"/>
      <c r="AL270" s="120"/>
    </row>
    <row r="271" spans="1:38">
      <c r="A271" s="13">
        <f t="shared" si="53"/>
        <v>264</v>
      </c>
      <c r="B271" s="128"/>
      <c r="C271" s="121"/>
      <c r="D271" s="121"/>
      <c r="E271" s="120"/>
      <c r="F271" s="121"/>
      <c r="G271" s="120"/>
      <c r="H271" s="122"/>
      <c r="I271" s="120"/>
      <c r="J271" s="120"/>
      <c r="K271" s="120"/>
      <c r="L271" s="120"/>
      <c r="M271" s="164">
        <f t="shared" si="48"/>
        <v>0</v>
      </c>
      <c r="N271" s="164"/>
      <c r="O271" s="164"/>
      <c r="P271" s="124">
        <f t="shared" si="49"/>
        <v>0</v>
      </c>
      <c r="Q271" s="120" t="e">
        <f t="shared" si="51"/>
        <v>#DIV/0!</v>
      </c>
      <c r="R271" s="168">
        <f t="shared" si="52"/>
        <v>0</v>
      </c>
      <c r="S271" s="168">
        <f t="shared" si="50"/>
        <v>0</v>
      </c>
      <c r="T271" s="125"/>
      <c r="U271" s="124"/>
      <c r="V271" s="120"/>
      <c r="W271" s="125"/>
      <c r="X271" s="125"/>
      <c r="Y271" s="166"/>
      <c r="Z271" s="168"/>
      <c r="AA271" s="168"/>
      <c r="AB271" s="168"/>
      <c r="AC271" s="168"/>
      <c r="AD271" s="124"/>
      <c r="AE271" s="120"/>
      <c r="AF271" s="120"/>
      <c r="AG271" s="120"/>
      <c r="AH271" s="120"/>
      <c r="AI271" s="120"/>
      <c r="AJ271" s="120"/>
      <c r="AK271" s="120"/>
      <c r="AL271" s="120"/>
    </row>
    <row r="272" spans="1:38">
      <c r="A272" s="13">
        <f t="shared" si="53"/>
        <v>265</v>
      </c>
      <c r="B272" s="128"/>
      <c r="C272" s="121"/>
      <c r="D272" s="121"/>
      <c r="E272" s="120"/>
      <c r="F272" s="121"/>
      <c r="G272" s="120"/>
      <c r="H272" s="122"/>
      <c r="I272" s="120"/>
      <c r="J272" s="120"/>
      <c r="K272" s="120"/>
      <c r="L272" s="120"/>
      <c r="M272" s="164">
        <f t="shared" si="48"/>
        <v>0</v>
      </c>
      <c r="N272" s="164"/>
      <c r="O272" s="164"/>
      <c r="P272" s="124">
        <f t="shared" si="49"/>
        <v>0</v>
      </c>
      <c r="Q272" s="120" t="e">
        <f t="shared" si="51"/>
        <v>#DIV/0!</v>
      </c>
      <c r="R272" s="168">
        <f t="shared" si="52"/>
        <v>0</v>
      </c>
      <c r="S272" s="168">
        <f t="shared" si="50"/>
        <v>0</v>
      </c>
      <c r="T272" s="125"/>
      <c r="U272" s="124"/>
      <c r="V272" s="120"/>
      <c r="W272" s="125"/>
      <c r="X272" s="125"/>
      <c r="Y272" s="166"/>
      <c r="Z272" s="168"/>
      <c r="AA272" s="168"/>
      <c r="AB272" s="168"/>
      <c r="AC272" s="168"/>
      <c r="AD272" s="124"/>
      <c r="AE272" s="120"/>
      <c r="AF272" s="120"/>
      <c r="AG272" s="120"/>
      <c r="AH272" s="120"/>
      <c r="AI272" s="120"/>
      <c r="AJ272" s="120"/>
      <c r="AK272" s="120"/>
      <c r="AL272" s="120"/>
    </row>
    <row r="273" spans="1:38">
      <c r="A273" s="13">
        <f t="shared" si="53"/>
        <v>266</v>
      </c>
      <c r="B273" s="128"/>
      <c r="C273" s="121"/>
      <c r="D273" s="121"/>
      <c r="E273" s="120"/>
      <c r="F273" s="121"/>
      <c r="G273" s="120"/>
      <c r="H273" s="122"/>
      <c r="I273" s="120"/>
      <c r="J273" s="120"/>
      <c r="K273" s="120"/>
      <c r="L273" s="120"/>
      <c r="M273" s="164">
        <f t="shared" si="48"/>
        <v>0</v>
      </c>
      <c r="N273" s="164"/>
      <c r="O273" s="164"/>
      <c r="P273" s="124">
        <f t="shared" si="49"/>
        <v>0</v>
      </c>
      <c r="Q273" s="120" t="e">
        <f t="shared" si="51"/>
        <v>#DIV/0!</v>
      </c>
      <c r="R273" s="168">
        <f t="shared" si="52"/>
        <v>0</v>
      </c>
      <c r="S273" s="168">
        <f t="shared" si="50"/>
        <v>0</v>
      </c>
      <c r="T273" s="125"/>
      <c r="U273" s="124"/>
      <c r="V273" s="120"/>
      <c r="W273" s="125"/>
      <c r="X273" s="125"/>
      <c r="Y273" s="166"/>
      <c r="Z273" s="168"/>
      <c r="AA273" s="168"/>
      <c r="AB273" s="168"/>
      <c r="AC273" s="168"/>
      <c r="AD273" s="124"/>
      <c r="AE273" s="120"/>
      <c r="AF273" s="120"/>
      <c r="AG273" s="120"/>
      <c r="AH273" s="120"/>
      <c r="AI273" s="120"/>
      <c r="AJ273" s="120"/>
      <c r="AK273" s="120"/>
      <c r="AL273" s="120"/>
    </row>
    <row r="274" spans="1:38">
      <c r="A274" s="13">
        <f t="shared" si="53"/>
        <v>267</v>
      </c>
      <c r="B274" s="128"/>
      <c r="C274" s="121"/>
      <c r="D274" s="121"/>
      <c r="E274" s="120"/>
      <c r="F274" s="121"/>
      <c r="G274" s="120"/>
      <c r="H274" s="122"/>
      <c r="I274" s="120"/>
      <c r="J274" s="120"/>
      <c r="K274" s="120"/>
      <c r="L274" s="120"/>
      <c r="M274" s="164">
        <f t="shared" si="48"/>
        <v>0</v>
      </c>
      <c r="N274" s="164"/>
      <c r="O274" s="164"/>
      <c r="P274" s="124">
        <f t="shared" si="49"/>
        <v>0</v>
      </c>
      <c r="Q274" s="120" t="e">
        <f t="shared" si="51"/>
        <v>#DIV/0!</v>
      </c>
      <c r="R274" s="168">
        <f t="shared" si="52"/>
        <v>0</v>
      </c>
      <c r="S274" s="168">
        <f t="shared" si="50"/>
        <v>0</v>
      </c>
      <c r="T274" s="125"/>
      <c r="U274" s="124"/>
      <c r="V274" s="120"/>
      <c r="W274" s="125"/>
      <c r="X274" s="125"/>
      <c r="Y274" s="166"/>
      <c r="Z274" s="168"/>
      <c r="AA274" s="168"/>
      <c r="AB274" s="168"/>
      <c r="AC274" s="168"/>
      <c r="AD274" s="124"/>
      <c r="AE274" s="120"/>
      <c r="AF274" s="120"/>
      <c r="AG274" s="120"/>
      <c r="AH274" s="120"/>
      <c r="AI274" s="120"/>
      <c r="AJ274" s="120"/>
      <c r="AK274" s="120"/>
      <c r="AL274" s="120"/>
    </row>
    <row r="275" spans="1:38">
      <c r="A275" s="13">
        <f t="shared" si="53"/>
        <v>268</v>
      </c>
      <c r="B275" s="128"/>
      <c r="C275" s="121"/>
      <c r="D275" s="121"/>
      <c r="E275" s="120"/>
      <c r="F275" s="121"/>
      <c r="G275" s="120"/>
      <c r="H275" s="122"/>
      <c r="I275" s="120"/>
      <c r="J275" s="120"/>
      <c r="K275" s="120"/>
      <c r="L275" s="120"/>
      <c r="M275" s="164">
        <f t="shared" si="48"/>
        <v>0</v>
      </c>
      <c r="N275" s="164"/>
      <c r="O275" s="164"/>
      <c r="P275" s="124">
        <f t="shared" si="49"/>
        <v>0</v>
      </c>
      <c r="Q275" s="120" t="e">
        <f t="shared" si="51"/>
        <v>#DIV/0!</v>
      </c>
      <c r="R275" s="168">
        <f t="shared" si="52"/>
        <v>0</v>
      </c>
      <c r="S275" s="168">
        <f t="shared" si="50"/>
        <v>0</v>
      </c>
      <c r="T275" s="125"/>
      <c r="U275" s="124"/>
      <c r="V275" s="120"/>
      <c r="W275" s="125"/>
      <c r="X275" s="125"/>
      <c r="Y275" s="166"/>
      <c r="Z275" s="168"/>
      <c r="AA275" s="168"/>
      <c r="AB275" s="168"/>
      <c r="AC275" s="168"/>
      <c r="AD275" s="124"/>
      <c r="AE275" s="120"/>
      <c r="AF275" s="120"/>
      <c r="AG275" s="120"/>
      <c r="AH275" s="120"/>
      <c r="AI275" s="120"/>
      <c r="AJ275" s="120"/>
      <c r="AK275" s="120"/>
      <c r="AL275" s="120"/>
    </row>
    <row r="276" spans="1:38">
      <c r="A276" s="13">
        <f t="shared" si="53"/>
        <v>269</v>
      </c>
      <c r="B276" s="128"/>
      <c r="C276" s="121"/>
      <c r="D276" s="121"/>
      <c r="E276" s="120"/>
      <c r="F276" s="121"/>
      <c r="G276" s="120"/>
      <c r="H276" s="122"/>
      <c r="I276" s="120"/>
      <c r="J276" s="120"/>
      <c r="K276" s="120"/>
      <c r="L276" s="120"/>
      <c r="M276" s="164">
        <f t="shared" si="48"/>
        <v>0</v>
      </c>
      <c r="N276" s="164"/>
      <c r="O276" s="164"/>
      <c r="P276" s="124">
        <f t="shared" si="49"/>
        <v>0</v>
      </c>
      <c r="Q276" s="120" t="e">
        <f t="shared" si="51"/>
        <v>#DIV/0!</v>
      </c>
      <c r="R276" s="168">
        <f t="shared" si="52"/>
        <v>0</v>
      </c>
      <c r="S276" s="168">
        <f t="shared" si="50"/>
        <v>0</v>
      </c>
      <c r="T276" s="125"/>
      <c r="U276" s="124"/>
      <c r="V276" s="120"/>
      <c r="W276" s="125"/>
      <c r="X276" s="125"/>
      <c r="Y276" s="166"/>
      <c r="Z276" s="168"/>
      <c r="AA276" s="168"/>
      <c r="AB276" s="168"/>
      <c r="AC276" s="168"/>
      <c r="AD276" s="124"/>
      <c r="AE276" s="120"/>
      <c r="AF276" s="120"/>
      <c r="AG276" s="120"/>
      <c r="AH276" s="120"/>
      <c r="AI276" s="120"/>
      <c r="AJ276" s="120"/>
      <c r="AK276" s="120"/>
      <c r="AL276" s="120"/>
    </row>
    <row r="277" spans="1:38">
      <c r="A277" s="13">
        <f t="shared" si="53"/>
        <v>270</v>
      </c>
      <c r="B277" s="128"/>
      <c r="C277" s="121"/>
      <c r="D277" s="121"/>
      <c r="E277" s="120"/>
      <c r="F277" s="121"/>
      <c r="G277" s="120"/>
      <c r="H277" s="122"/>
      <c r="I277" s="120"/>
      <c r="J277" s="120"/>
      <c r="K277" s="120"/>
      <c r="L277" s="120"/>
      <c r="M277" s="164">
        <f t="shared" si="48"/>
        <v>0</v>
      </c>
      <c r="N277" s="164"/>
      <c r="O277" s="164"/>
      <c r="P277" s="124">
        <f t="shared" si="49"/>
        <v>0</v>
      </c>
      <c r="Q277" s="120" t="e">
        <f t="shared" si="51"/>
        <v>#DIV/0!</v>
      </c>
      <c r="R277" s="168">
        <f t="shared" si="52"/>
        <v>0</v>
      </c>
      <c r="S277" s="168">
        <f t="shared" si="50"/>
        <v>0</v>
      </c>
      <c r="T277" s="125"/>
      <c r="U277" s="124"/>
      <c r="V277" s="120"/>
      <c r="W277" s="125"/>
      <c r="X277" s="125"/>
      <c r="Y277" s="166"/>
      <c r="Z277" s="168"/>
      <c r="AA277" s="168"/>
      <c r="AB277" s="168"/>
      <c r="AC277" s="168"/>
      <c r="AD277" s="124"/>
      <c r="AE277" s="120"/>
      <c r="AF277" s="120"/>
      <c r="AG277" s="120"/>
      <c r="AH277" s="120"/>
      <c r="AI277" s="120"/>
      <c r="AJ277" s="120"/>
      <c r="AK277" s="120"/>
      <c r="AL277" s="120"/>
    </row>
    <row r="278" spans="1:38">
      <c r="A278" s="13">
        <f t="shared" si="53"/>
        <v>271</v>
      </c>
      <c r="B278" s="128"/>
      <c r="C278" s="121"/>
      <c r="D278" s="121"/>
      <c r="E278" s="120"/>
      <c r="F278" s="121"/>
      <c r="G278" s="120"/>
      <c r="H278" s="122"/>
      <c r="I278" s="120"/>
      <c r="J278" s="120"/>
      <c r="K278" s="120"/>
      <c r="L278" s="120"/>
      <c r="M278" s="164">
        <f t="shared" si="48"/>
        <v>0</v>
      </c>
      <c r="N278" s="164"/>
      <c r="O278" s="164"/>
      <c r="P278" s="124">
        <f t="shared" si="49"/>
        <v>0</v>
      </c>
      <c r="Q278" s="120" t="e">
        <f t="shared" si="51"/>
        <v>#DIV/0!</v>
      </c>
      <c r="R278" s="168">
        <f t="shared" si="52"/>
        <v>0</v>
      </c>
      <c r="S278" s="168">
        <f t="shared" si="50"/>
        <v>0</v>
      </c>
      <c r="T278" s="125"/>
      <c r="U278" s="124"/>
      <c r="V278" s="120"/>
      <c r="W278" s="125"/>
      <c r="X278" s="125"/>
      <c r="Y278" s="166"/>
      <c r="Z278" s="168"/>
      <c r="AA278" s="168"/>
      <c r="AB278" s="168"/>
      <c r="AC278" s="168"/>
      <c r="AD278" s="124"/>
      <c r="AE278" s="120"/>
      <c r="AF278" s="120"/>
      <c r="AG278" s="120"/>
      <c r="AH278" s="120"/>
      <c r="AI278" s="120"/>
      <c r="AJ278" s="120"/>
      <c r="AK278" s="120"/>
      <c r="AL278" s="120"/>
    </row>
    <row r="279" spans="1:38">
      <c r="A279" s="13">
        <f t="shared" si="53"/>
        <v>272</v>
      </c>
      <c r="B279" s="128"/>
      <c r="C279" s="121"/>
      <c r="D279" s="121"/>
      <c r="E279" s="120"/>
      <c r="F279" s="121"/>
      <c r="G279" s="120"/>
      <c r="H279" s="122"/>
      <c r="I279" s="120"/>
      <c r="J279" s="120"/>
      <c r="K279" s="120"/>
      <c r="L279" s="120"/>
      <c r="M279" s="164">
        <f t="shared" si="48"/>
        <v>0</v>
      </c>
      <c r="N279" s="164"/>
      <c r="O279" s="164"/>
      <c r="P279" s="124">
        <f t="shared" si="49"/>
        <v>0</v>
      </c>
      <c r="Q279" s="120" t="e">
        <f t="shared" si="51"/>
        <v>#DIV/0!</v>
      </c>
      <c r="R279" s="168">
        <f t="shared" si="52"/>
        <v>0</v>
      </c>
      <c r="S279" s="168">
        <f t="shared" si="50"/>
        <v>0</v>
      </c>
      <c r="T279" s="125"/>
      <c r="U279" s="124"/>
      <c r="V279" s="120"/>
      <c r="W279" s="125"/>
      <c r="X279" s="125"/>
      <c r="Y279" s="166"/>
      <c r="Z279" s="168"/>
      <c r="AA279" s="168"/>
      <c r="AB279" s="168"/>
      <c r="AC279" s="168"/>
      <c r="AD279" s="124"/>
      <c r="AE279" s="120"/>
      <c r="AF279" s="120"/>
      <c r="AG279" s="120"/>
      <c r="AH279" s="120"/>
      <c r="AI279" s="120"/>
      <c r="AJ279" s="120"/>
      <c r="AK279" s="120"/>
      <c r="AL279" s="120"/>
    </row>
    <row r="280" spans="1:38">
      <c r="A280" s="13">
        <f t="shared" si="53"/>
        <v>273</v>
      </c>
      <c r="B280" s="128"/>
      <c r="C280" s="121"/>
      <c r="D280" s="121"/>
      <c r="E280" s="120"/>
      <c r="F280" s="121"/>
      <c r="G280" s="120"/>
      <c r="H280" s="122"/>
      <c r="I280" s="120"/>
      <c r="J280" s="120"/>
      <c r="K280" s="120"/>
      <c r="L280" s="120"/>
      <c r="M280" s="164">
        <f t="shared" si="48"/>
        <v>0</v>
      </c>
      <c r="N280" s="164"/>
      <c r="O280" s="164"/>
      <c r="P280" s="124">
        <f t="shared" si="49"/>
        <v>0</v>
      </c>
      <c r="Q280" s="120" t="e">
        <f t="shared" si="51"/>
        <v>#DIV/0!</v>
      </c>
      <c r="R280" s="168">
        <f t="shared" si="52"/>
        <v>0</v>
      </c>
      <c r="S280" s="168">
        <f t="shared" si="50"/>
        <v>0</v>
      </c>
      <c r="T280" s="125"/>
      <c r="U280" s="124"/>
      <c r="V280" s="120"/>
      <c r="W280" s="125"/>
      <c r="X280" s="125"/>
      <c r="Y280" s="166"/>
      <c r="Z280" s="168"/>
      <c r="AA280" s="168"/>
      <c r="AB280" s="168"/>
      <c r="AC280" s="168"/>
      <c r="AD280" s="124"/>
      <c r="AE280" s="120"/>
      <c r="AF280" s="120"/>
      <c r="AG280" s="120"/>
      <c r="AH280" s="120"/>
      <c r="AI280" s="120"/>
      <c r="AJ280" s="120"/>
      <c r="AK280" s="120"/>
      <c r="AL280" s="120"/>
    </row>
    <row r="281" spans="1:38">
      <c r="A281" s="13">
        <f t="shared" si="53"/>
        <v>274</v>
      </c>
      <c r="B281" s="128"/>
      <c r="C281" s="121"/>
      <c r="D281" s="121"/>
      <c r="E281" s="120"/>
      <c r="F281" s="121"/>
      <c r="G281" s="120"/>
      <c r="H281" s="122"/>
      <c r="I281" s="120"/>
      <c r="J281" s="120"/>
      <c r="K281" s="120"/>
      <c r="L281" s="120"/>
      <c r="M281" s="164">
        <f t="shared" si="48"/>
        <v>0</v>
      </c>
      <c r="N281" s="164"/>
      <c r="O281" s="164"/>
      <c r="P281" s="124">
        <f t="shared" si="49"/>
        <v>0</v>
      </c>
      <c r="Q281" s="120" t="e">
        <f t="shared" si="51"/>
        <v>#DIV/0!</v>
      </c>
      <c r="R281" s="168">
        <f t="shared" si="52"/>
        <v>0</v>
      </c>
      <c r="S281" s="168">
        <f t="shared" si="50"/>
        <v>0</v>
      </c>
      <c r="T281" s="125"/>
      <c r="U281" s="124"/>
      <c r="V281" s="120"/>
      <c r="W281" s="125"/>
      <c r="X281" s="125"/>
      <c r="Y281" s="166"/>
      <c r="Z281" s="168"/>
      <c r="AA281" s="168"/>
      <c r="AB281" s="168"/>
      <c r="AC281" s="168"/>
      <c r="AD281" s="124"/>
      <c r="AE281" s="120"/>
      <c r="AF281" s="120"/>
      <c r="AG281" s="120"/>
      <c r="AH281" s="120"/>
      <c r="AI281" s="120"/>
      <c r="AJ281" s="120"/>
      <c r="AK281" s="120"/>
      <c r="AL281" s="120"/>
    </row>
    <row r="282" spans="1:38">
      <c r="A282" s="13">
        <f t="shared" si="53"/>
        <v>275</v>
      </c>
      <c r="B282" s="128"/>
      <c r="C282" s="121"/>
      <c r="D282" s="121"/>
      <c r="E282" s="120"/>
      <c r="F282" s="121"/>
      <c r="G282" s="120"/>
      <c r="H282" s="122"/>
      <c r="I282" s="120"/>
      <c r="J282" s="120"/>
      <c r="K282" s="120"/>
      <c r="L282" s="120"/>
      <c r="M282" s="164">
        <f t="shared" si="48"/>
        <v>0</v>
      </c>
      <c r="N282" s="164"/>
      <c r="O282" s="164"/>
      <c r="P282" s="124">
        <f t="shared" si="49"/>
        <v>0</v>
      </c>
      <c r="Q282" s="120" t="e">
        <f t="shared" si="51"/>
        <v>#DIV/0!</v>
      </c>
      <c r="R282" s="168">
        <f t="shared" si="52"/>
        <v>0</v>
      </c>
      <c r="S282" s="168">
        <f t="shared" si="50"/>
        <v>0</v>
      </c>
      <c r="T282" s="125"/>
      <c r="U282" s="124"/>
      <c r="V282" s="120"/>
      <c r="W282" s="125"/>
      <c r="X282" s="125"/>
      <c r="Y282" s="166"/>
      <c r="Z282" s="168"/>
      <c r="AA282" s="168"/>
      <c r="AB282" s="168"/>
      <c r="AC282" s="168"/>
      <c r="AD282" s="124"/>
      <c r="AE282" s="120"/>
      <c r="AF282" s="120"/>
      <c r="AG282" s="120"/>
      <c r="AH282" s="120"/>
      <c r="AI282" s="120"/>
      <c r="AJ282" s="120"/>
      <c r="AK282" s="120"/>
      <c r="AL282" s="120"/>
    </row>
    <row r="283" spans="1:38">
      <c r="A283" s="13">
        <f t="shared" si="53"/>
        <v>276</v>
      </c>
      <c r="B283" s="128"/>
      <c r="C283" s="121"/>
      <c r="D283" s="121"/>
      <c r="E283" s="120"/>
      <c r="F283" s="121"/>
      <c r="G283" s="120"/>
      <c r="H283" s="122"/>
      <c r="I283" s="120"/>
      <c r="J283" s="120"/>
      <c r="K283" s="120"/>
      <c r="L283" s="120"/>
      <c r="M283" s="164">
        <f t="shared" si="48"/>
        <v>0</v>
      </c>
      <c r="N283" s="164"/>
      <c r="O283" s="164"/>
      <c r="P283" s="124">
        <f t="shared" si="49"/>
        <v>0</v>
      </c>
      <c r="Q283" s="120" t="e">
        <f t="shared" si="51"/>
        <v>#DIV/0!</v>
      </c>
      <c r="R283" s="168">
        <f t="shared" si="52"/>
        <v>0</v>
      </c>
      <c r="S283" s="168">
        <f t="shared" si="50"/>
        <v>0</v>
      </c>
      <c r="T283" s="125"/>
      <c r="U283" s="124"/>
      <c r="V283" s="120"/>
      <c r="W283" s="125"/>
      <c r="X283" s="125"/>
      <c r="Y283" s="166"/>
      <c r="Z283" s="168"/>
      <c r="AA283" s="168"/>
      <c r="AB283" s="168"/>
      <c r="AC283" s="168"/>
      <c r="AD283" s="124"/>
      <c r="AE283" s="120"/>
      <c r="AF283" s="120"/>
      <c r="AG283" s="120"/>
      <c r="AH283" s="120"/>
      <c r="AI283" s="120"/>
      <c r="AJ283" s="120"/>
      <c r="AK283" s="120"/>
      <c r="AL283" s="120"/>
    </row>
    <row r="284" spans="1:38">
      <c r="A284" s="13">
        <f t="shared" si="53"/>
        <v>277</v>
      </c>
      <c r="B284" s="128"/>
      <c r="C284" s="121"/>
      <c r="D284" s="121"/>
      <c r="E284" s="120"/>
      <c r="F284" s="121"/>
      <c r="G284" s="120"/>
      <c r="H284" s="122"/>
      <c r="I284" s="120"/>
      <c r="J284" s="120"/>
      <c r="K284" s="120"/>
      <c r="L284" s="120"/>
      <c r="M284" s="164">
        <f t="shared" si="48"/>
        <v>0</v>
      </c>
      <c r="N284" s="164"/>
      <c r="O284" s="164"/>
      <c r="P284" s="124">
        <f t="shared" si="49"/>
        <v>0</v>
      </c>
      <c r="Q284" s="120" t="e">
        <f t="shared" si="51"/>
        <v>#DIV/0!</v>
      </c>
      <c r="R284" s="168">
        <f t="shared" si="52"/>
        <v>0</v>
      </c>
      <c r="S284" s="168">
        <f t="shared" si="50"/>
        <v>0</v>
      </c>
      <c r="T284" s="125"/>
      <c r="U284" s="124"/>
      <c r="V284" s="120"/>
      <c r="W284" s="125"/>
      <c r="X284" s="125"/>
      <c r="Y284" s="166"/>
      <c r="Z284" s="168"/>
      <c r="AA284" s="168"/>
      <c r="AB284" s="168"/>
      <c r="AC284" s="168"/>
      <c r="AD284" s="124"/>
      <c r="AE284" s="120"/>
      <c r="AF284" s="120"/>
      <c r="AG284" s="120"/>
      <c r="AH284" s="120"/>
      <c r="AI284" s="120"/>
      <c r="AJ284" s="120"/>
      <c r="AK284" s="120"/>
      <c r="AL284" s="120"/>
    </row>
    <row r="285" spans="1:38">
      <c r="A285" s="13">
        <f t="shared" si="53"/>
        <v>278</v>
      </c>
      <c r="B285" s="128"/>
      <c r="C285" s="121"/>
      <c r="D285" s="121"/>
      <c r="E285" s="120"/>
      <c r="F285" s="121"/>
      <c r="G285" s="120"/>
      <c r="H285" s="122"/>
      <c r="I285" s="120"/>
      <c r="J285" s="120"/>
      <c r="K285" s="120"/>
      <c r="L285" s="120"/>
      <c r="M285" s="164">
        <f t="shared" si="48"/>
        <v>0</v>
      </c>
      <c r="N285" s="164"/>
      <c r="O285" s="164"/>
      <c r="P285" s="124">
        <f t="shared" si="49"/>
        <v>0</v>
      </c>
      <c r="Q285" s="120" t="e">
        <f t="shared" si="51"/>
        <v>#DIV/0!</v>
      </c>
      <c r="R285" s="168">
        <f t="shared" si="52"/>
        <v>0</v>
      </c>
      <c r="S285" s="168">
        <f t="shared" si="50"/>
        <v>0</v>
      </c>
      <c r="T285" s="125"/>
      <c r="U285" s="124"/>
      <c r="V285" s="120"/>
      <c r="W285" s="125"/>
      <c r="X285" s="125"/>
      <c r="Y285" s="166"/>
      <c r="Z285" s="168"/>
      <c r="AA285" s="168"/>
      <c r="AB285" s="168"/>
      <c r="AC285" s="168"/>
      <c r="AD285" s="124"/>
      <c r="AE285" s="120"/>
      <c r="AF285" s="120"/>
      <c r="AG285" s="120"/>
      <c r="AH285" s="120"/>
      <c r="AI285" s="120"/>
      <c r="AJ285" s="120"/>
      <c r="AK285" s="120"/>
      <c r="AL285" s="120"/>
    </row>
    <row r="286" spans="1:38">
      <c r="A286" s="13">
        <f t="shared" si="53"/>
        <v>279</v>
      </c>
      <c r="B286" s="128"/>
      <c r="C286" s="121"/>
      <c r="D286" s="121"/>
      <c r="E286" s="120"/>
      <c r="F286" s="121"/>
      <c r="G286" s="120"/>
      <c r="H286" s="122"/>
      <c r="I286" s="120"/>
      <c r="J286" s="120"/>
      <c r="K286" s="120"/>
      <c r="L286" s="120"/>
      <c r="M286" s="164">
        <f t="shared" si="48"/>
        <v>0</v>
      </c>
      <c r="N286" s="164"/>
      <c r="O286" s="164"/>
      <c r="P286" s="124">
        <f t="shared" si="49"/>
        <v>0</v>
      </c>
      <c r="Q286" s="120" t="e">
        <f t="shared" si="51"/>
        <v>#DIV/0!</v>
      </c>
      <c r="R286" s="168">
        <f t="shared" si="52"/>
        <v>0</v>
      </c>
      <c r="S286" s="168">
        <f t="shared" si="50"/>
        <v>0</v>
      </c>
      <c r="T286" s="125"/>
      <c r="U286" s="124"/>
      <c r="V286" s="120"/>
      <c r="W286" s="125"/>
      <c r="X286" s="125"/>
      <c r="Y286" s="166"/>
      <c r="Z286" s="168"/>
      <c r="AA286" s="168"/>
      <c r="AB286" s="168"/>
      <c r="AC286" s="168"/>
      <c r="AD286" s="124"/>
      <c r="AE286" s="120"/>
      <c r="AF286" s="120"/>
      <c r="AG286" s="120"/>
      <c r="AH286" s="120"/>
      <c r="AI286" s="120"/>
      <c r="AJ286" s="120"/>
      <c r="AK286" s="120"/>
      <c r="AL286" s="120"/>
    </row>
    <row r="287" spans="1:38">
      <c r="A287" s="13">
        <f t="shared" si="53"/>
        <v>280</v>
      </c>
      <c r="B287" s="128"/>
      <c r="C287" s="121"/>
      <c r="D287" s="121"/>
      <c r="E287" s="120"/>
      <c r="F287" s="121"/>
      <c r="G287" s="120"/>
      <c r="H287" s="122"/>
      <c r="I287" s="120"/>
      <c r="J287" s="120"/>
      <c r="K287" s="120"/>
      <c r="L287" s="120"/>
      <c r="M287" s="164">
        <f t="shared" si="48"/>
        <v>0</v>
      </c>
      <c r="N287" s="164"/>
      <c r="O287" s="164"/>
      <c r="P287" s="124">
        <f t="shared" si="49"/>
        <v>0</v>
      </c>
      <c r="Q287" s="120" t="e">
        <f t="shared" si="51"/>
        <v>#DIV/0!</v>
      </c>
      <c r="R287" s="168">
        <f t="shared" si="52"/>
        <v>0</v>
      </c>
      <c r="S287" s="168">
        <f t="shared" si="50"/>
        <v>0</v>
      </c>
      <c r="T287" s="125"/>
      <c r="U287" s="124"/>
      <c r="V287" s="120"/>
      <c r="W287" s="125"/>
      <c r="X287" s="125"/>
      <c r="Y287" s="166"/>
      <c r="Z287" s="168"/>
      <c r="AA287" s="168"/>
      <c r="AB287" s="168"/>
      <c r="AC287" s="168"/>
      <c r="AD287" s="124"/>
      <c r="AE287" s="120"/>
      <c r="AF287" s="120"/>
      <c r="AG287" s="120"/>
      <c r="AH287" s="120"/>
      <c r="AI287" s="120"/>
      <c r="AJ287" s="120"/>
      <c r="AK287" s="120"/>
      <c r="AL287" s="120"/>
    </row>
    <row r="288" spans="1:38">
      <c r="A288" s="13">
        <f t="shared" si="53"/>
        <v>281</v>
      </c>
      <c r="B288" s="128"/>
      <c r="C288" s="121"/>
      <c r="D288" s="121"/>
      <c r="E288" s="120"/>
      <c r="F288" s="121"/>
      <c r="G288" s="120"/>
      <c r="H288" s="122"/>
      <c r="I288" s="120"/>
      <c r="J288" s="120"/>
      <c r="K288" s="120"/>
      <c r="L288" s="120"/>
      <c r="M288" s="164">
        <f t="shared" si="48"/>
        <v>0</v>
      </c>
      <c r="N288" s="164"/>
      <c r="O288" s="164"/>
      <c r="P288" s="124">
        <f t="shared" si="49"/>
        <v>0</v>
      </c>
      <c r="Q288" s="120" t="e">
        <f t="shared" si="51"/>
        <v>#DIV/0!</v>
      </c>
      <c r="R288" s="168">
        <f t="shared" si="52"/>
        <v>0</v>
      </c>
      <c r="S288" s="168">
        <f t="shared" si="50"/>
        <v>0</v>
      </c>
      <c r="T288" s="125"/>
      <c r="U288" s="124"/>
      <c r="V288" s="120"/>
      <c r="W288" s="125"/>
      <c r="X288" s="125"/>
      <c r="Y288" s="166"/>
      <c r="Z288" s="168"/>
      <c r="AA288" s="168"/>
      <c r="AB288" s="168"/>
      <c r="AC288" s="168"/>
      <c r="AD288" s="124"/>
      <c r="AE288" s="120"/>
      <c r="AF288" s="120"/>
      <c r="AG288" s="120"/>
      <c r="AH288" s="120"/>
      <c r="AI288" s="120"/>
      <c r="AJ288" s="120"/>
      <c r="AK288" s="120"/>
      <c r="AL288" s="120"/>
    </row>
    <row r="289" spans="1:38">
      <c r="A289" s="13">
        <f t="shared" si="53"/>
        <v>282</v>
      </c>
      <c r="B289" s="128"/>
      <c r="C289" s="121"/>
      <c r="D289" s="121"/>
      <c r="E289" s="120"/>
      <c r="F289" s="121"/>
      <c r="G289" s="120"/>
      <c r="H289" s="122"/>
      <c r="I289" s="120"/>
      <c r="J289" s="120"/>
      <c r="K289" s="120"/>
      <c r="L289" s="120"/>
      <c r="M289" s="164">
        <f t="shared" si="48"/>
        <v>0</v>
      </c>
      <c r="N289" s="164"/>
      <c r="O289" s="164"/>
      <c r="P289" s="124">
        <f t="shared" si="49"/>
        <v>0</v>
      </c>
      <c r="Q289" s="120" t="e">
        <f t="shared" si="51"/>
        <v>#DIV/0!</v>
      </c>
      <c r="R289" s="168">
        <f t="shared" si="52"/>
        <v>0</v>
      </c>
      <c r="S289" s="168">
        <f t="shared" si="50"/>
        <v>0</v>
      </c>
      <c r="T289" s="125"/>
      <c r="U289" s="124"/>
      <c r="V289" s="120"/>
      <c r="W289" s="125"/>
      <c r="X289" s="125"/>
      <c r="Y289" s="166"/>
      <c r="Z289" s="168"/>
      <c r="AA289" s="168"/>
      <c r="AB289" s="168"/>
      <c r="AC289" s="168"/>
      <c r="AD289" s="124"/>
      <c r="AE289" s="120"/>
      <c r="AF289" s="120"/>
      <c r="AG289" s="120"/>
      <c r="AH289" s="120"/>
      <c r="AI289" s="120"/>
      <c r="AJ289" s="120"/>
      <c r="AK289" s="120"/>
      <c r="AL289" s="120"/>
    </row>
    <row r="290" spans="1:38">
      <c r="A290" s="13">
        <f t="shared" si="53"/>
        <v>283</v>
      </c>
      <c r="B290" s="128"/>
      <c r="C290" s="121"/>
      <c r="D290" s="121"/>
      <c r="E290" s="120"/>
      <c r="F290" s="121"/>
      <c r="G290" s="120"/>
      <c r="H290" s="122"/>
      <c r="I290" s="120"/>
      <c r="J290" s="120"/>
      <c r="K290" s="120"/>
      <c r="L290" s="120"/>
      <c r="M290" s="164">
        <f t="shared" si="48"/>
        <v>0</v>
      </c>
      <c r="N290" s="164"/>
      <c r="O290" s="164"/>
      <c r="P290" s="124">
        <f t="shared" si="49"/>
        <v>0</v>
      </c>
      <c r="Q290" s="120" t="e">
        <f t="shared" si="51"/>
        <v>#DIV/0!</v>
      </c>
      <c r="R290" s="168">
        <f t="shared" si="52"/>
        <v>0</v>
      </c>
      <c r="S290" s="168">
        <f t="shared" si="50"/>
        <v>0</v>
      </c>
      <c r="T290" s="125"/>
      <c r="U290" s="124"/>
      <c r="V290" s="120"/>
      <c r="W290" s="125"/>
      <c r="X290" s="125"/>
      <c r="Y290" s="166"/>
      <c r="Z290" s="168"/>
      <c r="AA290" s="168"/>
      <c r="AB290" s="168"/>
      <c r="AC290" s="168"/>
      <c r="AD290" s="124"/>
      <c r="AE290" s="120"/>
      <c r="AF290" s="120"/>
      <c r="AG290" s="120"/>
      <c r="AH290" s="120"/>
      <c r="AI290" s="120"/>
      <c r="AJ290" s="120"/>
      <c r="AK290" s="120"/>
      <c r="AL290" s="120"/>
    </row>
    <row r="291" spans="1:38">
      <c r="A291" s="13">
        <f t="shared" si="53"/>
        <v>284</v>
      </c>
      <c r="B291" s="128"/>
      <c r="C291" s="121"/>
      <c r="D291" s="121"/>
      <c r="E291" s="120"/>
      <c r="F291" s="121"/>
      <c r="G291" s="120"/>
      <c r="H291" s="122"/>
      <c r="I291" s="120"/>
      <c r="J291" s="120"/>
      <c r="K291" s="120"/>
      <c r="L291" s="120"/>
      <c r="M291" s="164">
        <f t="shared" si="48"/>
        <v>0</v>
      </c>
      <c r="N291" s="164"/>
      <c r="O291" s="164"/>
      <c r="P291" s="124">
        <f t="shared" si="49"/>
        <v>0</v>
      </c>
      <c r="Q291" s="120" t="e">
        <f t="shared" si="51"/>
        <v>#DIV/0!</v>
      </c>
      <c r="R291" s="168">
        <f t="shared" si="52"/>
        <v>0</v>
      </c>
      <c r="S291" s="168">
        <f t="shared" si="50"/>
        <v>0</v>
      </c>
      <c r="T291" s="125"/>
      <c r="U291" s="124"/>
      <c r="V291" s="120"/>
      <c r="W291" s="125"/>
      <c r="X291" s="125"/>
      <c r="Y291" s="166"/>
      <c r="Z291" s="168"/>
      <c r="AA291" s="168"/>
      <c r="AB291" s="168"/>
      <c r="AC291" s="168"/>
      <c r="AD291" s="124"/>
      <c r="AE291" s="120"/>
      <c r="AF291" s="120"/>
      <c r="AG291" s="120"/>
      <c r="AH291" s="120"/>
      <c r="AI291" s="120"/>
      <c r="AJ291" s="120"/>
      <c r="AK291" s="120"/>
      <c r="AL291" s="120"/>
    </row>
    <row r="292" spans="1:38">
      <c r="A292" s="13">
        <f t="shared" si="53"/>
        <v>285</v>
      </c>
      <c r="B292" s="128"/>
      <c r="C292" s="121"/>
      <c r="D292" s="121"/>
      <c r="E292" s="120"/>
      <c r="F292" s="121"/>
      <c r="G292" s="120"/>
      <c r="H292" s="122"/>
      <c r="I292" s="120"/>
      <c r="J292" s="120"/>
      <c r="K292" s="120"/>
      <c r="L292" s="120"/>
      <c r="M292" s="164">
        <f t="shared" si="48"/>
        <v>0</v>
      </c>
      <c r="N292" s="164"/>
      <c r="O292" s="164"/>
      <c r="P292" s="124">
        <f t="shared" si="49"/>
        <v>0</v>
      </c>
      <c r="Q292" s="120" t="e">
        <f t="shared" si="51"/>
        <v>#DIV/0!</v>
      </c>
      <c r="R292" s="168">
        <f t="shared" si="52"/>
        <v>0</v>
      </c>
      <c r="S292" s="168">
        <f t="shared" si="50"/>
        <v>0</v>
      </c>
      <c r="T292" s="125"/>
      <c r="U292" s="124"/>
      <c r="V292" s="120"/>
      <c r="W292" s="125"/>
      <c r="X292" s="125"/>
      <c r="Y292" s="166"/>
      <c r="Z292" s="168"/>
      <c r="AA292" s="168"/>
      <c r="AB292" s="168"/>
      <c r="AC292" s="168"/>
      <c r="AD292" s="124"/>
      <c r="AE292" s="120"/>
      <c r="AF292" s="120"/>
      <c r="AG292" s="120"/>
      <c r="AH292" s="120"/>
      <c r="AI292" s="120"/>
      <c r="AJ292" s="120"/>
      <c r="AK292" s="120"/>
      <c r="AL292" s="120"/>
    </row>
    <row r="293" spans="1:38">
      <c r="A293" s="13">
        <f t="shared" si="53"/>
        <v>286</v>
      </c>
      <c r="B293" s="128"/>
      <c r="C293" s="121"/>
      <c r="D293" s="121"/>
      <c r="E293" s="120"/>
      <c r="F293" s="121"/>
      <c r="G293" s="120"/>
      <c r="H293" s="122"/>
      <c r="I293" s="120"/>
      <c r="J293" s="120"/>
      <c r="K293" s="120"/>
      <c r="L293" s="120"/>
      <c r="M293" s="164">
        <f t="shared" si="48"/>
        <v>0</v>
      </c>
      <c r="N293" s="164"/>
      <c r="O293" s="164"/>
      <c r="P293" s="124">
        <f t="shared" si="49"/>
        <v>0</v>
      </c>
      <c r="Q293" s="120" t="e">
        <f t="shared" si="51"/>
        <v>#DIV/0!</v>
      </c>
      <c r="R293" s="168">
        <f t="shared" si="52"/>
        <v>0</v>
      </c>
      <c r="S293" s="168">
        <f t="shared" si="50"/>
        <v>0</v>
      </c>
      <c r="T293" s="125"/>
      <c r="U293" s="124"/>
      <c r="V293" s="120"/>
      <c r="W293" s="125"/>
      <c r="X293" s="125"/>
      <c r="Y293" s="166"/>
      <c r="Z293" s="168"/>
      <c r="AA293" s="168"/>
      <c r="AB293" s="168"/>
      <c r="AC293" s="168"/>
      <c r="AD293" s="124"/>
      <c r="AE293" s="120"/>
      <c r="AF293" s="120"/>
      <c r="AG293" s="120"/>
      <c r="AH293" s="120"/>
      <c r="AI293" s="120"/>
      <c r="AJ293" s="120"/>
      <c r="AK293" s="120"/>
      <c r="AL293" s="120"/>
    </row>
    <row r="294" spans="1:38">
      <c r="A294" s="13">
        <f t="shared" si="53"/>
        <v>287</v>
      </c>
      <c r="B294" s="128"/>
      <c r="C294" s="121"/>
      <c r="D294" s="121"/>
      <c r="E294" s="120"/>
      <c r="F294" s="121"/>
      <c r="G294" s="120"/>
      <c r="H294" s="122"/>
      <c r="I294" s="120"/>
      <c r="J294" s="120"/>
      <c r="K294" s="120"/>
      <c r="L294" s="120"/>
      <c r="M294" s="164">
        <f t="shared" si="48"/>
        <v>0</v>
      </c>
      <c r="N294" s="164"/>
      <c r="O294" s="164"/>
      <c r="P294" s="124">
        <f t="shared" si="49"/>
        <v>0</v>
      </c>
      <c r="Q294" s="120" t="e">
        <f t="shared" si="51"/>
        <v>#DIV/0!</v>
      </c>
      <c r="R294" s="168">
        <f t="shared" si="52"/>
        <v>0</v>
      </c>
      <c r="S294" s="168">
        <f t="shared" si="50"/>
        <v>0</v>
      </c>
      <c r="T294" s="125"/>
      <c r="U294" s="124"/>
      <c r="V294" s="120"/>
      <c r="W294" s="125"/>
      <c r="X294" s="125"/>
      <c r="Y294" s="166"/>
      <c r="Z294" s="168"/>
      <c r="AA294" s="168"/>
      <c r="AB294" s="168"/>
      <c r="AC294" s="168"/>
      <c r="AD294" s="124"/>
      <c r="AE294" s="120"/>
      <c r="AF294" s="120"/>
      <c r="AG294" s="120"/>
      <c r="AH294" s="120"/>
      <c r="AI294" s="120"/>
      <c r="AJ294" s="120"/>
      <c r="AK294" s="120"/>
      <c r="AL294" s="120"/>
    </row>
    <row r="295" spans="1:38">
      <c r="A295" s="13">
        <f t="shared" si="53"/>
        <v>288</v>
      </c>
      <c r="B295" s="128"/>
      <c r="C295" s="121"/>
      <c r="D295" s="121"/>
      <c r="E295" s="120"/>
      <c r="F295" s="121"/>
      <c r="G295" s="120"/>
      <c r="H295" s="122"/>
      <c r="I295" s="120"/>
      <c r="J295" s="120"/>
      <c r="K295" s="120"/>
      <c r="L295" s="120"/>
      <c r="M295" s="164">
        <f t="shared" si="48"/>
        <v>0</v>
      </c>
      <c r="N295" s="164"/>
      <c r="O295" s="164"/>
      <c r="P295" s="124">
        <f t="shared" si="49"/>
        <v>0</v>
      </c>
      <c r="Q295" s="120" t="e">
        <f t="shared" si="51"/>
        <v>#DIV/0!</v>
      </c>
      <c r="R295" s="168">
        <f t="shared" si="52"/>
        <v>0</v>
      </c>
      <c r="S295" s="168">
        <f t="shared" si="50"/>
        <v>0</v>
      </c>
      <c r="T295" s="125"/>
      <c r="U295" s="124"/>
      <c r="V295" s="120"/>
      <c r="W295" s="125"/>
      <c r="X295" s="125"/>
      <c r="Y295" s="166"/>
      <c r="Z295" s="168"/>
      <c r="AA295" s="168"/>
      <c r="AB295" s="168"/>
      <c r="AC295" s="168"/>
      <c r="AD295" s="124"/>
      <c r="AE295" s="120"/>
      <c r="AF295" s="120"/>
      <c r="AG295" s="120"/>
      <c r="AH295" s="120"/>
      <c r="AI295" s="120"/>
      <c r="AJ295" s="120"/>
      <c r="AK295" s="120"/>
      <c r="AL295" s="120"/>
    </row>
    <row r="296" spans="1:38">
      <c r="A296" s="13">
        <f t="shared" si="53"/>
        <v>289</v>
      </c>
      <c r="B296" s="128"/>
      <c r="C296" s="121"/>
      <c r="D296" s="121"/>
      <c r="E296" s="120"/>
      <c r="F296" s="121"/>
      <c r="G296" s="120"/>
      <c r="H296" s="122"/>
      <c r="I296" s="120"/>
      <c r="J296" s="120"/>
      <c r="K296" s="120"/>
      <c r="L296" s="120"/>
      <c r="M296" s="164">
        <f t="shared" si="48"/>
        <v>0</v>
      </c>
      <c r="N296" s="164"/>
      <c r="O296" s="164"/>
      <c r="P296" s="124">
        <f t="shared" si="49"/>
        <v>0</v>
      </c>
      <c r="Q296" s="120" t="e">
        <f t="shared" si="51"/>
        <v>#DIV/0!</v>
      </c>
      <c r="R296" s="168">
        <f t="shared" si="52"/>
        <v>0</v>
      </c>
      <c r="S296" s="168">
        <f t="shared" si="50"/>
        <v>0</v>
      </c>
      <c r="T296" s="125"/>
      <c r="U296" s="124"/>
      <c r="V296" s="120"/>
      <c r="W296" s="125"/>
      <c r="X296" s="125"/>
      <c r="Y296" s="166"/>
      <c r="Z296" s="168"/>
      <c r="AA296" s="168"/>
      <c r="AB296" s="168"/>
      <c r="AC296" s="168"/>
      <c r="AD296" s="124"/>
      <c r="AE296" s="120"/>
      <c r="AF296" s="120"/>
      <c r="AG296" s="120"/>
      <c r="AH296" s="120"/>
      <c r="AI296" s="120"/>
      <c r="AJ296" s="120"/>
      <c r="AK296" s="120"/>
      <c r="AL296" s="120"/>
    </row>
    <row r="297" spans="1:38">
      <c r="A297" s="13">
        <f t="shared" si="53"/>
        <v>290</v>
      </c>
      <c r="B297" s="128"/>
      <c r="C297" s="121"/>
      <c r="D297" s="121"/>
      <c r="E297" s="120"/>
      <c r="F297" s="121"/>
      <c r="G297" s="120"/>
      <c r="H297" s="122"/>
      <c r="I297" s="120"/>
      <c r="J297" s="120"/>
      <c r="K297" s="120"/>
      <c r="L297" s="120"/>
      <c r="M297" s="164">
        <f t="shared" si="48"/>
        <v>0</v>
      </c>
      <c r="N297" s="164"/>
      <c r="O297" s="164"/>
      <c r="P297" s="124">
        <f t="shared" si="49"/>
        <v>0</v>
      </c>
      <c r="Q297" s="120" t="e">
        <f t="shared" si="51"/>
        <v>#DIV/0!</v>
      </c>
      <c r="R297" s="168">
        <f t="shared" si="52"/>
        <v>0</v>
      </c>
      <c r="S297" s="168">
        <f t="shared" si="50"/>
        <v>0</v>
      </c>
      <c r="T297" s="125"/>
      <c r="U297" s="124"/>
      <c r="V297" s="120"/>
      <c r="W297" s="125"/>
      <c r="X297" s="125"/>
      <c r="Y297" s="166"/>
      <c r="Z297" s="168"/>
      <c r="AA297" s="168"/>
      <c r="AB297" s="168"/>
      <c r="AC297" s="168"/>
      <c r="AD297" s="124"/>
      <c r="AE297" s="120"/>
      <c r="AF297" s="120"/>
      <c r="AG297" s="120"/>
      <c r="AH297" s="120"/>
      <c r="AI297" s="120"/>
      <c r="AJ297" s="120"/>
      <c r="AK297" s="120"/>
      <c r="AL297" s="120"/>
    </row>
    <row r="298" spans="1:38">
      <c r="A298" s="13">
        <f t="shared" si="53"/>
        <v>291</v>
      </c>
      <c r="B298" s="128"/>
      <c r="C298" s="121"/>
      <c r="D298" s="121"/>
      <c r="E298" s="120"/>
      <c r="F298" s="121"/>
      <c r="G298" s="120"/>
      <c r="H298" s="122"/>
      <c r="I298" s="120"/>
      <c r="J298" s="120"/>
      <c r="K298" s="120"/>
      <c r="L298" s="120"/>
      <c r="M298" s="164">
        <f t="shared" si="48"/>
        <v>0</v>
      </c>
      <c r="N298" s="164"/>
      <c r="O298" s="164"/>
      <c r="P298" s="124">
        <f t="shared" si="49"/>
        <v>0</v>
      </c>
      <c r="Q298" s="120" t="e">
        <f t="shared" si="51"/>
        <v>#DIV/0!</v>
      </c>
      <c r="R298" s="168">
        <f t="shared" si="52"/>
        <v>0</v>
      </c>
      <c r="S298" s="168">
        <f t="shared" si="50"/>
        <v>0</v>
      </c>
      <c r="T298" s="125"/>
      <c r="U298" s="124"/>
      <c r="V298" s="120"/>
      <c r="W298" s="125"/>
      <c r="X298" s="125"/>
      <c r="Y298" s="166"/>
      <c r="Z298" s="168"/>
      <c r="AA298" s="168"/>
      <c r="AB298" s="168"/>
      <c r="AC298" s="168"/>
      <c r="AD298" s="124"/>
      <c r="AE298" s="120"/>
      <c r="AF298" s="120"/>
      <c r="AG298" s="120"/>
      <c r="AH298" s="120"/>
      <c r="AI298" s="120"/>
      <c r="AJ298" s="120"/>
      <c r="AK298" s="120"/>
      <c r="AL298" s="120"/>
    </row>
    <row r="299" spans="1:38">
      <c r="A299" s="13">
        <f t="shared" si="53"/>
        <v>292</v>
      </c>
      <c r="B299" s="128"/>
      <c r="C299" s="121"/>
      <c r="D299" s="121"/>
      <c r="E299" s="120"/>
      <c r="F299" s="121"/>
      <c r="G299" s="120"/>
      <c r="H299" s="122"/>
      <c r="I299" s="120"/>
      <c r="J299" s="120"/>
      <c r="K299" s="120"/>
      <c r="L299" s="120"/>
      <c r="M299" s="164">
        <f t="shared" si="48"/>
        <v>0</v>
      </c>
      <c r="N299" s="164"/>
      <c r="O299" s="164"/>
      <c r="P299" s="124">
        <f t="shared" si="49"/>
        <v>0</v>
      </c>
      <c r="Q299" s="120" t="e">
        <f t="shared" si="51"/>
        <v>#DIV/0!</v>
      </c>
      <c r="R299" s="168">
        <f t="shared" si="52"/>
        <v>0</v>
      </c>
      <c r="S299" s="168">
        <f t="shared" si="50"/>
        <v>0</v>
      </c>
      <c r="T299" s="125"/>
      <c r="U299" s="124"/>
      <c r="V299" s="120"/>
      <c r="W299" s="125"/>
      <c r="X299" s="125"/>
      <c r="Y299" s="166"/>
      <c r="Z299" s="168"/>
      <c r="AA299" s="168"/>
      <c r="AB299" s="168"/>
      <c r="AC299" s="168"/>
      <c r="AD299" s="124"/>
      <c r="AE299" s="120"/>
      <c r="AF299" s="120"/>
      <c r="AG299" s="120"/>
      <c r="AH299" s="120"/>
      <c r="AI299" s="120"/>
      <c r="AJ299" s="120"/>
      <c r="AK299" s="120"/>
      <c r="AL299" s="120"/>
    </row>
    <row r="300" spans="1:38">
      <c r="A300" s="13">
        <f t="shared" si="53"/>
        <v>293</v>
      </c>
      <c r="B300" s="128"/>
      <c r="C300" s="121"/>
      <c r="D300" s="121"/>
      <c r="E300" s="120"/>
      <c r="F300" s="121"/>
      <c r="G300" s="120"/>
      <c r="H300" s="122"/>
      <c r="I300" s="120"/>
      <c r="J300" s="120"/>
      <c r="K300" s="120"/>
      <c r="L300" s="120"/>
      <c r="M300" s="164">
        <f t="shared" si="48"/>
        <v>0</v>
      </c>
      <c r="N300" s="164"/>
      <c r="O300" s="164"/>
      <c r="P300" s="124">
        <f t="shared" si="49"/>
        <v>0</v>
      </c>
      <c r="Q300" s="120" t="e">
        <f t="shared" si="51"/>
        <v>#DIV/0!</v>
      </c>
      <c r="R300" s="168">
        <f t="shared" si="52"/>
        <v>0</v>
      </c>
      <c r="S300" s="168">
        <f t="shared" si="50"/>
        <v>0</v>
      </c>
      <c r="T300" s="125"/>
      <c r="U300" s="124"/>
      <c r="V300" s="120"/>
      <c r="W300" s="125"/>
      <c r="X300" s="125"/>
      <c r="Y300" s="166"/>
      <c r="Z300" s="168"/>
      <c r="AA300" s="168"/>
      <c r="AB300" s="168"/>
      <c r="AC300" s="168"/>
      <c r="AD300" s="124"/>
      <c r="AE300" s="120"/>
      <c r="AF300" s="120"/>
      <c r="AG300" s="120"/>
      <c r="AH300" s="120"/>
      <c r="AI300" s="120"/>
      <c r="AJ300" s="120"/>
      <c r="AK300" s="120"/>
      <c r="AL300" s="120"/>
    </row>
    <row r="301" spans="1:38">
      <c r="A301" s="13">
        <f t="shared" si="53"/>
        <v>294</v>
      </c>
      <c r="B301" s="128"/>
      <c r="C301" s="121"/>
      <c r="D301" s="121"/>
      <c r="E301" s="120"/>
      <c r="F301" s="121"/>
      <c r="G301" s="120"/>
      <c r="H301" s="122"/>
      <c r="I301" s="120"/>
      <c r="J301" s="120"/>
      <c r="K301" s="120"/>
      <c r="L301" s="120"/>
      <c r="M301" s="164">
        <f t="shared" si="48"/>
        <v>0</v>
      </c>
      <c r="N301" s="164"/>
      <c r="O301" s="164"/>
      <c r="P301" s="124">
        <f t="shared" si="49"/>
        <v>0</v>
      </c>
      <c r="Q301" s="120" t="e">
        <f t="shared" si="51"/>
        <v>#DIV/0!</v>
      </c>
      <c r="R301" s="168">
        <f t="shared" si="52"/>
        <v>0</v>
      </c>
      <c r="S301" s="168">
        <f t="shared" si="50"/>
        <v>0</v>
      </c>
      <c r="T301" s="125"/>
      <c r="U301" s="124"/>
      <c r="V301" s="120"/>
      <c r="W301" s="125"/>
      <c r="X301" s="125"/>
      <c r="Y301" s="166"/>
      <c r="Z301" s="168"/>
      <c r="AA301" s="168"/>
      <c r="AB301" s="168"/>
      <c r="AC301" s="168"/>
      <c r="AD301" s="124"/>
      <c r="AE301" s="120"/>
      <c r="AF301" s="120"/>
      <c r="AG301" s="120"/>
      <c r="AH301" s="120"/>
      <c r="AI301" s="120"/>
      <c r="AJ301" s="120"/>
      <c r="AK301" s="120"/>
      <c r="AL301" s="120"/>
    </row>
    <row r="302" spans="1:38">
      <c r="A302" s="13">
        <f t="shared" si="53"/>
        <v>295</v>
      </c>
      <c r="B302" s="128"/>
      <c r="C302" s="121"/>
      <c r="D302" s="121"/>
      <c r="E302" s="120"/>
      <c r="F302" s="121"/>
      <c r="G302" s="120"/>
      <c r="H302" s="122"/>
      <c r="I302" s="120"/>
      <c r="J302" s="120"/>
      <c r="K302" s="120"/>
      <c r="L302" s="120"/>
      <c r="M302" s="164">
        <f t="shared" si="48"/>
        <v>0</v>
      </c>
      <c r="N302" s="164"/>
      <c r="O302" s="164"/>
      <c r="P302" s="124">
        <f t="shared" si="49"/>
        <v>0</v>
      </c>
      <c r="Q302" s="120" t="e">
        <f t="shared" si="51"/>
        <v>#DIV/0!</v>
      </c>
      <c r="R302" s="168">
        <f t="shared" si="52"/>
        <v>0</v>
      </c>
      <c r="S302" s="168">
        <f t="shared" si="50"/>
        <v>0</v>
      </c>
      <c r="T302" s="125"/>
      <c r="U302" s="124"/>
      <c r="V302" s="120"/>
      <c r="W302" s="125"/>
      <c r="X302" s="125"/>
      <c r="Y302" s="166"/>
      <c r="Z302" s="168"/>
      <c r="AA302" s="168"/>
      <c r="AB302" s="168"/>
      <c r="AC302" s="168"/>
      <c r="AD302" s="124"/>
      <c r="AE302" s="120"/>
      <c r="AF302" s="120"/>
      <c r="AG302" s="120"/>
      <c r="AH302" s="120"/>
      <c r="AI302" s="120"/>
      <c r="AJ302" s="120"/>
      <c r="AK302" s="120"/>
      <c r="AL302" s="120"/>
    </row>
    <row r="303" spans="1:38">
      <c r="A303" s="13">
        <f t="shared" si="53"/>
        <v>296</v>
      </c>
      <c r="B303" s="128"/>
      <c r="C303" s="121"/>
      <c r="D303" s="121"/>
      <c r="E303" s="120"/>
      <c r="F303" s="121"/>
      <c r="G303" s="120"/>
      <c r="H303" s="122"/>
      <c r="I303" s="120"/>
      <c r="J303" s="120"/>
      <c r="K303" s="120"/>
      <c r="L303" s="120"/>
      <c r="M303" s="164">
        <f t="shared" si="48"/>
        <v>0</v>
      </c>
      <c r="N303" s="164"/>
      <c r="O303" s="164"/>
      <c r="P303" s="124">
        <f t="shared" si="49"/>
        <v>0</v>
      </c>
      <c r="Q303" s="120" t="e">
        <f t="shared" si="51"/>
        <v>#DIV/0!</v>
      </c>
      <c r="R303" s="168">
        <f t="shared" si="52"/>
        <v>0</v>
      </c>
      <c r="S303" s="168">
        <f t="shared" si="50"/>
        <v>0</v>
      </c>
      <c r="T303" s="125"/>
      <c r="U303" s="124"/>
      <c r="V303" s="120"/>
      <c r="W303" s="125"/>
      <c r="X303" s="125"/>
      <c r="Y303" s="166"/>
      <c r="Z303" s="168"/>
      <c r="AA303" s="168"/>
      <c r="AB303" s="168"/>
      <c r="AC303" s="168"/>
      <c r="AD303" s="124"/>
      <c r="AE303" s="120"/>
      <c r="AF303" s="120"/>
      <c r="AG303" s="120"/>
      <c r="AH303" s="120"/>
      <c r="AI303" s="120"/>
      <c r="AJ303" s="120"/>
      <c r="AK303" s="120"/>
      <c r="AL303" s="120"/>
    </row>
    <row r="304" spans="1:38">
      <c r="A304" s="13">
        <f t="shared" si="53"/>
        <v>297</v>
      </c>
      <c r="B304" s="128"/>
      <c r="C304" s="121"/>
      <c r="D304" s="121"/>
      <c r="E304" s="120"/>
      <c r="F304" s="121"/>
      <c r="G304" s="120"/>
      <c r="H304" s="122"/>
      <c r="I304" s="120"/>
      <c r="J304" s="120"/>
      <c r="K304" s="120"/>
      <c r="L304" s="120"/>
      <c r="M304" s="164">
        <f t="shared" si="48"/>
        <v>0</v>
      </c>
      <c r="N304" s="164"/>
      <c r="O304" s="164"/>
      <c r="P304" s="124">
        <f t="shared" si="49"/>
        <v>0</v>
      </c>
      <c r="Q304" s="120" t="e">
        <f t="shared" si="51"/>
        <v>#DIV/0!</v>
      </c>
      <c r="R304" s="168">
        <f t="shared" si="52"/>
        <v>0</v>
      </c>
      <c r="S304" s="168">
        <f t="shared" si="50"/>
        <v>0</v>
      </c>
      <c r="T304" s="125"/>
      <c r="U304" s="124"/>
      <c r="V304" s="120"/>
      <c r="W304" s="125"/>
      <c r="X304" s="125"/>
      <c r="Y304" s="166"/>
      <c r="Z304" s="168"/>
      <c r="AA304" s="168"/>
      <c r="AB304" s="168"/>
      <c r="AC304" s="168"/>
      <c r="AD304" s="124"/>
      <c r="AE304" s="120"/>
      <c r="AF304" s="120"/>
      <c r="AG304" s="120"/>
      <c r="AH304" s="120"/>
      <c r="AI304" s="120"/>
      <c r="AJ304" s="120"/>
      <c r="AK304" s="120"/>
      <c r="AL304" s="120"/>
    </row>
    <row r="305" spans="1:38">
      <c r="A305" s="13">
        <f t="shared" si="53"/>
        <v>298</v>
      </c>
      <c r="B305" s="128"/>
      <c r="C305" s="121"/>
      <c r="D305" s="121"/>
      <c r="E305" s="120"/>
      <c r="F305" s="121"/>
      <c r="G305" s="120"/>
      <c r="H305" s="122"/>
      <c r="I305" s="120"/>
      <c r="J305" s="120"/>
      <c r="K305" s="120"/>
      <c r="L305" s="120"/>
      <c r="M305" s="164">
        <f t="shared" si="48"/>
        <v>0</v>
      </c>
      <c r="N305" s="164"/>
      <c r="O305" s="164"/>
      <c r="P305" s="124">
        <f t="shared" si="49"/>
        <v>0</v>
      </c>
      <c r="Q305" s="120" t="e">
        <f t="shared" si="51"/>
        <v>#DIV/0!</v>
      </c>
      <c r="R305" s="168">
        <f t="shared" si="52"/>
        <v>0</v>
      </c>
      <c r="S305" s="168">
        <f t="shared" si="50"/>
        <v>0</v>
      </c>
      <c r="T305" s="125"/>
      <c r="U305" s="124"/>
      <c r="V305" s="120"/>
      <c r="W305" s="125"/>
      <c r="X305" s="125"/>
      <c r="Y305" s="166"/>
      <c r="Z305" s="168"/>
      <c r="AA305" s="168"/>
      <c r="AB305" s="168"/>
      <c r="AC305" s="168"/>
      <c r="AD305" s="124"/>
      <c r="AE305" s="120"/>
      <c r="AF305" s="120"/>
      <c r="AG305" s="120"/>
      <c r="AH305" s="120"/>
      <c r="AI305" s="120"/>
      <c r="AJ305" s="120"/>
      <c r="AK305" s="120"/>
      <c r="AL305" s="120"/>
    </row>
    <row r="306" spans="1:38">
      <c r="A306" s="13">
        <f t="shared" si="53"/>
        <v>299</v>
      </c>
      <c r="B306" s="128"/>
      <c r="C306" s="121"/>
      <c r="D306" s="121"/>
      <c r="E306" s="120"/>
      <c r="F306" s="121"/>
      <c r="G306" s="120"/>
      <c r="H306" s="122"/>
      <c r="I306" s="120"/>
      <c r="J306" s="120"/>
      <c r="K306" s="120"/>
      <c r="L306" s="120"/>
      <c r="M306" s="164">
        <f t="shared" si="48"/>
        <v>0</v>
      </c>
      <c r="N306" s="164"/>
      <c r="O306" s="164"/>
      <c r="P306" s="124">
        <f t="shared" si="49"/>
        <v>0</v>
      </c>
      <c r="Q306" s="120" t="e">
        <f t="shared" si="51"/>
        <v>#DIV/0!</v>
      </c>
      <c r="R306" s="168">
        <f t="shared" si="52"/>
        <v>0</v>
      </c>
      <c r="S306" s="168">
        <f t="shared" si="50"/>
        <v>0</v>
      </c>
      <c r="T306" s="125"/>
      <c r="U306" s="124"/>
      <c r="V306" s="120"/>
      <c r="W306" s="125"/>
      <c r="X306" s="125"/>
      <c r="Y306" s="166"/>
      <c r="Z306" s="168"/>
      <c r="AA306" s="168"/>
      <c r="AB306" s="168"/>
      <c r="AC306" s="168"/>
      <c r="AD306" s="124"/>
      <c r="AE306" s="120"/>
      <c r="AF306" s="120"/>
      <c r="AG306" s="120"/>
      <c r="AH306" s="120"/>
      <c r="AI306" s="120"/>
      <c r="AJ306" s="120"/>
      <c r="AK306" s="120"/>
      <c r="AL306" s="120"/>
    </row>
    <row r="307" spans="1:38">
      <c r="A307" s="13">
        <f t="shared" si="53"/>
        <v>300</v>
      </c>
      <c r="B307" s="128"/>
      <c r="C307" s="121"/>
      <c r="D307" s="121"/>
      <c r="E307" s="120"/>
      <c r="F307" s="121"/>
      <c r="G307" s="120"/>
      <c r="H307" s="122"/>
      <c r="I307" s="120"/>
      <c r="J307" s="120"/>
      <c r="K307" s="120"/>
      <c r="L307" s="120"/>
      <c r="M307" s="164">
        <f t="shared" si="48"/>
        <v>0</v>
      </c>
      <c r="N307" s="164"/>
      <c r="O307" s="164"/>
      <c r="P307" s="124">
        <f t="shared" si="49"/>
        <v>0</v>
      </c>
      <c r="Q307" s="120" t="e">
        <f t="shared" si="51"/>
        <v>#DIV/0!</v>
      </c>
      <c r="R307" s="168">
        <f t="shared" si="52"/>
        <v>0</v>
      </c>
      <c r="S307" s="168">
        <f t="shared" si="50"/>
        <v>0</v>
      </c>
      <c r="T307" s="125"/>
      <c r="U307" s="124"/>
      <c r="V307" s="120"/>
      <c r="W307" s="125"/>
      <c r="X307" s="125"/>
      <c r="Y307" s="166"/>
      <c r="Z307" s="168"/>
      <c r="AA307" s="168"/>
      <c r="AB307" s="168"/>
      <c r="AC307" s="168"/>
      <c r="AD307" s="124"/>
      <c r="AE307" s="120"/>
      <c r="AF307" s="120"/>
      <c r="AG307" s="120"/>
      <c r="AH307" s="120"/>
      <c r="AI307" s="120"/>
      <c r="AJ307" s="120"/>
      <c r="AK307" s="120"/>
      <c r="AL307" s="120"/>
    </row>
    <row r="308" spans="1:38">
      <c r="A308" s="13">
        <f t="shared" si="53"/>
        <v>301</v>
      </c>
      <c r="B308" s="128"/>
      <c r="C308" s="121"/>
      <c r="D308" s="121"/>
      <c r="E308" s="120"/>
      <c r="F308" s="121"/>
      <c r="G308" s="120"/>
      <c r="H308" s="122"/>
      <c r="I308" s="120"/>
      <c r="J308" s="120"/>
      <c r="K308" s="120"/>
      <c r="L308" s="120"/>
      <c r="M308" s="164">
        <f t="shared" si="48"/>
        <v>0</v>
      </c>
      <c r="N308" s="164"/>
      <c r="O308" s="164"/>
      <c r="P308" s="124">
        <f t="shared" si="49"/>
        <v>0</v>
      </c>
      <c r="Q308" s="120" t="e">
        <f t="shared" si="51"/>
        <v>#DIV/0!</v>
      </c>
      <c r="R308" s="168">
        <f t="shared" si="52"/>
        <v>0</v>
      </c>
      <c r="S308" s="168">
        <f t="shared" si="50"/>
        <v>0</v>
      </c>
      <c r="T308" s="125"/>
      <c r="U308" s="124"/>
      <c r="V308" s="120"/>
      <c r="W308" s="125"/>
      <c r="X308" s="125"/>
      <c r="Y308" s="166"/>
      <c r="Z308" s="168"/>
      <c r="AA308" s="168"/>
      <c r="AB308" s="168"/>
      <c r="AC308" s="168"/>
      <c r="AD308" s="124"/>
      <c r="AE308" s="120"/>
      <c r="AF308" s="120"/>
      <c r="AG308" s="120"/>
      <c r="AH308" s="120"/>
      <c r="AI308" s="120"/>
      <c r="AJ308" s="120"/>
      <c r="AK308" s="120"/>
      <c r="AL308" s="120"/>
    </row>
    <row r="309" spans="1:38">
      <c r="A309" s="13">
        <f t="shared" si="53"/>
        <v>302</v>
      </c>
      <c r="B309" s="128"/>
      <c r="C309" s="121"/>
      <c r="D309" s="121"/>
      <c r="E309" s="120"/>
      <c r="F309" s="121"/>
      <c r="G309" s="120"/>
      <c r="H309" s="122"/>
      <c r="I309" s="120"/>
      <c r="J309" s="120"/>
      <c r="K309" s="120"/>
      <c r="L309" s="120"/>
      <c r="M309" s="164">
        <f t="shared" ref="M309:M316" si="54">J309*(1+$M$6*IF(C309="B",-1,1))</f>
        <v>0</v>
      </c>
      <c r="N309" s="164"/>
      <c r="O309" s="164"/>
      <c r="P309" s="124">
        <f t="shared" ref="P309:P316" si="55">IF(AND(K309&lt;&gt;0,I309&lt;&gt;0),(IF(C309="B",1,-1))*(K309-J309)*I309-AL309*2,0)</f>
        <v>0</v>
      </c>
      <c r="Q309" s="120" t="e">
        <f t="shared" si="51"/>
        <v>#DIV/0!</v>
      </c>
      <c r="R309" s="168">
        <f t="shared" si="52"/>
        <v>0</v>
      </c>
      <c r="S309" s="168">
        <f t="shared" ref="S309:S316" si="56">(Y309-J309)*I309*IF(C309="B",1,-1)*IF(K309=0,1,0)</f>
        <v>0</v>
      </c>
      <c r="T309" s="125"/>
      <c r="U309" s="124"/>
      <c r="V309" s="120"/>
      <c r="W309" s="125"/>
      <c r="X309" s="125"/>
      <c r="Y309" s="166"/>
      <c r="Z309" s="168"/>
      <c r="AA309" s="168"/>
      <c r="AB309" s="168"/>
      <c r="AC309" s="168"/>
      <c r="AD309" s="124"/>
      <c r="AE309" s="120"/>
      <c r="AF309" s="120"/>
      <c r="AG309" s="120"/>
      <c r="AH309" s="120"/>
      <c r="AI309" s="120"/>
      <c r="AJ309" s="120"/>
      <c r="AK309" s="120"/>
      <c r="AL309" s="120"/>
    </row>
    <row r="310" spans="1:38">
      <c r="A310" s="13">
        <f t="shared" si="53"/>
        <v>303</v>
      </c>
      <c r="B310" s="128"/>
      <c r="C310" s="121"/>
      <c r="D310" s="121"/>
      <c r="E310" s="120"/>
      <c r="F310" s="121"/>
      <c r="G310" s="120"/>
      <c r="H310" s="122"/>
      <c r="I310" s="120"/>
      <c r="J310" s="120"/>
      <c r="K310" s="120"/>
      <c r="L310" s="120"/>
      <c r="M310" s="164">
        <f t="shared" si="54"/>
        <v>0</v>
      </c>
      <c r="N310" s="164"/>
      <c r="O310" s="164"/>
      <c r="P310" s="124">
        <f t="shared" si="55"/>
        <v>0</v>
      </c>
      <c r="Q310" s="120" t="e">
        <f t="shared" si="51"/>
        <v>#DIV/0!</v>
      </c>
      <c r="R310" s="168">
        <f t="shared" si="52"/>
        <v>0</v>
      </c>
      <c r="S310" s="168">
        <f t="shared" si="56"/>
        <v>0</v>
      </c>
      <c r="T310" s="125"/>
      <c r="U310" s="124"/>
      <c r="V310" s="120"/>
      <c r="W310" s="125"/>
      <c r="X310" s="125"/>
      <c r="Y310" s="166"/>
      <c r="Z310" s="168"/>
      <c r="AA310" s="168"/>
      <c r="AB310" s="168"/>
      <c r="AC310" s="168"/>
      <c r="AD310" s="124"/>
      <c r="AE310" s="120"/>
      <c r="AF310" s="120"/>
      <c r="AG310" s="120"/>
      <c r="AH310" s="120"/>
      <c r="AI310" s="120"/>
      <c r="AJ310" s="120"/>
      <c r="AK310" s="120"/>
      <c r="AL310" s="120"/>
    </row>
    <row r="311" spans="1:38">
      <c r="A311" s="13">
        <f t="shared" si="53"/>
        <v>304</v>
      </c>
      <c r="B311" s="128"/>
      <c r="C311" s="121"/>
      <c r="D311" s="121"/>
      <c r="E311" s="120"/>
      <c r="F311" s="121"/>
      <c r="G311" s="120"/>
      <c r="H311" s="122"/>
      <c r="I311" s="120"/>
      <c r="J311" s="120"/>
      <c r="K311" s="120"/>
      <c r="L311" s="120"/>
      <c r="M311" s="164">
        <f t="shared" si="54"/>
        <v>0</v>
      </c>
      <c r="N311" s="164"/>
      <c r="O311" s="164"/>
      <c r="P311" s="124">
        <f t="shared" si="55"/>
        <v>0</v>
      </c>
      <c r="Q311" s="120" t="e">
        <f t="shared" si="51"/>
        <v>#DIV/0!</v>
      </c>
      <c r="R311" s="168">
        <f t="shared" si="52"/>
        <v>0</v>
      </c>
      <c r="S311" s="168">
        <f t="shared" si="56"/>
        <v>0</v>
      </c>
      <c r="T311" s="125"/>
      <c r="U311" s="124"/>
      <c r="V311" s="120"/>
      <c r="W311" s="125"/>
      <c r="X311" s="125"/>
      <c r="Y311" s="166"/>
      <c r="Z311" s="168"/>
      <c r="AA311" s="168"/>
      <c r="AB311" s="168"/>
      <c r="AC311" s="168"/>
      <c r="AD311" s="124"/>
      <c r="AE311" s="120"/>
      <c r="AF311" s="120"/>
      <c r="AG311" s="120"/>
      <c r="AH311" s="120"/>
      <c r="AI311" s="120"/>
      <c r="AJ311" s="120"/>
      <c r="AK311" s="120"/>
      <c r="AL311" s="120"/>
    </row>
    <row r="312" spans="1:38">
      <c r="A312" s="13">
        <f t="shared" si="53"/>
        <v>305</v>
      </c>
      <c r="B312" s="128"/>
      <c r="C312" s="121"/>
      <c r="D312" s="121"/>
      <c r="E312" s="120"/>
      <c r="F312" s="121"/>
      <c r="G312" s="120"/>
      <c r="H312" s="122"/>
      <c r="I312" s="120"/>
      <c r="J312" s="120"/>
      <c r="K312" s="120"/>
      <c r="L312" s="120"/>
      <c r="M312" s="164">
        <f t="shared" si="54"/>
        <v>0</v>
      </c>
      <c r="N312" s="164"/>
      <c r="O312" s="164"/>
      <c r="P312" s="124">
        <f t="shared" si="55"/>
        <v>0</v>
      </c>
      <c r="Q312" s="120" t="e">
        <f t="shared" si="51"/>
        <v>#DIV/0!</v>
      </c>
      <c r="R312" s="168">
        <f t="shared" si="52"/>
        <v>0</v>
      </c>
      <c r="S312" s="168">
        <f t="shared" si="56"/>
        <v>0</v>
      </c>
      <c r="T312" s="125"/>
      <c r="U312" s="124"/>
      <c r="V312" s="120"/>
      <c r="W312" s="125"/>
      <c r="X312" s="125"/>
      <c r="Y312" s="166"/>
      <c r="Z312" s="168"/>
      <c r="AA312" s="168"/>
      <c r="AB312" s="168"/>
      <c r="AC312" s="168"/>
      <c r="AD312" s="124"/>
      <c r="AE312" s="120"/>
      <c r="AF312" s="120"/>
      <c r="AG312" s="120"/>
      <c r="AH312" s="120"/>
      <c r="AI312" s="120"/>
      <c r="AJ312" s="120"/>
      <c r="AK312" s="120"/>
      <c r="AL312" s="120"/>
    </row>
    <row r="313" spans="1:38">
      <c r="A313" s="13">
        <f t="shared" si="53"/>
        <v>306</v>
      </c>
      <c r="B313" s="128"/>
      <c r="C313" s="121"/>
      <c r="D313" s="121"/>
      <c r="E313" s="120"/>
      <c r="F313" s="121"/>
      <c r="G313" s="120"/>
      <c r="H313" s="122"/>
      <c r="I313" s="120"/>
      <c r="J313" s="120"/>
      <c r="K313" s="120"/>
      <c r="L313" s="120"/>
      <c r="M313" s="164">
        <f t="shared" si="54"/>
        <v>0</v>
      </c>
      <c r="N313" s="164"/>
      <c r="O313" s="164"/>
      <c r="P313" s="124">
        <f t="shared" si="55"/>
        <v>0</v>
      </c>
      <c r="Q313" s="120" t="e">
        <f t="shared" si="51"/>
        <v>#DIV/0!</v>
      </c>
      <c r="R313" s="168">
        <f t="shared" si="52"/>
        <v>0</v>
      </c>
      <c r="S313" s="168">
        <f t="shared" si="56"/>
        <v>0</v>
      </c>
      <c r="T313" s="125"/>
      <c r="U313" s="124"/>
      <c r="V313" s="120"/>
      <c r="W313" s="125"/>
      <c r="X313" s="125"/>
      <c r="Y313" s="166"/>
      <c r="Z313" s="168"/>
      <c r="AA313" s="168"/>
      <c r="AB313" s="168"/>
      <c r="AC313" s="168"/>
      <c r="AD313" s="124"/>
      <c r="AE313" s="120"/>
      <c r="AF313" s="120"/>
      <c r="AG313" s="120"/>
      <c r="AH313" s="120"/>
      <c r="AI313" s="120"/>
      <c r="AJ313" s="120"/>
      <c r="AK313" s="120"/>
      <c r="AL313" s="120"/>
    </row>
    <row r="314" spans="1:38">
      <c r="A314" s="13">
        <f t="shared" si="53"/>
        <v>307</v>
      </c>
      <c r="B314" s="128"/>
      <c r="C314" s="121"/>
      <c r="D314" s="121"/>
      <c r="E314" s="120"/>
      <c r="F314" s="121"/>
      <c r="G314" s="120"/>
      <c r="H314" s="122"/>
      <c r="I314" s="120"/>
      <c r="J314" s="120"/>
      <c r="K314" s="120"/>
      <c r="L314" s="120"/>
      <c r="M314" s="164">
        <f t="shared" si="54"/>
        <v>0</v>
      </c>
      <c r="N314" s="164"/>
      <c r="O314" s="164"/>
      <c r="P314" s="124">
        <f t="shared" si="55"/>
        <v>0</v>
      </c>
      <c r="Q314" s="120" t="e">
        <f t="shared" si="51"/>
        <v>#DIV/0!</v>
      </c>
      <c r="R314" s="168">
        <f t="shared" si="52"/>
        <v>0</v>
      </c>
      <c r="S314" s="168">
        <f t="shared" si="56"/>
        <v>0</v>
      </c>
      <c r="T314" s="125"/>
      <c r="U314" s="124"/>
      <c r="V314" s="120"/>
      <c r="W314" s="125"/>
      <c r="X314" s="125"/>
      <c r="Y314" s="166"/>
      <c r="Z314" s="168"/>
      <c r="AA314" s="168"/>
      <c r="AB314" s="168"/>
      <c r="AC314" s="168"/>
      <c r="AD314" s="124"/>
      <c r="AE314" s="120"/>
      <c r="AF314" s="120"/>
      <c r="AG314" s="120"/>
      <c r="AH314" s="120"/>
      <c r="AI314" s="120"/>
      <c r="AJ314" s="120"/>
      <c r="AK314" s="120"/>
      <c r="AL314" s="120"/>
    </row>
    <row r="315" spans="1:38">
      <c r="A315" s="13">
        <f t="shared" si="53"/>
        <v>308</v>
      </c>
      <c r="B315" s="128"/>
      <c r="C315" s="121"/>
      <c r="D315" s="121"/>
      <c r="E315" s="120"/>
      <c r="F315" s="121"/>
      <c r="G315" s="120"/>
      <c r="H315" s="122"/>
      <c r="I315" s="120"/>
      <c r="J315" s="120"/>
      <c r="K315" s="120"/>
      <c r="L315" s="120"/>
      <c r="M315" s="164">
        <f t="shared" si="54"/>
        <v>0</v>
      </c>
      <c r="N315" s="164"/>
      <c r="O315" s="164"/>
      <c r="P315" s="124">
        <f t="shared" si="55"/>
        <v>0</v>
      </c>
      <c r="Q315" s="120" t="e">
        <f t="shared" si="51"/>
        <v>#DIV/0!</v>
      </c>
      <c r="R315" s="168">
        <f t="shared" si="52"/>
        <v>0</v>
      </c>
      <c r="S315" s="168">
        <f t="shared" si="56"/>
        <v>0</v>
      </c>
      <c r="T315" s="125"/>
      <c r="U315" s="124"/>
      <c r="V315" s="120"/>
      <c r="W315" s="125"/>
      <c r="X315" s="125"/>
      <c r="Y315" s="166"/>
      <c r="Z315" s="168"/>
      <c r="AA315" s="168"/>
      <c r="AB315" s="168"/>
      <c r="AC315" s="168"/>
      <c r="AD315" s="124"/>
      <c r="AE315" s="120"/>
      <c r="AF315" s="120"/>
      <c r="AG315" s="120"/>
      <c r="AH315" s="120"/>
      <c r="AI315" s="120"/>
      <c r="AJ315" s="120"/>
      <c r="AK315" s="120"/>
      <c r="AL315" s="120"/>
    </row>
    <row r="316" spans="1:38">
      <c r="A316" s="13">
        <f t="shared" si="53"/>
        <v>309</v>
      </c>
      <c r="B316" s="128"/>
      <c r="C316" s="121"/>
      <c r="D316" s="121"/>
      <c r="E316" s="120"/>
      <c r="F316" s="121"/>
      <c r="G316" s="120"/>
      <c r="H316" s="122"/>
      <c r="I316" s="120"/>
      <c r="J316" s="120"/>
      <c r="K316" s="120"/>
      <c r="L316" s="120"/>
      <c r="M316" s="164">
        <f t="shared" si="54"/>
        <v>0</v>
      </c>
      <c r="N316" s="164"/>
      <c r="O316" s="164"/>
      <c r="P316" s="124">
        <f t="shared" si="55"/>
        <v>0</v>
      </c>
      <c r="Q316" s="120" t="e">
        <f t="shared" si="51"/>
        <v>#DIV/0!</v>
      </c>
      <c r="R316" s="168">
        <f t="shared" si="52"/>
        <v>0</v>
      </c>
      <c r="S316" s="168">
        <f t="shared" si="56"/>
        <v>0</v>
      </c>
      <c r="T316" s="125"/>
      <c r="U316" s="124"/>
      <c r="V316" s="120"/>
      <c r="W316" s="125"/>
      <c r="X316" s="125"/>
      <c r="Y316" s="166"/>
      <c r="Z316" s="168"/>
      <c r="AA316" s="168"/>
      <c r="AB316" s="168"/>
      <c r="AC316" s="168"/>
      <c r="AD316" s="124"/>
      <c r="AE316" s="120"/>
      <c r="AF316" s="120"/>
      <c r="AG316" s="120"/>
      <c r="AH316" s="120"/>
      <c r="AI316" s="120"/>
      <c r="AJ316" s="120"/>
      <c r="AK316" s="120"/>
      <c r="AL316" s="120"/>
    </row>
  </sheetData>
  <mergeCells count="6">
    <mergeCell ref="E2:F2"/>
    <mergeCell ref="H2:I2"/>
    <mergeCell ref="J2:K2"/>
    <mergeCell ref="E3:F3"/>
    <mergeCell ref="H3:I3"/>
    <mergeCell ref="J3:K3"/>
  </mergeCells>
  <conditionalFormatting sqref="G3">
    <cfRule type="cellIs" dxfId="11" priority="1" operator="lessThan">
      <formula>0</formula>
    </cfRule>
    <cfRule type="cellIs" dxfId="10" priority="2" operator="greaterThan">
      <formula>0</formula>
    </cfRule>
  </conditionalFormatting>
  <conditionalFormatting sqref="E3">
    <cfRule type="cellIs" dxfId="9" priority="11" operator="lessThan">
      <formula>0</formula>
    </cfRule>
    <cfRule type="cellIs" dxfId="8" priority="12" operator="greaterThan">
      <formula>0</formula>
    </cfRule>
  </conditionalFormatting>
  <conditionalFormatting sqref="H3">
    <cfRule type="cellIs" dxfId="7" priority="9" operator="lessThan">
      <formula>0</formula>
    </cfRule>
    <cfRule type="cellIs" dxfId="6" priority="10" operator="greaterThan">
      <formula>0</formula>
    </cfRule>
  </conditionalFormatting>
  <conditionalFormatting sqref="J3">
    <cfRule type="cellIs" dxfId="5" priority="7" operator="lessThan">
      <formula>0</formula>
    </cfRule>
    <cfRule type="cellIs" dxfId="4" priority="8" operator="greaterThan">
      <formula>0</formula>
    </cfRule>
  </conditionalFormatting>
  <conditionalFormatting sqref="P3">
    <cfRule type="cellIs" dxfId="3" priority="5" operator="lessThan">
      <formula>0</formula>
    </cfRule>
    <cfRule type="cellIs" dxfId="2" priority="6" operator="greaterThan">
      <formula>0</formula>
    </cfRule>
  </conditionalFormatting>
  <conditionalFormatting sqref="M3:O3">
    <cfRule type="cellIs" dxfId="1" priority="3" operator="lessThan">
      <formula>0</formula>
    </cfRule>
    <cfRule type="cellIs" dxfId="0" priority="4"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77"/>
  <sheetViews>
    <sheetView workbookViewId="0">
      <selection activeCell="B2" sqref="B2:C177"/>
    </sheetView>
  </sheetViews>
  <sheetFormatPr defaultRowHeight="15"/>
  <cols>
    <col min="2" max="2" width="14.5703125" bestFit="1" customWidth="1"/>
    <col min="3" max="3" width="14.5703125" customWidth="1"/>
  </cols>
  <sheetData>
    <row r="1" spans="1:20">
      <c r="A1" t="s">
        <v>148</v>
      </c>
      <c r="B1" t="s">
        <v>149</v>
      </c>
      <c r="D1" s="39">
        <v>44440</v>
      </c>
      <c r="E1" s="39">
        <v>44470</v>
      </c>
      <c r="F1" s="39">
        <v>44501</v>
      </c>
      <c r="G1" s="39">
        <v>44531</v>
      </c>
      <c r="H1" s="39">
        <v>44621</v>
      </c>
      <c r="I1" s="39">
        <v>44713</v>
      </c>
      <c r="J1" s="39">
        <v>44896</v>
      </c>
      <c r="K1" s="39">
        <v>45078</v>
      </c>
      <c r="L1" s="39">
        <v>45261</v>
      </c>
      <c r="M1" s="39">
        <v>45444</v>
      </c>
      <c r="N1" s="39">
        <v>45627</v>
      </c>
      <c r="O1" s="39">
        <v>45809</v>
      </c>
      <c r="P1" s="39">
        <v>45992</v>
      </c>
      <c r="Q1" s="39">
        <v>46174</v>
      </c>
    </row>
    <row r="2" spans="1:20">
      <c r="A2" t="s">
        <v>150</v>
      </c>
      <c r="B2" t="s">
        <v>506</v>
      </c>
      <c r="C2" t="s">
        <v>89</v>
      </c>
      <c r="D2">
        <v>25</v>
      </c>
      <c r="E2">
        <v>25</v>
      </c>
      <c r="F2">
        <v>25</v>
      </c>
      <c r="G2">
        <v>25</v>
      </c>
      <c r="H2">
        <v>25</v>
      </c>
      <c r="I2">
        <v>25</v>
      </c>
      <c r="J2" t="s">
        <v>151</v>
      </c>
      <c r="K2" t="s">
        <v>151</v>
      </c>
      <c r="L2" t="s">
        <v>151</v>
      </c>
      <c r="M2" t="s">
        <v>151</v>
      </c>
      <c r="N2" t="s">
        <v>151</v>
      </c>
      <c r="O2" t="s">
        <v>151</v>
      </c>
      <c r="P2" t="s">
        <v>151</v>
      </c>
      <c r="Q2" t="s">
        <v>151</v>
      </c>
      <c r="S2" t="str">
        <f>TRIM(B2)</f>
        <v>BANKNIFTY</v>
      </c>
      <c r="T2" t="str">
        <f>TRIM(C2)</f>
        <v>NIFTY BANK</v>
      </c>
    </row>
    <row r="3" spans="1:20">
      <c r="A3" t="s">
        <v>152</v>
      </c>
      <c r="B3" t="s">
        <v>502</v>
      </c>
      <c r="C3" t="s">
        <v>88</v>
      </c>
      <c r="D3">
        <v>50</v>
      </c>
      <c r="E3">
        <v>50</v>
      </c>
      <c r="F3">
        <v>50</v>
      </c>
      <c r="G3">
        <v>50</v>
      </c>
      <c r="H3">
        <v>50</v>
      </c>
      <c r="I3">
        <v>50</v>
      </c>
      <c r="J3">
        <v>50</v>
      </c>
      <c r="K3">
        <v>50</v>
      </c>
      <c r="L3">
        <v>50</v>
      </c>
      <c r="M3">
        <v>50</v>
      </c>
      <c r="N3">
        <v>50</v>
      </c>
      <c r="O3">
        <v>50</v>
      </c>
      <c r="P3">
        <v>50</v>
      </c>
      <c r="Q3">
        <v>50</v>
      </c>
      <c r="S3" t="str">
        <f t="shared" ref="S3:S66" si="0">TRIM(B3)</f>
        <v>NIFTY</v>
      </c>
      <c r="T3" t="str">
        <f t="shared" ref="T3:T66" si="1">TRIM(C3)</f>
        <v>NIFTY 50</v>
      </c>
    </row>
    <row r="4" spans="1:20">
      <c r="A4" t="s">
        <v>153</v>
      </c>
      <c r="B4" t="s">
        <v>638</v>
      </c>
      <c r="C4" t="s">
        <v>507</v>
      </c>
      <c r="D4">
        <v>40</v>
      </c>
      <c r="E4">
        <v>40</v>
      </c>
      <c r="F4">
        <v>40</v>
      </c>
      <c r="G4" t="s">
        <v>151</v>
      </c>
      <c r="H4" t="s">
        <v>151</v>
      </c>
      <c r="I4" t="s">
        <v>151</v>
      </c>
      <c r="J4" t="s">
        <v>151</v>
      </c>
      <c r="K4" t="s">
        <v>151</v>
      </c>
      <c r="L4" t="s">
        <v>151</v>
      </c>
      <c r="M4" t="s">
        <v>151</v>
      </c>
      <c r="N4" t="s">
        <v>151</v>
      </c>
      <c r="O4" t="s">
        <v>151</v>
      </c>
      <c r="P4" t="s">
        <v>151</v>
      </c>
      <c r="Q4" t="s">
        <v>151</v>
      </c>
      <c r="S4" t="str">
        <f t="shared" si="0"/>
        <v>FINNIFTY</v>
      </c>
      <c r="T4" t="str">
        <f t="shared" si="1"/>
        <v>NIFTY FINANCIAL SERVICES</v>
      </c>
    </row>
    <row r="5" spans="1:20">
      <c r="A5" t="s">
        <v>154</v>
      </c>
      <c r="B5" t="s">
        <v>2</v>
      </c>
      <c r="C5" t="s">
        <v>639</v>
      </c>
      <c r="D5" s="39">
        <v>44440</v>
      </c>
      <c r="E5" s="39">
        <v>44470</v>
      </c>
      <c r="F5" s="39">
        <v>44501</v>
      </c>
      <c r="G5" t="s">
        <v>151</v>
      </c>
      <c r="H5" t="s">
        <v>151</v>
      </c>
      <c r="I5" t="s">
        <v>151</v>
      </c>
      <c r="J5" t="s">
        <v>151</v>
      </c>
      <c r="K5" t="s">
        <v>151</v>
      </c>
      <c r="L5" t="s">
        <v>151</v>
      </c>
      <c r="M5" t="s">
        <v>151</v>
      </c>
      <c r="N5" t="s">
        <v>151</v>
      </c>
      <c r="O5" t="s">
        <v>151</v>
      </c>
      <c r="P5" t="s">
        <v>151</v>
      </c>
      <c r="Q5" t="s">
        <v>151</v>
      </c>
      <c r="S5" t="str">
        <f t="shared" si="0"/>
        <v>Symbol</v>
      </c>
      <c r="T5" t="str">
        <f t="shared" si="1"/>
        <v/>
      </c>
    </row>
    <row r="6" spans="1:20">
      <c r="A6" t="s">
        <v>155</v>
      </c>
      <c r="B6" t="s">
        <v>91</v>
      </c>
      <c r="C6" t="s">
        <v>91</v>
      </c>
      <c r="D6">
        <v>500</v>
      </c>
      <c r="E6">
        <v>500</v>
      </c>
      <c r="F6">
        <v>500</v>
      </c>
      <c r="G6" t="s">
        <v>151</v>
      </c>
      <c r="I6" t="s">
        <v>151</v>
      </c>
      <c r="J6" t="s">
        <v>151</v>
      </c>
      <c r="K6" t="s">
        <v>151</v>
      </c>
      <c r="L6" t="s">
        <v>151</v>
      </c>
      <c r="M6" t="s">
        <v>151</v>
      </c>
      <c r="N6" t="s">
        <v>151</v>
      </c>
      <c r="O6" t="s">
        <v>151</v>
      </c>
      <c r="P6" t="s">
        <v>151</v>
      </c>
      <c r="Q6" t="s">
        <v>151</v>
      </c>
      <c r="S6" t="str">
        <f t="shared" si="0"/>
        <v>ACC</v>
      </c>
      <c r="T6" t="str">
        <f t="shared" si="1"/>
        <v>ACC</v>
      </c>
    </row>
    <row r="7" spans="1:20">
      <c r="A7" t="s">
        <v>156</v>
      </c>
      <c r="B7" t="s">
        <v>157</v>
      </c>
      <c r="C7" t="s">
        <v>157</v>
      </c>
      <c r="D7">
        <v>1250</v>
      </c>
      <c r="E7">
        <v>1250</v>
      </c>
      <c r="F7">
        <v>1250</v>
      </c>
      <c r="G7" t="s">
        <v>151</v>
      </c>
      <c r="I7" t="s">
        <v>151</v>
      </c>
      <c r="J7" t="s">
        <v>151</v>
      </c>
      <c r="K7" t="s">
        <v>151</v>
      </c>
      <c r="L7" t="s">
        <v>151</v>
      </c>
      <c r="M7" t="s">
        <v>151</v>
      </c>
      <c r="N7" t="s">
        <v>151</v>
      </c>
      <c r="O7" t="s">
        <v>151</v>
      </c>
      <c r="P7" t="s">
        <v>151</v>
      </c>
      <c r="Q7" t="s">
        <v>151</v>
      </c>
      <c r="S7" t="str">
        <f t="shared" si="0"/>
        <v>ADANIPORTS</v>
      </c>
      <c r="T7" t="str">
        <f t="shared" si="1"/>
        <v>ADANIPORTS</v>
      </c>
    </row>
    <row r="8" spans="1:20">
      <c r="A8" t="s">
        <v>158</v>
      </c>
      <c r="B8" t="s">
        <v>359</v>
      </c>
      <c r="C8" t="s">
        <v>359</v>
      </c>
      <c r="D8">
        <v>850</v>
      </c>
      <c r="E8">
        <v>850</v>
      </c>
      <c r="F8">
        <v>850</v>
      </c>
      <c r="G8" t="s">
        <v>151</v>
      </c>
      <c r="I8" t="s">
        <v>151</v>
      </c>
      <c r="J8" t="s">
        <v>151</v>
      </c>
      <c r="K8" t="s">
        <v>151</v>
      </c>
      <c r="L8" t="s">
        <v>151</v>
      </c>
      <c r="M8" t="s">
        <v>151</v>
      </c>
      <c r="N8" t="s">
        <v>151</v>
      </c>
      <c r="O8" t="s">
        <v>151</v>
      </c>
      <c r="P8" t="s">
        <v>151</v>
      </c>
      <c r="Q8" t="s">
        <v>151</v>
      </c>
      <c r="S8" t="str">
        <f t="shared" si="0"/>
        <v>AARTIIND</v>
      </c>
      <c r="T8" t="str">
        <f t="shared" si="1"/>
        <v>AARTIIND</v>
      </c>
    </row>
    <row r="9" spans="1:20">
      <c r="A9" t="s">
        <v>159</v>
      </c>
      <c r="B9" t="s">
        <v>360</v>
      </c>
      <c r="C9" t="s">
        <v>360</v>
      </c>
      <c r="D9">
        <v>200</v>
      </c>
      <c r="E9">
        <v>200</v>
      </c>
      <c r="F9">
        <v>200</v>
      </c>
      <c r="G9" t="s">
        <v>151</v>
      </c>
      <c r="I9" t="s">
        <v>151</v>
      </c>
      <c r="J9" t="s">
        <v>151</v>
      </c>
      <c r="K9" t="s">
        <v>151</v>
      </c>
      <c r="L9" t="s">
        <v>151</v>
      </c>
      <c r="M9" t="s">
        <v>151</v>
      </c>
      <c r="N9" t="s">
        <v>151</v>
      </c>
      <c r="O9" t="s">
        <v>151</v>
      </c>
      <c r="P9" t="s">
        <v>151</v>
      </c>
      <c r="Q9" t="s">
        <v>151</v>
      </c>
      <c r="S9" t="str">
        <f t="shared" si="0"/>
        <v>ALKEM</v>
      </c>
      <c r="T9" t="str">
        <f t="shared" si="1"/>
        <v>ALKEM</v>
      </c>
    </row>
    <row r="10" spans="1:20">
      <c r="A10" t="s">
        <v>160</v>
      </c>
      <c r="B10" t="s">
        <v>361</v>
      </c>
      <c r="C10" t="s">
        <v>361</v>
      </c>
      <c r="D10">
        <v>4500</v>
      </c>
      <c r="E10">
        <v>4500</v>
      </c>
      <c r="F10">
        <v>4500</v>
      </c>
      <c r="G10" t="s">
        <v>151</v>
      </c>
      <c r="I10" t="s">
        <v>151</v>
      </c>
      <c r="J10" t="s">
        <v>151</v>
      </c>
      <c r="K10" t="s">
        <v>151</v>
      </c>
      <c r="L10" t="s">
        <v>151</v>
      </c>
      <c r="M10" t="s">
        <v>151</v>
      </c>
      <c r="N10" t="s">
        <v>151</v>
      </c>
      <c r="O10" t="s">
        <v>151</v>
      </c>
      <c r="P10" t="s">
        <v>151</v>
      </c>
      <c r="Q10" t="s">
        <v>151</v>
      </c>
      <c r="S10" t="str">
        <f t="shared" si="0"/>
        <v>ASHOKLEY</v>
      </c>
      <c r="T10" t="str">
        <f t="shared" si="1"/>
        <v>ASHOKLEY</v>
      </c>
    </row>
    <row r="11" spans="1:20">
      <c r="A11" t="s">
        <v>161</v>
      </c>
      <c r="B11" t="s">
        <v>96</v>
      </c>
      <c r="C11" t="s">
        <v>96</v>
      </c>
      <c r="D11">
        <v>300</v>
      </c>
      <c r="E11">
        <v>300</v>
      </c>
      <c r="F11">
        <v>300</v>
      </c>
      <c r="G11" t="s">
        <v>151</v>
      </c>
      <c r="I11" t="s">
        <v>151</v>
      </c>
      <c r="J11" t="s">
        <v>151</v>
      </c>
      <c r="K11" t="s">
        <v>151</v>
      </c>
      <c r="L11" t="s">
        <v>151</v>
      </c>
      <c r="M11" t="s">
        <v>151</v>
      </c>
      <c r="N11" t="s">
        <v>151</v>
      </c>
      <c r="O11" t="s">
        <v>151</v>
      </c>
      <c r="P11" t="s">
        <v>151</v>
      </c>
      <c r="Q11" t="s">
        <v>151</v>
      </c>
      <c r="S11" t="str">
        <f t="shared" si="0"/>
        <v>ASIANPAINT</v>
      </c>
      <c r="T11" t="str">
        <f t="shared" si="1"/>
        <v>ASIANPAINT</v>
      </c>
    </row>
    <row r="12" spans="1:20">
      <c r="A12" t="s">
        <v>162</v>
      </c>
      <c r="B12" t="s">
        <v>98</v>
      </c>
      <c r="C12" t="s">
        <v>98</v>
      </c>
      <c r="D12">
        <v>1200</v>
      </c>
      <c r="E12">
        <v>1200</v>
      </c>
      <c r="F12">
        <v>1200</v>
      </c>
      <c r="G12" t="s">
        <v>151</v>
      </c>
      <c r="I12" t="s">
        <v>151</v>
      </c>
      <c r="J12" t="s">
        <v>151</v>
      </c>
      <c r="K12" t="s">
        <v>151</v>
      </c>
      <c r="L12" t="s">
        <v>151</v>
      </c>
      <c r="M12" t="s">
        <v>151</v>
      </c>
      <c r="N12" t="s">
        <v>151</v>
      </c>
      <c r="O12" t="s">
        <v>151</v>
      </c>
      <c r="P12" t="s">
        <v>151</v>
      </c>
      <c r="Q12" t="s">
        <v>151</v>
      </c>
      <c r="S12" t="str">
        <f t="shared" si="0"/>
        <v>AXISBANK</v>
      </c>
      <c r="T12" t="str">
        <f t="shared" si="1"/>
        <v>AXISBANK</v>
      </c>
    </row>
    <row r="13" spans="1:20">
      <c r="A13" t="s">
        <v>163</v>
      </c>
      <c r="B13" t="s">
        <v>362</v>
      </c>
      <c r="C13" t="s">
        <v>362</v>
      </c>
      <c r="D13">
        <v>2600</v>
      </c>
      <c r="E13">
        <v>2600</v>
      </c>
      <c r="F13">
        <v>2600</v>
      </c>
      <c r="G13" t="s">
        <v>151</v>
      </c>
      <c r="I13" t="s">
        <v>151</v>
      </c>
      <c r="J13" t="s">
        <v>151</v>
      </c>
      <c r="K13" t="s">
        <v>151</v>
      </c>
      <c r="L13" t="s">
        <v>151</v>
      </c>
      <c r="M13" t="s">
        <v>151</v>
      </c>
      <c r="N13" t="s">
        <v>151</v>
      </c>
      <c r="O13" t="s">
        <v>151</v>
      </c>
      <c r="P13" t="s">
        <v>151</v>
      </c>
      <c r="Q13" t="s">
        <v>151</v>
      </c>
      <c r="S13" t="str">
        <f t="shared" si="0"/>
        <v>ABFRL</v>
      </c>
      <c r="T13" t="str">
        <f t="shared" si="1"/>
        <v>ABFRL</v>
      </c>
    </row>
    <row r="14" spans="1:20">
      <c r="A14" t="s">
        <v>164</v>
      </c>
      <c r="B14" t="s">
        <v>363</v>
      </c>
      <c r="C14" t="s">
        <v>363</v>
      </c>
      <c r="D14">
        <v>3000</v>
      </c>
      <c r="E14">
        <v>3000</v>
      </c>
      <c r="F14">
        <v>3000</v>
      </c>
      <c r="G14" t="s">
        <v>151</v>
      </c>
      <c r="I14" t="s">
        <v>151</v>
      </c>
      <c r="J14" t="s">
        <v>151</v>
      </c>
      <c r="K14" t="s">
        <v>151</v>
      </c>
      <c r="L14" t="s">
        <v>151</v>
      </c>
      <c r="M14" t="s">
        <v>151</v>
      </c>
      <c r="N14" t="s">
        <v>151</v>
      </c>
      <c r="O14" t="s">
        <v>151</v>
      </c>
      <c r="P14" t="s">
        <v>151</v>
      </c>
      <c r="Q14" t="s">
        <v>151</v>
      </c>
      <c r="S14" t="str">
        <f t="shared" si="0"/>
        <v>AMBUJACEM</v>
      </c>
      <c r="T14" t="str">
        <f t="shared" si="1"/>
        <v>AMBUJACEM</v>
      </c>
    </row>
    <row r="15" spans="1:20">
      <c r="A15" t="s">
        <v>165</v>
      </c>
      <c r="B15" t="s">
        <v>166</v>
      </c>
      <c r="C15" t="s">
        <v>166</v>
      </c>
      <c r="D15">
        <v>250</v>
      </c>
      <c r="E15">
        <v>250</v>
      </c>
      <c r="F15">
        <v>250</v>
      </c>
      <c r="G15" t="s">
        <v>151</v>
      </c>
      <c r="I15" t="s">
        <v>151</v>
      </c>
      <c r="J15" t="s">
        <v>151</v>
      </c>
      <c r="K15" t="s">
        <v>151</v>
      </c>
      <c r="L15" t="s">
        <v>151</v>
      </c>
      <c r="M15" t="s">
        <v>151</v>
      </c>
      <c r="N15" t="s">
        <v>151</v>
      </c>
      <c r="O15" t="s">
        <v>151</v>
      </c>
      <c r="P15" t="s">
        <v>151</v>
      </c>
      <c r="Q15" t="s">
        <v>151</v>
      </c>
      <c r="S15" t="str">
        <f t="shared" si="0"/>
        <v>APOLLOHOSP</v>
      </c>
      <c r="T15" t="str">
        <f t="shared" si="1"/>
        <v>APOLLOHOSP</v>
      </c>
    </row>
    <row r="16" spans="1:20">
      <c r="A16" t="s">
        <v>167</v>
      </c>
      <c r="B16" t="s">
        <v>168</v>
      </c>
      <c r="C16" t="s">
        <v>168</v>
      </c>
      <c r="D16">
        <v>1800</v>
      </c>
      <c r="E16">
        <v>1800</v>
      </c>
      <c r="F16">
        <v>1800</v>
      </c>
      <c r="G16" t="s">
        <v>151</v>
      </c>
      <c r="I16" t="s">
        <v>151</v>
      </c>
      <c r="J16" t="s">
        <v>151</v>
      </c>
      <c r="K16" t="s">
        <v>151</v>
      </c>
      <c r="L16" t="s">
        <v>151</v>
      </c>
      <c r="M16" t="s">
        <v>151</v>
      </c>
      <c r="N16" t="s">
        <v>151</v>
      </c>
      <c r="O16" t="s">
        <v>151</v>
      </c>
      <c r="P16" t="s">
        <v>151</v>
      </c>
      <c r="Q16" t="s">
        <v>151</v>
      </c>
      <c r="S16" t="str">
        <f t="shared" si="0"/>
        <v>BANDHANBNK</v>
      </c>
      <c r="T16" t="str">
        <f t="shared" si="1"/>
        <v>BANDHANBNK</v>
      </c>
    </row>
    <row r="17" spans="1:20">
      <c r="A17" t="s">
        <v>169</v>
      </c>
      <c r="B17" t="s">
        <v>364</v>
      </c>
      <c r="C17" t="s">
        <v>364</v>
      </c>
      <c r="D17">
        <v>1000</v>
      </c>
      <c r="E17">
        <v>1000</v>
      </c>
      <c r="F17">
        <v>1000</v>
      </c>
      <c r="G17" t="s">
        <v>151</v>
      </c>
      <c r="I17" t="s">
        <v>151</v>
      </c>
      <c r="J17" t="s">
        <v>151</v>
      </c>
      <c r="K17" t="s">
        <v>151</v>
      </c>
      <c r="L17" t="s">
        <v>151</v>
      </c>
      <c r="M17" t="s">
        <v>151</v>
      </c>
      <c r="N17" t="s">
        <v>151</v>
      </c>
      <c r="O17" t="s">
        <v>151</v>
      </c>
      <c r="P17" t="s">
        <v>151</v>
      </c>
      <c r="Q17" t="s">
        <v>151</v>
      </c>
      <c r="S17" t="str">
        <f t="shared" si="0"/>
        <v>ADANIENT</v>
      </c>
      <c r="T17" t="str">
        <f t="shared" si="1"/>
        <v>ADANIENT</v>
      </c>
    </row>
    <row r="18" spans="1:20">
      <c r="A18" t="s">
        <v>170</v>
      </c>
      <c r="B18" t="s">
        <v>365</v>
      </c>
      <c r="C18" t="s">
        <v>365</v>
      </c>
      <c r="D18">
        <v>10500</v>
      </c>
      <c r="E18">
        <v>10500</v>
      </c>
      <c r="F18">
        <v>10500</v>
      </c>
      <c r="G18" t="s">
        <v>151</v>
      </c>
      <c r="I18" t="s">
        <v>151</v>
      </c>
      <c r="J18" t="s">
        <v>151</v>
      </c>
      <c r="K18" t="s">
        <v>151</v>
      </c>
      <c r="L18" t="s">
        <v>151</v>
      </c>
      <c r="M18" t="s">
        <v>151</v>
      </c>
      <c r="N18" t="s">
        <v>151</v>
      </c>
      <c r="O18" t="s">
        <v>151</v>
      </c>
      <c r="P18" t="s">
        <v>151</v>
      </c>
      <c r="Q18" t="s">
        <v>151</v>
      </c>
      <c r="S18" t="str">
        <f t="shared" si="0"/>
        <v>BHEL</v>
      </c>
      <c r="T18" t="str">
        <f t="shared" si="1"/>
        <v>BHEL</v>
      </c>
    </row>
    <row r="19" spans="1:20">
      <c r="A19" t="s">
        <v>171</v>
      </c>
      <c r="B19" t="s">
        <v>172</v>
      </c>
      <c r="C19" t="s">
        <v>172</v>
      </c>
      <c r="D19">
        <v>1000</v>
      </c>
      <c r="E19">
        <v>1000</v>
      </c>
      <c r="F19">
        <v>1000</v>
      </c>
      <c r="G19" t="s">
        <v>151</v>
      </c>
      <c r="I19" t="s">
        <v>151</v>
      </c>
      <c r="J19" t="s">
        <v>151</v>
      </c>
      <c r="K19" t="s">
        <v>151</v>
      </c>
      <c r="L19" t="s">
        <v>151</v>
      </c>
      <c r="M19" t="s">
        <v>151</v>
      </c>
      <c r="N19" t="s">
        <v>151</v>
      </c>
      <c r="O19" t="s">
        <v>151</v>
      </c>
      <c r="P19" t="s">
        <v>151</v>
      </c>
      <c r="Q19" t="s">
        <v>151</v>
      </c>
      <c r="S19" t="str">
        <f t="shared" si="0"/>
        <v>AMARAJABAT</v>
      </c>
      <c r="T19" t="str">
        <f t="shared" si="1"/>
        <v>AMARAJABAT</v>
      </c>
    </row>
    <row r="20" spans="1:20">
      <c r="A20" t="s">
        <v>173</v>
      </c>
      <c r="B20" t="s">
        <v>366</v>
      </c>
      <c r="C20" t="s">
        <v>366</v>
      </c>
      <c r="D20">
        <v>1250</v>
      </c>
      <c r="E20">
        <v>1250</v>
      </c>
      <c r="F20">
        <v>1250</v>
      </c>
      <c r="G20" t="s">
        <v>151</v>
      </c>
      <c r="I20" t="s">
        <v>151</v>
      </c>
      <c r="J20" t="s">
        <v>151</v>
      </c>
      <c r="K20" t="s">
        <v>151</v>
      </c>
      <c r="L20" t="s">
        <v>151</v>
      </c>
      <c r="M20" t="s">
        <v>151</v>
      </c>
      <c r="N20" t="s">
        <v>151</v>
      </c>
      <c r="O20" t="s">
        <v>151</v>
      </c>
      <c r="P20" t="s">
        <v>151</v>
      </c>
      <c r="Q20" t="s">
        <v>151</v>
      </c>
      <c r="S20" t="str">
        <f t="shared" si="0"/>
        <v>DABUR</v>
      </c>
      <c r="T20" t="str">
        <f t="shared" si="1"/>
        <v>DABUR</v>
      </c>
    </row>
    <row r="21" spans="1:20">
      <c r="A21" t="s">
        <v>174</v>
      </c>
      <c r="B21" t="s">
        <v>367</v>
      </c>
      <c r="C21" t="s">
        <v>367</v>
      </c>
      <c r="D21">
        <v>500</v>
      </c>
      <c r="E21">
        <v>500</v>
      </c>
      <c r="F21">
        <v>500</v>
      </c>
      <c r="G21" t="s">
        <v>151</v>
      </c>
      <c r="I21" t="s">
        <v>151</v>
      </c>
      <c r="J21" t="s">
        <v>151</v>
      </c>
      <c r="K21" t="s">
        <v>151</v>
      </c>
      <c r="L21" t="s">
        <v>151</v>
      </c>
      <c r="M21" t="s">
        <v>151</v>
      </c>
      <c r="N21" t="s">
        <v>151</v>
      </c>
      <c r="O21" t="s">
        <v>151</v>
      </c>
      <c r="P21" t="s">
        <v>151</v>
      </c>
      <c r="Q21" t="s">
        <v>151</v>
      </c>
      <c r="S21" t="str">
        <f t="shared" si="0"/>
        <v>AUBANK</v>
      </c>
      <c r="T21" t="str">
        <f t="shared" si="1"/>
        <v>AUBANK</v>
      </c>
    </row>
    <row r="22" spans="1:20">
      <c r="A22" t="s">
        <v>175</v>
      </c>
      <c r="B22" t="s">
        <v>97</v>
      </c>
      <c r="C22" t="s">
        <v>97</v>
      </c>
      <c r="D22">
        <v>650</v>
      </c>
      <c r="E22">
        <v>650</v>
      </c>
      <c r="F22">
        <v>650</v>
      </c>
      <c r="G22" t="s">
        <v>151</v>
      </c>
      <c r="I22" t="s">
        <v>151</v>
      </c>
      <c r="J22" t="s">
        <v>151</v>
      </c>
      <c r="K22" t="s">
        <v>151</v>
      </c>
      <c r="L22" t="s">
        <v>151</v>
      </c>
      <c r="M22" t="s">
        <v>151</v>
      </c>
      <c r="N22" t="s">
        <v>151</v>
      </c>
      <c r="O22" t="s">
        <v>151</v>
      </c>
      <c r="P22" t="s">
        <v>151</v>
      </c>
      <c r="Q22" t="s">
        <v>151</v>
      </c>
      <c r="S22" t="str">
        <f t="shared" si="0"/>
        <v>AUROPHARMA</v>
      </c>
      <c r="T22" t="str">
        <f t="shared" si="1"/>
        <v>AUROPHARMA</v>
      </c>
    </row>
    <row r="23" spans="1:20">
      <c r="A23" t="s">
        <v>176</v>
      </c>
      <c r="B23" t="s">
        <v>368</v>
      </c>
      <c r="C23" t="s">
        <v>368</v>
      </c>
      <c r="D23">
        <v>500</v>
      </c>
      <c r="E23">
        <v>500</v>
      </c>
      <c r="F23">
        <v>500</v>
      </c>
      <c r="G23" t="s">
        <v>151</v>
      </c>
      <c r="I23" t="s">
        <v>151</v>
      </c>
      <c r="J23" t="s">
        <v>151</v>
      </c>
      <c r="K23" t="s">
        <v>151</v>
      </c>
      <c r="L23" t="s">
        <v>151</v>
      </c>
      <c r="M23" t="s">
        <v>151</v>
      </c>
      <c r="N23" t="s">
        <v>151</v>
      </c>
      <c r="O23" t="s">
        <v>151</v>
      </c>
      <c r="P23" t="s">
        <v>151</v>
      </c>
      <c r="Q23" t="s">
        <v>151</v>
      </c>
      <c r="S23" t="str">
        <f t="shared" si="0"/>
        <v>DEEPAKNTR</v>
      </c>
      <c r="T23" t="str">
        <f t="shared" si="1"/>
        <v>DEEPAKNTR</v>
      </c>
    </row>
    <row r="24" spans="1:20">
      <c r="A24" t="s">
        <v>177</v>
      </c>
      <c r="B24" t="s">
        <v>178</v>
      </c>
      <c r="C24" t="s">
        <v>178</v>
      </c>
      <c r="D24">
        <v>250</v>
      </c>
      <c r="E24">
        <v>250</v>
      </c>
      <c r="F24">
        <v>250</v>
      </c>
      <c r="G24" t="s">
        <v>151</v>
      </c>
      <c r="I24" t="s">
        <v>151</v>
      </c>
      <c r="J24" t="s">
        <v>151</v>
      </c>
      <c r="K24" t="s">
        <v>151</v>
      </c>
      <c r="L24" t="s">
        <v>151</v>
      </c>
      <c r="M24" t="s">
        <v>151</v>
      </c>
      <c r="N24" t="s">
        <v>151</v>
      </c>
      <c r="O24" t="s">
        <v>151</v>
      </c>
      <c r="P24" t="s">
        <v>151</v>
      </c>
      <c r="Q24" t="s">
        <v>151</v>
      </c>
      <c r="S24" t="str">
        <f t="shared" si="0"/>
        <v>BAJAJ-AUTO</v>
      </c>
      <c r="T24" t="str">
        <f t="shared" si="1"/>
        <v>BAJAJ-AUTO</v>
      </c>
    </row>
    <row r="25" spans="1:20">
      <c r="A25" t="s">
        <v>179</v>
      </c>
      <c r="B25" t="s">
        <v>99</v>
      </c>
      <c r="C25" t="s">
        <v>99</v>
      </c>
      <c r="D25">
        <v>75</v>
      </c>
      <c r="E25">
        <v>75</v>
      </c>
      <c r="F25">
        <v>75</v>
      </c>
      <c r="G25" t="s">
        <v>151</v>
      </c>
      <c r="I25" t="s">
        <v>151</v>
      </c>
      <c r="J25" t="s">
        <v>151</v>
      </c>
      <c r="K25" t="s">
        <v>151</v>
      </c>
      <c r="L25" t="s">
        <v>151</v>
      </c>
      <c r="M25" t="s">
        <v>151</v>
      </c>
      <c r="N25" t="s">
        <v>151</v>
      </c>
      <c r="O25" t="s">
        <v>151</v>
      </c>
      <c r="P25" t="s">
        <v>151</v>
      </c>
      <c r="Q25" t="s">
        <v>151</v>
      </c>
      <c r="S25" t="str">
        <f t="shared" si="0"/>
        <v>BAJAJFINSV</v>
      </c>
      <c r="T25" t="str">
        <f t="shared" si="1"/>
        <v>BAJAJFINSV</v>
      </c>
    </row>
    <row r="26" spans="1:20">
      <c r="A26" t="s">
        <v>180</v>
      </c>
      <c r="B26" t="s">
        <v>111</v>
      </c>
      <c r="C26" t="s">
        <v>111</v>
      </c>
      <c r="D26">
        <v>125</v>
      </c>
      <c r="E26">
        <v>125</v>
      </c>
      <c r="F26">
        <v>125</v>
      </c>
      <c r="G26" t="s">
        <v>151</v>
      </c>
      <c r="I26" t="s">
        <v>151</v>
      </c>
      <c r="J26" t="s">
        <v>151</v>
      </c>
      <c r="K26" t="s">
        <v>151</v>
      </c>
      <c r="L26" t="s">
        <v>151</v>
      </c>
      <c r="M26" t="s">
        <v>151</v>
      </c>
      <c r="N26" t="s">
        <v>151</v>
      </c>
      <c r="O26" t="s">
        <v>151</v>
      </c>
      <c r="P26" t="s">
        <v>151</v>
      </c>
      <c r="Q26" t="s">
        <v>151</v>
      </c>
      <c r="S26" t="str">
        <f t="shared" si="0"/>
        <v>BAJFINANCE</v>
      </c>
      <c r="T26" t="str">
        <f t="shared" si="1"/>
        <v>BAJFINANCE</v>
      </c>
    </row>
    <row r="27" spans="1:20">
      <c r="A27" t="s">
        <v>181</v>
      </c>
      <c r="B27" t="s">
        <v>182</v>
      </c>
      <c r="C27" t="s">
        <v>182</v>
      </c>
      <c r="D27">
        <v>11700</v>
      </c>
      <c r="E27">
        <v>11700</v>
      </c>
      <c r="F27">
        <v>11700</v>
      </c>
      <c r="G27" t="s">
        <v>151</v>
      </c>
      <c r="I27" t="s">
        <v>151</v>
      </c>
      <c r="J27" t="s">
        <v>151</v>
      </c>
      <c r="K27" t="s">
        <v>151</v>
      </c>
      <c r="L27" t="s">
        <v>151</v>
      </c>
      <c r="M27" t="s">
        <v>151</v>
      </c>
      <c r="N27" t="s">
        <v>151</v>
      </c>
      <c r="O27" t="s">
        <v>151</v>
      </c>
      <c r="P27" t="s">
        <v>151</v>
      </c>
      <c r="Q27" t="s">
        <v>151</v>
      </c>
      <c r="S27" t="str">
        <f t="shared" si="0"/>
        <v>BANKBARODA</v>
      </c>
      <c r="T27" t="str">
        <f t="shared" si="1"/>
        <v>BANKBARODA</v>
      </c>
    </row>
    <row r="28" spans="1:20">
      <c r="A28" t="s">
        <v>183</v>
      </c>
      <c r="B28" t="s">
        <v>369</v>
      </c>
      <c r="C28" t="s">
        <v>369</v>
      </c>
      <c r="D28">
        <v>550</v>
      </c>
      <c r="E28">
        <v>550</v>
      </c>
      <c r="F28">
        <v>550</v>
      </c>
      <c r="G28" t="s">
        <v>151</v>
      </c>
      <c r="I28" t="s">
        <v>151</v>
      </c>
      <c r="J28" t="s">
        <v>151</v>
      </c>
      <c r="K28" t="s">
        <v>151</v>
      </c>
      <c r="L28" t="s">
        <v>151</v>
      </c>
      <c r="M28" t="s">
        <v>151</v>
      </c>
      <c r="N28" t="s">
        <v>151</v>
      </c>
      <c r="O28" t="s">
        <v>151</v>
      </c>
      <c r="P28" t="s">
        <v>151</v>
      </c>
      <c r="Q28" t="s">
        <v>151</v>
      </c>
      <c r="S28" t="str">
        <f t="shared" si="0"/>
        <v>BATAINDIA</v>
      </c>
      <c r="T28" t="str">
        <f t="shared" si="1"/>
        <v>BATAINDIA</v>
      </c>
    </row>
    <row r="29" spans="1:20">
      <c r="A29" t="s">
        <v>184</v>
      </c>
      <c r="B29" t="s">
        <v>185</v>
      </c>
      <c r="C29" t="s">
        <v>185</v>
      </c>
      <c r="D29">
        <v>650</v>
      </c>
      <c r="E29">
        <v>650</v>
      </c>
      <c r="F29">
        <v>650</v>
      </c>
      <c r="G29" t="s">
        <v>151</v>
      </c>
      <c r="I29" t="s">
        <v>151</v>
      </c>
      <c r="J29" t="s">
        <v>151</v>
      </c>
      <c r="K29" t="s">
        <v>151</v>
      </c>
      <c r="L29" t="s">
        <v>151</v>
      </c>
      <c r="M29" t="s">
        <v>151</v>
      </c>
      <c r="N29" t="s">
        <v>151</v>
      </c>
      <c r="O29" t="s">
        <v>151</v>
      </c>
      <c r="P29" t="s">
        <v>151</v>
      </c>
      <c r="Q29" t="s">
        <v>151</v>
      </c>
      <c r="S29" t="str">
        <f t="shared" si="0"/>
        <v>GODREJPROP</v>
      </c>
      <c r="T29" t="str">
        <f t="shared" si="1"/>
        <v>GODREJPROP</v>
      </c>
    </row>
    <row r="30" spans="1:20">
      <c r="A30" t="s">
        <v>186</v>
      </c>
      <c r="B30" t="s">
        <v>100</v>
      </c>
      <c r="C30" t="s">
        <v>100</v>
      </c>
      <c r="D30">
        <v>3800</v>
      </c>
      <c r="E30">
        <v>3800</v>
      </c>
      <c r="F30">
        <v>3800</v>
      </c>
      <c r="G30" t="s">
        <v>151</v>
      </c>
      <c r="I30" t="s">
        <v>151</v>
      </c>
      <c r="J30" t="s">
        <v>151</v>
      </c>
      <c r="K30" t="s">
        <v>151</v>
      </c>
      <c r="L30" t="s">
        <v>151</v>
      </c>
      <c r="M30" t="s">
        <v>151</v>
      </c>
      <c r="N30" t="s">
        <v>151</v>
      </c>
      <c r="O30" t="s">
        <v>151</v>
      </c>
      <c r="P30" t="s">
        <v>151</v>
      </c>
      <c r="Q30" t="s">
        <v>151</v>
      </c>
      <c r="S30" t="str">
        <f t="shared" si="0"/>
        <v>BEL</v>
      </c>
      <c r="T30" t="str">
        <f t="shared" si="1"/>
        <v>BEL</v>
      </c>
    </row>
    <row r="31" spans="1:20">
      <c r="A31" t="s">
        <v>187</v>
      </c>
      <c r="B31" t="s">
        <v>188</v>
      </c>
      <c r="C31" t="s">
        <v>188</v>
      </c>
      <c r="D31">
        <v>1851</v>
      </c>
      <c r="E31">
        <v>1851</v>
      </c>
      <c r="F31">
        <v>1851</v>
      </c>
      <c r="G31" t="s">
        <v>151</v>
      </c>
      <c r="I31" t="s">
        <v>151</v>
      </c>
      <c r="J31" t="s">
        <v>151</v>
      </c>
      <c r="K31" t="s">
        <v>151</v>
      </c>
      <c r="L31" t="s">
        <v>151</v>
      </c>
      <c r="M31" t="s">
        <v>151</v>
      </c>
      <c r="N31" t="s">
        <v>151</v>
      </c>
      <c r="O31" t="s">
        <v>151</v>
      </c>
      <c r="P31" t="s">
        <v>151</v>
      </c>
      <c r="Q31" t="s">
        <v>151</v>
      </c>
      <c r="S31" t="str">
        <f t="shared" si="0"/>
        <v>BHARTIARTL</v>
      </c>
      <c r="T31" t="str">
        <f t="shared" si="1"/>
        <v>BHARTIARTL</v>
      </c>
    </row>
    <row r="32" spans="1:20">
      <c r="A32" t="s">
        <v>189</v>
      </c>
      <c r="B32" t="s">
        <v>370</v>
      </c>
      <c r="C32" t="s">
        <v>370</v>
      </c>
      <c r="D32">
        <v>1800</v>
      </c>
      <c r="E32">
        <v>1800</v>
      </c>
      <c r="F32">
        <v>1800</v>
      </c>
      <c r="G32" t="s">
        <v>151</v>
      </c>
      <c r="I32" t="s">
        <v>151</v>
      </c>
      <c r="J32" t="s">
        <v>151</v>
      </c>
      <c r="K32" t="s">
        <v>151</v>
      </c>
      <c r="L32" t="s">
        <v>151</v>
      </c>
      <c r="M32" t="s">
        <v>151</v>
      </c>
      <c r="N32" t="s">
        <v>151</v>
      </c>
      <c r="O32" t="s">
        <v>151</v>
      </c>
      <c r="P32" t="s">
        <v>151</v>
      </c>
      <c r="Q32" t="s">
        <v>151</v>
      </c>
      <c r="S32" t="str">
        <f t="shared" si="0"/>
        <v>BPCL</v>
      </c>
      <c r="T32" t="str">
        <f t="shared" si="1"/>
        <v>BPCL</v>
      </c>
    </row>
    <row r="33" spans="1:20">
      <c r="A33" t="s">
        <v>190</v>
      </c>
      <c r="B33" t="s">
        <v>371</v>
      </c>
      <c r="C33" t="s">
        <v>371</v>
      </c>
      <c r="D33">
        <v>2700</v>
      </c>
      <c r="E33">
        <v>2700</v>
      </c>
      <c r="F33">
        <v>2700</v>
      </c>
      <c r="G33" t="s">
        <v>151</v>
      </c>
      <c r="I33" t="s">
        <v>151</v>
      </c>
      <c r="J33" t="s">
        <v>151</v>
      </c>
      <c r="K33" t="s">
        <v>151</v>
      </c>
      <c r="L33" t="s">
        <v>151</v>
      </c>
      <c r="M33" t="s">
        <v>151</v>
      </c>
      <c r="N33" t="s">
        <v>151</v>
      </c>
      <c r="O33" t="s">
        <v>151</v>
      </c>
      <c r="P33" t="s">
        <v>151</v>
      </c>
      <c r="Q33" t="s">
        <v>151</v>
      </c>
      <c r="S33" t="str">
        <f t="shared" si="0"/>
        <v>HINDPETRO</v>
      </c>
      <c r="T33" t="str">
        <f t="shared" si="1"/>
        <v>HINDPETRO</v>
      </c>
    </row>
    <row r="34" spans="1:20">
      <c r="A34" t="s">
        <v>191</v>
      </c>
      <c r="B34" t="s">
        <v>372</v>
      </c>
      <c r="C34" t="s">
        <v>372</v>
      </c>
      <c r="D34">
        <v>500</v>
      </c>
      <c r="E34">
        <v>500</v>
      </c>
      <c r="F34">
        <v>500</v>
      </c>
      <c r="G34" t="s">
        <v>151</v>
      </c>
      <c r="I34" t="s">
        <v>151</v>
      </c>
      <c r="J34" t="s">
        <v>151</v>
      </c>
      <c r="K34" t="s">
        <v>151</v>
      </c>
      <c r="L34" t="s">
        <v>151</v>
      </c>
      <c r="M34" t="s">
        <v>151</v>
      </c>
      <c r="N34" t="s">
        <v>151</v>
      </c>
      <c r="O34" t="s">
        <v>151</v>
      </c>
      <c r="P34" t="s">
        <v>151</v>
      </c>
      <c r="Q34" t="s">
        <v>151</v>
      </c>
      <c r="S34" t="str">
        <f t="shared" si="0"/>
        <v>INDIGO</v>
      </c>
      <c r="T34" t="str">
        <f t="shared" si="1"/>
        <v>INDIGO</v>
      </c>
    </row>
    <row r="35" spans="1:20">
      <c r="A35" t="s">
        <v>192</v>
      </c>
      <c r="B35" t="s">
        <v>373</v>
      </c>
      <c r="C35" t="s">
        <v>373</v>
      </c>
      <c r="D35">
        <v>5400</v>
      </c>
      <c r="E35">
        <v>5400</v>
      </c>
      <c r="F35">
        <v>5400</v>
      </c>
      <c r="G35" t="s">
        <v>151</v>
      </c>
      <c r="I35" t="s">
        <v>151</v>
      </c>
      <c r="J35" t="s">
        <v>151</v>
      </c>
      <c r="K35" t="s">
        <v>151</v>
      </c>
      <c r="L35" t="s">
        <v>151</v>
      </c>
      <c r="M35" t="s">
        <v>151</v>
      </c>
      <c r="N35" t="s">
        <v>151</v>
      </c>
      <c r="O35" t="s">
        <v>151</v>
      </c>
      <c r="P35" t="s">
        <v>151</v>
      </c>
      <c r="Q35" t="s">
        <v>151</v>
      </c>
      <c r="S35" t="str">
        <f t="shared" si="0"/>
        <v>CANBK</v>
      </c>
      <c r="T35" t="str">
        <f t="shared" si="1"/>
        <v>CANBK</v>
      </c>
    </row>
    <row r="36" spans="1:20">
      <c r="A36" t="s">
        <v>193</v>
      </c>
      <c r="B36" t="s">
        <v>374</v>
      </c>
      <c r="C36" t="s">
        <v>374</v>
      </c>
      <c r="D36">
        <v>6500</v>
      </c>
      <c r="E36">
        <v>6500</v>
      </c>
      <c r="F36">
        <v>6500</v>
      </c>
      <c r="G36" t="s">
        <v>151</v>
      </c>
      <c r="I36" t="s">
        <v>151</v>
      </c>
      <c r="J36" t="s">
        <v>151</v>
      </c>
      <c r="K36" t="s">
        <v>151</v>
      </c>
      <c r="L36" t="s">
        <v>151</v>
      </c>
      <c r="M36" t="s">
        <v>151</v>
      </c>
      <c r="N36" t="s">
        <v>151</v>
      </c>
      <c r="O36" t="s">
        <v>151</v>
      </c>
      <c r="P36" t="s">
        <v>151</v>
      </c>
      <c r="Q36" t="s">
        <v>151</v>
      </c>
      <c r="S36" t="str">
        <f t="shared" si="0"/>
        <v>IOC</v>
      </c>
      <c r="T36" t="str">
        <f t="shared" si="1"/>
        <v>IOC</v>
      </c>
    </row>
    <row r="37" spans="1:20">
      <c r="A37" t="s">
        <v>194</v>
      </c>
      <c r="B37" t="s">
        <v>375</v>
      </c>
      <c r="C37" t="s">
        <v>375</v>
      </c>
      <c r="D37">
        <v>650</v>
      </c>
      <c r="E37">
        <v>650</v>
      </c>
      <c r="F37">
        <v>650</v>
      </c>
      <c r="G37" t="s">
        <v>151</v>
      </c>
      <c r="I37" t="s">
        <v>151</v>
      </c>
      <c r="J37" t="s">
        <v>151</v>
      </c>
      <c r="K37" t="s">
        <v>151</v>
      </c>
      <c r="L37" t="s">
        <v>151</v>
      </c>
      <c r="M37" t="s">
        <v>151</v>
      </c>
      <c r="N37" t="s">
        <v>151</v>
      </c>
      <c r="O37" t="s">
        <v>151</v>
      </c>
      <c r="P37" t="s">
        <v>151</v>
      </c>
      <c r="Q37" t="s">
        <v>151</v>
      </c>
      <c r="S37" t="str">
        <f t="shared" si="0"/>
        <v>CIPLA</v>
      </c>
      <c r="T37" t="str">
        <f t="shared" si="1"/>
        <v>CIPLA</v>
      </c>
    </row>
    <row r="38" spans="1:20">
      <c r="A38" t="s">
        <v>195</v>
      </c>
      <c r="B38" t="s">
        <v>101</v>
      </c>
      <c r="C38" t="s">
        <v>101</v>
      </c>
      <c r="D38">
        <v>4200</v>
      </c>
      <c r="E38">
        <v>4200</v>
      </c>
      <c r="F38">
        <v>4200</v>
      </c>
      <c r="G38" t="s">
        <v>151</v>
      </c>
      <c r="I38" t="s">
        <v>151</v>
      </c>
      <c r="J38" t="s">
        <v>151</v>
      </c>
      <c r="K38" t="s">
        <v>151</v>
      </c>
      <c r="L38" t="s">
        <v>151</v>
      </c>
      <c r="M38" t="s">
        <v>151</v>
      </c>
      <c r="N38" t="s">
        <v>151</v>
      </c>
      <c r="O38" t="s">
        <v>151</v>
      </c>
      <c r="P38" t="s">
        <v>151</v>
      </c>
      <c r="Q38" t="s">
        <v>151</v>
      </c>
      <c r="S38" t="str">
        <f t="shared" si="0"/>
        <v>COALINDIA</v>
      </c>
      <c r="T38" t="str">
        <f t="shared" si="1"/>
        <v>COALINDIA</v>
      </c>
    </row>
    <row r="39" spans="1:20">
      <c r="A39" t="s">
        <v>196</v>
      </c>
      <c r="B39" t="s">
        <v>376</v>
      </c>
      <c r="C39" t="s">
        <v>376</v>
      </c>
      <c r="D39">
        <v>350</v>
      </c>
      <c r="E39">
        <v>350</v>
      </c>
      <c r="F39">
        <v>350</v>
      </c>
      <c r="G39" t="s">
        <v>151</v>
      </c>
      <c r="I39" t="s">
        <v>151</v>
      </c>
      <c r="J39" t="s">
        <v>151</v>
      </c>
      <c r="K39" t="s">
        <v>151</v>
      </c>
      <c r="L39" t="s">
        <v>151</v>
      </c>
      <c r="M39" t="s">
        <v>151</v>
      </c>
      <c r="N39" t="s">
        <v>151</v>
      </c>
      <c r="O39" t="s">
        <v>151</v>
      </c>
      <c r="P39" t="s">
        <v>151</v>
      </c>
      <c r="Q39" t="s">
        <v>151</v>
      </c>
      <c r="S39" t="str">
        <f t="shared" si="0"/>
        <v>COLPAL</v>
      </c>
      <c r="T39" t="str">
        <f t="shared" si="1"/>
        <v>COLPAL</v>
      </c>
    </row>
    <row r="40" spans="1:20">
      <c r="A40" t="s">
        <v>197</v>
      </c>
      <c r="B40" t="s">
        <v>377</v>
      </c>
      <c r="C40" t="s">
        <v>377</v>
      </c>
      <c r="D40">
        <v>250</v>
      </c>
      <c r="E40">
        <v>250</v>
      </c>
      <c r="F40">
        <v>250</v>
      </c>
      <c r="G40" t="s">
        <v>151</v>
      </c>
      <c r="I40" t="s">
        <v>151</v>
      </c>
      <c r="J40" t="s">
        <v>151</v>
      </c>
      <c r="K40" t="s">
        <v>151</v>
      </c>
      <c r="L40" t="s">
        <v>151</v>
      </c>
      <c r="M40" t="s">
        <v>151</v>
      </c>
      <c r="N40" t="s">
        <v>151</v>
      </c>
      <c r="O40" t="s">
        <v>151</v>
      </c>
      <c r="P40" t="s">
        <v>151</v>
      </c>
      <c r="Q40" t="s">
        <v>151</v>
      </c>
      <c r="S40" t="str">
        <f t="shared" si="0"/>
        <v>JUBLFOOD</v>
      </c>
      <c r="T40" t="str">
        <f t="shared" si="1"/>
        <v>JUBLFOOD</v>
      </c>
    </row>
    <row r="41" spans="1:20">
      <c r="A41" t="s">
        <v>198</v>
      </c>
      <c r="B41" t="s">
        <v>199</v>
      </c>
      <c r="C41" t="s">
        <v>199</v>
      </c>
      <c r="D41">
        <v>625</v>
      </c>
      <c r="E41">
        <v>625</v>
      </c>
      <c r="F41">
        <v>625</v>
      </c>
      <c r="G41" t="s">
        <v>151</v>
      </c>
      <c r="I41" t="s">
        <v>151</v>
      </c>
      <c r="J41" t="s">
        <v>151</v>
      </c>
      <c r="K41" t="s">
        <v>151</v>
      </c>
      <c r="L41" t="s">
        <v>151</v>
      </c>
      <c r="M41" t="s">
        <v>151</v>
      </c>
      <c r="N41" t="s">
        <v>151</v>
      </c>
      <c r="O41" t="s">
        <v>151</v>
      </c>
      <c r="P41" t="s">
        <v>151</v>
      </c>
      <c r="Q41" t="s">
        <v>151</v>
      </c>
      <c r="S41" t="str">
        <f t="shared" si="0"/>
        <v>COROMANDEL</v>
      </c>
      <c r="T41" t="str">
        <f t="shared" si="1"/>
        <v>COROMANDEL</v>
      </c>
    </row>
    <row r="42" spans="1:20">
      <c r="A42" t="s">
        <v>200</v>
      </c>
      <c r="B42" t="s">
        <v>378</v>
      </c>
      <c r="C42" t="s">
        <v>378</v>
      </c>
      <c r="D42">
        <v>150</v>
      </c>
      <c r="E42">
        <v>150</v>
      </c>
      <c r="F42">
        <v>150</v>
      </c>
      <c r="G42" t="s">
        <v>151</v>
      </c>
      <c r="I42" t="s">
        <v>151</v>
      </c>
      <c r="J42" t="s">
        <v>151</v>
      </c>
      <c r="K42" t="s">
        <v>151</v>
      </c>
      <c r="L42" t="s">
        <v>151</v>
      </c>
      <c r="M42" t="s">
        <v>151</v>
      </c>
      <c r="N42" t="s">
        <v>151</v>
      </c>
      <c r="O42" t="s">
        <v>151</v>
      </c>
      <c r="P42" t="s">
        <v>151</v>
      </c>
      <c r="Q42" t="s">
        <v>151</v>
      </c>
      <c r="S42" t="str">
        <f t="shared" si="0"/>
        <v>LTI</v>
      </c>
      <c r="T42" t="str">
        <f t="shared" si="1"/>
        <v>LTI</v>
      </c>
    </row>
    <row r="43" spans="1:20">
      <c r="A43" t="s">
        <v>201</v>
      </c>
      <c r="B43" t="s">
        <v>379</v>
      </c>
      <c r="C43" t="s">
        <v>379</v>
      </c>
      <c r="D43">
        <v>3100</v>
      </c>
      <c r="E43">
        <v>3100</v>
      </c>
      <c r="F43">
        <v>3100</v>
      </c>
      <c r="G43" t="s">
        <v>151</v>
      </c>
      <c r="I43" t="s">
        <v>151</v>
      </c>
      <c r="J43" t="s">
        <v>151</v>
      </c>
      <c r="K43" t="s">
        <v>151</v>
      </c>
      <c r="L43" t="s">
        <v>151</v>
      </c>
      <c r="M43" t="s">
        <v>151</v>
      </c>
      <c r="N43" t="s">
        <v>151</v>
      </c>
      <c r="O43" t="s">
        <v>151</v>
      </c>
      <c r="P43" t="s">
        <v>151</v>
      </c>
      <c r="Q43" t="s">
        <v>151</v>
      </c>
      <c r="S43" t="str">
        <f t="shared" si="0"/>
        <v>CUB</v>
      </c>
      <c r="T43" t="str">
        <f t="shared" si="1"/>
        <v>CUB</v>
      </c>
    </row>
    <row r="44" spans="1:20">
      <c r="A44" t="s">
        <v>202</v>
      </c>
      <c r="B44" t="s">
        <v>380</v>
      </c>
      <c r="C44" t="s">
        <v>380</v>
      </c>
      <c r="D44">
        <v>2000</v>
      </c>
      <c r="E44">
        <v>2000</v>
      </c>
      <c r="F44">
        <v>2000</v>
      </c>
      <c r="G44" t="s">
        <v>151</v>
      </c>
      <c r="I44" t="s">
        <v>151</v>
      </c>
      <c r="J44" t="s">
        <v>151</v>
      </c>
      <c r="K44" t="s">
        <v>151</v>
      </c>
      <c r="L44" t="s">
        <v>151</v>
      </c>
      <c r="M44" t="s">
        <v>151</v>
      </c>
      <c r="N44" t="s">
        <v>151</v>
      </c>
      <c r="O44" t="s">
        <v>151</v>
      </c>
      <c r="P44" t="s">
        <v>151</v>
      </c>
      <c r="Q44" t="s">
        <v>151</v>
      </c>
      <c r="S44" t="str">
        <f t="shared" si="0"/>
        <v>MARICO</v>
      </c>
      <c r="T44" t="str">
        <f t="shared" si="1"/>
        <v>MARICO</v>
      </c>
    </row>
    <row r="45" spans="1:20">
      <c r="A45" t="s">
        <v>203</v>
      </c>
      <c r="B45" t="s">
        <v>7</v>
      </c>
      <c r="C45" t="s">
        <v>7</v>
      </c>
      <c r="D45">
        <v>600</v>
      </c>
      <c r="E45">
        <v>600</v>
      </c>
      <c r="F45">
        <v>600</v>
      </c>
      <c r="G45" t="s">
        <v>151</v>
      </c>
      <c r="I45" t="s">
        <v>151</v>
      </c>
      <c r="J45" t="s">
        <v>151</v>
      </c>
      <c r="K45" t="s">
        <v>151</v>
      </c>
      <c r="L45" t="s">
        <v>151</v>
      </c>
      <c r="M45" t="s">
        <v>151</v>
      </c>
      <c r="N45" t="s">
        <v>151</v>
      </c>
      <c r="O45" t="s">
        <v>151</v>
      </c>
      <c r="P45" t="s">
        <v>151</v>
      </c>
      <c r="Q45" t="s">
        <v>151</v>
      </c>
      <c r="S45" t="str">
        <f t="shared" si="0"/>
        <v>CUMMINSIND</v>
      </c>
      <c r="T45" t="str">
        <f t="shared" si="1"/>
        <v>CUMMINSIND</v>
      </c>
    </row>
    <row r="46" spans="1:20">
      <c r="A46" t="s">
        <v>204</v>
      </c>
      <c r="B46" t="s">
        <v>381</v>
      </c>
      <c r="C46" t="s">
        <v>381</v>
      </c>
      <c r="D46">
        <v>400</v>
      </c>
      <c r="E46">
        <v>400</v>
      </c>
      <c r="F46">
        <v>400</v>
      </c>
      <c r="G46" t="s">
        <v>151</v>
      </c>
      <c r="I46" t="s">
        <v>151</v>
      </c>
      <c r="J46" t="s">
        <v>151</v>
      </c>
      <c r="K46" t="s">
        <v>151</v>
      </c>
      <c r="L46" t="s">
        <v>151</v>
      </c>
      <c r="M46" t="s">
        <v>151</v>
      </c>
      <c r="N46" t="s">
        <v>151</v>
      </c>
      <c r="O46" t="s">
        <v>151</v>
      </c>
      <c r="P46" t="s">
        <v>151</v>
      </c>
      <c r="Q46" t="s">
        <v>151</v>
      </c>
      <c r="S46" t="str">
        <f t="shared" si="0"/>
        <v>MINDTREE</v>
      </c>
      <c r="T46" t="str">
        <f t="shared" si="1"/>
        <v>MINDTREE</v>
      </c>
    </row>
    <row r="47" spans="1:20">
      <c r="A47" t="s">
        <v>205</v>
      </c>
      <c r="B47" t="s">
        <v>123</v>
      </c>
      <c r="C47" t="s">
        <v>123</v>
      </c>
      <c r="D47">
        <v>3300</v>
      </c>
      <c r="E47">
        <v>3300</v>
      </c>
      <c r="F47">
        <v>3300</v>
      </c>
      <c r="G47" t="s">
        <v>151</v>
      </c>
      <c r="I47" t="s">
        <v>151</v>
      </c>
      <c r="J47" t="s">
        <v>151</v>
      </c>
      <c r="K47" t="s">
        <v>151</v>
      </c>
      <c r="L47" t="s">
        <v>151</v>
      </c>
      <c r="M47" t="s">
        <v>151</v>
      </c>
      <c r="N47" t="s">
        <v>151</v>
      </c>
      <c r="O47" t="s">
        <v>151</v>
      </c>
      <c r="P47" t="s">
        <v>151</v>
      </c>
      <c r="Q47" t="s">
        <v>151</v>
      </c>
      <c r="S47" t="str">
        <f t="shared" si="0"/>
        <v>DLF</v>
      </c>
      <c r="T47" t="str">
        <f t="shared" si="1"/>
        <v>DLF</v>
      </c>
    </row>
    <row r="48" spans="1:20">
      <c r="A48" t="s">
        <v>206</v>
      </c>
      <c r="B48" t="s">
        <v>207</v>
      </c>
      <c r="C48" t="s">
        <v>207</v>
      </c>
      <c r="D48">
        <v>17000</v>
      </c>
      <c r="E48">
        <v>17000</v>
      </c>
      <c r="F48">
        <v>17000</v>
      </c>
      <c r="G48" t="s">
        <v>151</v>
      </c>
      <c r="I48" t="s">
        <v>151</v>
      </c>
      <c r="J48" t="s">
        <v>151</v>
      </c>
      <c r="K48" t="s">
        <v>151</v>
      </c>
      <c r="L48" t="s">
        <v>151</v>
      </c>
      <c r="M48" t="s">
        <v>151</v>
      </c>
      <c r="N48" t="s">
        <v>151</v>
      </c>
      <c r="O48" t="s">
        <v>151</v>
      </c>
      <c r="P48" t="s">
        <v>151</v>
      </c>
      <c r="Q48" t="s">
        <v>151</v>
      </c>
      <c r="S48" t="str">
        <f t="shared" si="0"/>
        <v>NATIONALUM</v>
      </c>
      <c r="T48" t="str">
        <f t="shared" si="1"/>
        <v>NATIONALUM</v>
      </c>
    </row>
    <row r="49" spans="1:20">
      <c r="A49" t="s">
        <v>208</v>
      </c>
      <c r="B49" t="s">
        <v>382</v>
      </c>
      <c r="C49" t="s">
        <v>382</v>
      </c>
      <c r="D49">
        <v>550</v>
      </c>
      <c r="E49">
        <v>550</v>
      </c>
      <c r="F49">
        <v>550</v>
      </c>
      <c r="G49" t="s">
        <v>151</v>
      </c>
      <c r="I49" t="s">
        <v>151</v>
      </c>
      <c r="J49" t="s">
        <v>151</v>
      </c>
      <c r="K49" t="s">
        <v>151</v>
      </c>
      <c r="L49" t="s">
        <v>151</v>
      </c>
      <c r="M49" t="s">
        <v>151</v>
      </c>
      <c r="N49" t="s">
        <v>151</v>
      </c>
      <c r="O49" t="s">
        <v>151</v>
      </c>
      <c r="P49" t="s">
        <v>151</v>
      </c>
      <c r="Q49" t="s">
        <v>151</v>
      </c>
      <c r="S49" t="str">
        <f t="shared" si="0"/>
        <v>ESCORTS</v>
      </c>
      <c r="T49" t="str">
        <f t="shared" si="1"/>
        <v>ESCORTS</v>
      </c>
    </row>
    <row r="50" spans="1:20">
      <c r="A50" t="s">
        <v>209</v>
      </c>
      <c r="B50" t="s">
        <v>210</v>
      </c>
      <c r="C50" t="s">
        <v>210</v>
      </c>
      <c r="D50">
        <v>10000</v>
      </c>
      <c r="E50">
        <v>10000</v>
      </c>
      <c r="F50">
        <v>10000</v>
      </c>
      <c r="G50" t="s">
        <v>151</v>
      </c>
      <c r="I50" t="s">
        <v>151</v>
      </c>
      <c r="J50" t="s">
        <v>151</v>
      </c>
      <c r="K50" t="s">
        <v>151</v>
      </c>
      <c r="L50" t="s">
        <v>151</v>
      </c>
      <c r="M50" t="s">
        <v>151</v>
      </c>
      <c r="N50" t="s">
        <v>151</v>
      </c>
      <c r="O50" t="s">
        <v>151</v>
      </c>
      <c r="P50" t="s">
        <v>151</v>
      </c>
      <c r="Q50" t="s">
        <v>151</v>
      </c>
      <c r="S50" t="str">
        <f t="shared" si="0"/>
        <v>FEDERALBNK</v>
      </c>
      <c r="T50" t="str">
        <f t="shared" si="1"/>
        <v>FEDERALBNK</v>
      </c>
    </row>
    <row r="51" spans="1:20">
      <c r="A51" t="s">
        <v>211</v>
      </c>
      <c r="B51" t="s">
        <v>383</v>
      </c>
      <c r="C51" t="s">
        <v>383</v>
      </c>
      <c r="D51">
        <v>1150</v>
      </c>
      <c r="E51">
        <v>1150</v>
      </c>
      <c r="F51">
        <v>1150</v>
      </c>
      <c r="G51" t="s">
        <v>151</v>
      </c>
      <c r="I51" t="s">
        <v>151</v>
      </c>
      <c r="J51" t="s">
        <v>151</v>
      </c>
      <c r="K51" t="s">
        <v>151</v>
      </c>
      <c r="L51" t="s">
        <v>151</v>
      </c>
      <c r="M51" t="s">
        <v>151</v>
      </c>
      <c r="N51" t="s">
        <v>151</v>
      </c>
      <c r="O51" t="s">
        <v>151</v>
      </c>
      <c r="P51" t="s">
        <v>151</v>
      </c>
      <c r="Q51" t="s">
        <v>151</v>
      </c>
      <c r="S51" t="str">
        <f t="shared" si="0"/>
        <v>GLENMARK</v>
      </c>
      <c r="T51" t="str">
        <f t="shared" si="1"/>
        <v>GLENMARK</v>
      </c>
    </row>
    <row r="52" spans="1:20">
      <c r="A52" t="s">
        <v>212</v>
      </c>
      <c r="B52" t="s">
        <v>384</v>
      </c>
      <c r="C52" t="s">
        <v>384</v>
      </c>
      <c r="D52">
        <v>5333</v>
      </c>
      <c r="E52">
        <v>5333</v>
      </c>
      <c r="F52">
        <v>5333</v>
      </c>
      <c r="G52" t="s">
        <v>151</v>
      </c>
      <c r="I52" t="s">
        <v>151</v>
      </c>
      <c r="J52" t="s">
        <v>151</v>
      </c>
      <c r="K52" t="s">
        <v>151</v>
      </c>
      <c r="L52" t="s">
        <v>151</v>
      </c>
      <c r="M52" t="s">
        <v>151</v>
      </c>
      <c r="N52" t="s">
        <v>151</v>
      </c>
      <c r="O52" t="s">
        <v>151</v>
      </c>
      <c r="P52" t="s">
        <v>151</v>
      </c>
      <c r="Q52" t="s">
        <v>151</v>
      </c>
      <c r="S52" t="str">
        <f t="shared" si="0"/>
        <v>POWERGRID</v>
      </c>
      <c r="T52" t="str">
        <f t="shared" si="1"/>
        <v>POWERGRID</v>
      </c>
    </row>
    <row r="53" spans="1:20">
      <c r="A53" t="s">
        <v>213</v>
      </c>
      <c r="B53" t="s">
        <v>385</v>
      </c>
      <c r="C53" t="s">
        <v>385</v>
      </c>
      <c r="D53">
        <v>1550</v>
      </c>
      <c r="E53">
        <v>1550</v>
      </c>
      <c r="F53">
        <v>1550</v>
      </c>
      <c r="G53" t="s">
        <v>151</v>
      </c>
      <c r="I53" t="s">
        <v>151</v>
      </c>
      <c r="J53" t="s">
        <v>151</v>
      </c>
      <c r="K53" t="s">
        <v>151</v>
      </c>
      <c r="L53" t="s">
        <v>151</v>
      </c>
      <c r="M53" t="s">
        <v>151</v>
      </c>
      <c r="N53" t="s">
        <v>151</v>
      </c>
      <c r="O53" t="s">
        <v>151</v>
      </c>
      <c r="P53" t="s">
        <v>151</v>
      </c>
      <c r="Q53" t="s">
        <v>151</v>
      </c>
      <c r="S53" t="str">
        <f t="shared" si="0"/>
        <v>GRANULES</v>
      </c>
      <c r="T53" t="str">
        <f t="shared" si="1"/>
        <v>GRANULES</v>
      </c>
    </row>
    <row r="54" spans="1:20">
      <c r="A54" t="s">
        <v>214</v>
      </c>
      <c r="B54" t="s">
        <v>386</v>
      </c>
      <c r="C54" t="s">
        <v>386</v>
      </c>
      <c r="D54">
        <v>1250</v>
      </c>
      <c r="E54">
        <v>1250</v>
      </c>
      <c r="F54">
        <v>1250</v>
      </c>
      <c r="G54" t="s">
        <v>151</v>
      </c>
      <c r="I54" t="s">
        <v>151</v>
      </c>
      <c r="J54" t="s">
        <v>151</v>
      </c>
      <c r="K54" t="s">
        <v>151</v>
      </c>
      <c r="L54" t="s">
        <v>151</v>
      </c>
      <c r="M54" t="s">
        <v>151</v>
      </c>
      <c r="N54" t="s">
        <v>151</v>
      </c>
      <c r="O54" t="s">
        <v>151</v>
      </c>
      <c r="P54" t="s">
        <v>151</v>
      </c>
      <c r="Q54" t="s">
        <v>151</v>
      </c>
      <c r="S54" t="str">
        <f t="shared" si="0"/>
        <v>GUJGASLTD</v>
      </c>
      <c r="T54" t="str">
        <f t="shared" si="1"/>
        <v>GUJGASLTD</v>
      </c>
    </row>
    <row r="55" spans="1:20">
      <c r="A55" t="s">
        <v>215</v>
      </c>
      <c r="B55" t="s">
        <v>387</v>
      </c>
      <c r="C55" t="s">
        <v>387</v>
      </c>
      <c r="D55">
        <v>700</v>
      </c>
      <c r="E55">
        <v>700</v>
      </c>
      <c r="F55">
        <v>700</v>
      </c>
      <c r="G55" t="s">
        <v>151</v>
      </c>
      <c r="I55" t="s">
        <v>151</v>
      </c>
      <c r="J55" t="s">
        <v>151</v>
      </c>
      <c r="K55" t="s">
        <v>151</v>
      </c>
      <c r="L55" t="s">
        <v>151</v>
      </c>
      <c r="M55" t="s">
        <v>151</v>
      </c>
      <c r="N55" t="s">
        <v>151</v>
      </c>
      <c r="O55" t="s">
        <v>151</v>
      </c>
      <c r="P55" t="s">
        <v>151</v>
      </c>
      <c r="Q55" t="s">
        <v>151</v>
      </c>
      <c r="S55" t="str">
        <f t="shared" si="0"/>
        <v>HCLTECH</v>
      </c>
      <c r="T55" t="str">
        <f t="shared" si="1"/>
        <v>HCLTECH</v>
      </c>
    </row>
    <row r="56" spans="1:20">
      <c r="A56" t="s">
        <v>216</v>
      </c>
      <c r="B56" t="s">
        <v>388</v>
      </c>
      <c r="C56" t="s">
        <v>388</v>
      </c>
      <c r="D56">
        <v>200</v>
      </c>
      <c r="E56">
        <v>200</v>
      </c>
      <c r="F56">
        <v>200</v>
      </c>
      <c r="G56" t="s">
        <v>151</v>
      </c>
      <c r="I56" t="s">
        <v>151</v>
      </c>
      <c r="J56" t="s">
        <v>151</v>
      </c>
      <c r="K56" t="s">
        <v>151</v>
      </c>
      <c r="L56" t="s">
        <v>151</v>
      </c>
      <c r="M56" t="s">
        <v>151</v>
      </c>
      <c r="N56" t="s">
        <v>151</v>
      </c>
      <c r="O56" t="s">
        <v>151</v>
      </c>
      <c r="P56" t="s">
        <v>151</v>
      </c>
      <c r="Q56" t="s">
        <v>151</v>
      </c>
      <c r="S56" t="str">
        <f t="shared" si="0"/>
        <v>HDFCAMC</v>
      </c>
      <c r="T56" t="str">
        <f t="shared" si="1"/>
        <v>HDFCAMC</v>
      </c>
    </row>
    <row r="57" spans="1:20">
      <c r="A57" t="s">
        <v>217</v>
      </c>
      <c r="B57" t="s">
        <v>103</v>
      </c>
      <c r="C57" t="s">
        <v>103</v>
      </c>
      <c r="D57">
        <v>550</v>
      </c>
      <c r="E57">
        <v>550</v>
      </c>
      <c r="F57">
        <v>550</v>
      </c>
      <c r="G57" t="s">
        <v>151</v>
      </c>
      <c r="I57" t="s">
        <v>151</v>
      </c>
      <c r="J57" t="s">
        <v>151</v>
      </c>
      <c r="K57" t="s">
        <v>151</v>
      </c>
      <c r="L57" t="s">
        <v>151</v>
      </c>
      <c r="M57" t="s">
        <v>151</v>
      </c>
      <c r="N57" t="s">
        <v>151</v>
      </c>
      <c r="O57" t="s">
        <v>151</v>
      </c>
      <c r="P57" t="s">
        <v>151</v>
      </c>
      <c r="Q57" t="s">
        <v>151</v>
      </c>
      <c r="S57" t="str">
        <f t="shared" si="0"/>
        <v>HDFCBANK</v>
      </c>
      <c r="T57" t="str">
        <f t="shared" si="1"/>
        <v>HDFCBANK</v>
      </c>
    </row>
    <row r="58" spans="1:20">
      <c r="A58" t="s">
        <v>218</v>
      </c>
      <c r="B58" t="s">
        <v>389</v>
      </c>
      <c r="C58" t="s">
        <v>389</v>
      </c>
      <c r="D58">
        <v>1100</v>
      </c>
      <c r="E58">
        <v>1100</v>
      </c>
      <c r="F58">
        <v>1100</v>
      </c>
      <c r="G58" t="s">
        <v>151</v>
      </c>
      <c r="I58" t="s">
        <v>151</v>
      </c>
      <c r="J58" t="s">
        <v>151</v>
      </c>
      <c r="K58" t="s">
        <v>151</v>
      </c>
      <c r="L58" t="s">
        <v>151</v>
      </c>
      <c r="M58" t="s">
        <v>151</v>
      </c>
      <c r="N58" t="s">
        <v>151</v>
      </c>
      <c r="O58" t="s">
        <v>151</v>
      </c>
      <c r="P58" t="s">
        <v>151</v>
      </c>
      <c r="Q58" t="s">
        <v>151</v>
      </c>
      <c r="S58" t="str">
        <f t="shared" si="0"/>
        <v>HDFCLIFE</v>
      </c>
      <c r="T58" t="str">
        <f t="shared" si="1"/>
        <v>HDFCLIFE</v>
      </c>
    </row>
    <row r="59" spans="1:20">
      <c r="A59" t="s">
        <v>219</v>
      </c>
      <c r="B59" t="s">
        <v>220</v>
      </c>
      <c r="C59" t="s">
        <v>220</v>
      </c>
      <c r="D59">
        <v>300</v>
      </c>
      <c r="E59">
        <v>300</v>
      </c>
      <c r="F59">
        <v>300</v>
      </c>
      <c r="G59" t="s">
        <v>151</v>
      </c>
      <c r="I59" t="s">
        <v>151</v>
      </c>
      <c r="J59" t="s">
        <v>151</v>
      </c>
      <c r="K59" t="s">
        <v>151</v>
      </c>
      <c r="L59" t="s">
        <v>151</v>
      </c>
      <c r="M59" t="s">
        <v>151</v>
      </c>
      <c r="N59" t="s">
        <v>151</v>
      </c>
      <c r="O59" t="s">
        <v>151</v>
      </c>
      <c r="P59" t="s">
        <v>151</v>
      </c>
      <c r="Q59" t="s">
        <v>151</v>
      </c>
      <c r="S59" t="str">
        <f t="shared" si="0"/>
        <v>HEROMOTOCO</v>
      </c>
      <c r="T59" t="str">
        <f t="shared" si="1"/>
        <v>HEROMOTOCO</v>
      </c>
    </row>
    <row r="60" spans="1:20">
      <c r="A60" t="s">
        <v>221</v>
      </c>
      <c r="B60" t="s">
        <v>93</v>
      </c>
      <c r="C60" t="s">
        <v>93</v>
      </c>
      <c r="D60">
        <v>2150</v>
      </c>
      <c r="E60">
        <v>2150</v>
      </c>
      <c r="F60">
        <v>2150</v>
      </c>
      <c r="G60" t="s">
        <v>151</v>
      </c>
      <c r="I60" t="s">
        <v>151</v>
      </c>
      <c r="J60" t="s">
        <v>151</v>
      </c>
      <c r="K60" t="s">
        <v>151</v>
      </c>
      <c r="L60" t="s">
        <v>151</v>
      </c>
      <c r="M60" t="s">
        <v>151</v>
      </c>
      <c r="N60" t="s">
        <v>151</v>
      </c>
      <c r="O60" t="s">
        <v>151</v>
      </c>
      <c r="P60" t="s">
        <v>151</v>
      </c>
      <c r="Q60" t="s">
        <v>151</v>
      </c>
      <c r="S60" t="str">
        <f t="shared" si="0"/>
        <v>HINDALCO</v>
      </c>
      <c r="T60" t="str">
        <f t="shared" si="1"/>
        <v>HINDALCO</v>
      </c>
    </row>
    <row r="61" spans="1:20">
      <c r="A61" t="s">
        <v>222</v>
      </c>
      <c r="B61" t="s">
        <v>104</v>
      </c>
      <c r="C61" t="s">
        <v>104</v>
      </c>
      <c r="D61">
        <v>300</v>
      </c>
      <c r="E61">
        <v>300</v>
      </c>
      <c r="F61">
        <v>300</v>
      </c>
      <c r="G61" t="s">
        <v>151</v>
      </c>
      <c r="I61" t="s">
        <v>151</v>
      </c>
      <c r="J61" t="s">
        <v>151</v>
      </c>
      <c r="K61" t="s">
        <v>151</v>
      </c>
      <c r="L61" t="s">
        <v>151</v>
      </c>
      <c r="M61" t="s">
        <v>151</v>
      </c>
      <c r="N61" t="s">
        <v>151</v>
      </c>
      <c r="O61" t="s">
        <v>151</v>
      </c>
      <c r="P61" t="s">
        <v>151</v>
      </c>
      <c r="Q61" t="s">
        <v>151</v>
      </c>
      <c r="S61" t="str">
        <f t="shared" si="0"/>
        <v>HINDUNILVR</v>
      </c>
      <c r="T61" t="str">
        <f t="shared" si="1"/>
        <v>HINDUNILVR</v>
      </c>
    </row>
    <row r="62" spans="1:20">
      <c r="A62" t="s">
        <v>223</v>
      </c>
      <c r="B62" t="s">
        <v>125</v>
      </c>
      <c r="C62" t="s">
        <v>125</v>
      </c>
      <c r="D62">
        <v>3100</v>
      </c>
      <c r="E62">
        <v>3100</v>
      </c>
      <c r="F62">
        <v>3100</v>
      </c>
      <c r="G62" t="s">
        <v>151</v>
      </c>
      <c r="I62" t="s">
        <v>151</v>
      </c>
      <c r="J62" t="s">
        <v>151</v>
      </c>
      <c r="K62" t="s">
        <v>151</v>
      </c>
      <c r="L62" t="s">
        <v>151</v>
      </c>
      <c r="M62" t="s">
        <v>151</v>
      </c>
      <c r="N62" t="s">
        <v>151</v>
      </c>
      <c r="O62" t="s">
        <v>151</v>
      </c>
      <c r="P62" t="s">
        <v>151</v>
      </c>
      <c r="Q62" t="s">
        <v>151</v>
      </c>
      <c r="S62" t="str">
        <f t="shared" si="0"/>
        <v>IBULHSGFIN</v>
      </c>
      <c r="T62" t="str">
        <f t="shared" si="1"/>
        <v>IBULHSGFIN</v>
      </c>
    </row>
    <row r="63" spans="1:20">
      <c r="A63" t="s">
        <v>224</v>
      </c>
      <c r="B63" t="s">
        <v>390</v>
      </c>
      <c r="C63" t="s">
        <v>390</v>
      </c>
      <c r="D63">
        <v>125</v>
      </c>
      <c r="E63">
        <v>125</v>
      </c>
      <c r="F63">
        <v>125</v>
      </c>
      <c r="G63" t="s">
        <v>151</v>
      </c>
      <c r="I63" t="s">
        <v>151</v>
      </c>
      <c r="J63" t="s">
        <v>151</v>
      </c>
      <c r="K63" t="s">
        <v>151</v>
      </c>
      <c r="L63" t="s">
        <v>151</v>
      </c>
      <c r="M63" t="s">
        <v>151</v>
      </c>
      <c r="N63" t="s">
        <v>151</v>
      </c>
      <c r="O63" t="s">
        <v>151</v>
      </c>
      <c r="P63" t="s">
        <v>151</v>
      </c>
      <c r="Q63" t="s">
        <v>151</v>
      </c>
      <c r="S63" t="str">
        <f t="shared" si="0"/>
        <v>SRF</v>
      </c>
      <c r="T63" t="str">
        <f t="shared" si="1"/>
        <v>SRF</v>
      </c>
    </row>
    <row r="64" spans="1:20">
      <c r="A64" t="s">
        <v>225</v>
      </c>
      <c r="B64" t="s">
        <v>102</v>
      </c>
      <c r="C64" t="s">
        <v>102</v>
      </c>
      <c r="D64">
        <v>1375</v>
      </c>
      <c r="E64">
        <v>1375</v>
      </c>
      <c r="F64">
        <v>1375</v>
      </c>
      <c r="G64" t="s">
        <v>151</v>
      </c>
      <c r="I64" t="s">
        <v>151</v>
      </c>
      <c r="J64" t="s">
        <v>151</v>
      </c>
      <c r="K64" t="s">
        <v>151</v>
      </c>
      <c r="L64" t="s">
        <v>151</v>
      </c>
      <c r="M64" t="s">
        <v>151</v>
      </c>
      <c r="N64" t="s">
        <v>151</v>
      </c>
      <c r="O64" t="s">
        <v>151</v>
      </c>
      <c r="P64" t="s">
        <v>151</v>
      </c>
      <c r="Q64" t="s">
        <v>151</v>
      </c>
      <c r="S64" t="str">
        <f t="shared" si="0"/>
        <v>ICICIBANK</v>
      </c>
      <c r="T64" t="str">
        <f t="shared" si="1"/>
        <v>ICICIBANK</v>
      </c>
    </row>
    <row r="65" spans="1:20">
      <c r="A65" t="s">
        <v>226</v>
      </c>
      <c r="B65" t="s">
        <v>391</v>
      </c>
      <c r="C65" t="s">
        <v>391</v>
      </c>
      <c r="D65">
        <v>425</v>
      </c>
      <c r="E65">
        <v>425</v>
      </c>
      <c r="F65">
        <v>425</v>
      </c>
      <c r="G65" t="s">
        <v>151</v>
      </c>
      <c r="I65" t="s">
        <v>151</v>
      </c>
      <c r="J65" t="s">
        <v>151</v>
      </c>
      <c r="K65" t="s">
        <v>151</v>
      </c>
      <c r="L65" t="s">
        <v>151</v>
      </c>
      <c r="M65" t="s">
        <v>151</v>
      </c>
      <c r="N65" t="s">
        <v>151</v>
      </c>
      <c r="O65" t="s">
        <v>151</v>
      </c>
      <c r="P65" t="s">
        <v>151</v>
      </c>
      <c r="Q65" t="s">
        <v>151</v>
      </c>
      <c r="S65" t="str">
        <f t="shared" si="0"/>
        <v>ICICIGI</v>
      </c>
      <c r="T65" t="str">
        <f t="shared" si="1"/>
        <v>ICICIGI</v>
      </c>
    </row>
    <row r="66" spans="1:20">
      <c r="A66" t="s">
        <v>227</v>
      </c>
      <c r="B66" t="s">
        <v>228</v>
      </c>
      <c r="C66" t="s">
        <v>228</v>
      </c>
      <c r="D66">
        <v>1500</v>
      </c>
      <c r="E66">
        <v>1500</v>
      </c>
      <c r="F66">
        <v>1500</v>
      </c>
      <c r="G66" t="s">
        <v>151</v>
      </c>
      <c r="I66" t="s">
        <v>151</v>
      </c>
      <c r="J66" t="s">
        <v>151</v>
      </c>
      <c r="K66" t="s">
        <v>151</v>
      </c>
      <c r="L66" t="s">
        <v>151</v>
      </c>
      <c r="M66" t="s">
        <v>151</v>
      </c>
      <c r="N66" t="s">
        <v>151</v>
      </c>
      <c r="O66" t="s">
        <v>151</v>
      </c>
      <c r="P66" t="s">
        <v>151</v>
      </c>
      <c r="Q66" t="s">
        <v>151</v>
      </c>
      <c r="S66" t="str">
        <f t="shared" si="0"/>
        <v>ICICIPRULI</v>
      </c>
      <c r="T66" t="str">
        <f t="shared" si="1"/>
        <v>ICICIPRULI</v>
      </c>
    </row>
    <row r="67" spans="1:20">
      <c r="A67" t="s">
        <v>229</v>
      </c>
      <c r="B67" t="s">
        <v>392</v>
      </c>
      <c r="C67" t="s">
        <v>392</v>
      </c>
      <c r="D67">
        <v>70000</v>
      </c>
      <c r="E67">
        <v>70000</v>
      </c>
      <c r="F67">
        <v>70000</v>
      </c>
      <c r="G67" t="s">
        <v>151</v>
      </c>
      <c r="I67" t="s">
        <v>151</v>
      </c>
      <c r="J67" t="s">
        <v>151</v>
      </c>
      <c r="K67" t="s">
        <v>151</v>
      </c>
      <c r="L67" t="s">
        <v>151</v>
      </c>
      <c r="M67" t="s">
        <v>151</v>
      </c>
      <c r="N67" t="s">
        <v>151</v>
      </c>
      <c r="O67" t="s">
        <v>151</v>
      </c>
      <c r="P67" t="s">
        <v>151</v>
      </c>
      <c r="Q67" t="s">
        <v>151</v>
      </c>
      <c r="S67" t="str">
        <f t="shared" ref="S67:S130" si="2">TRIM(B67)</f>
        <v>IDEA</v>
      </c>
      <c r="T67" t="str">
        <f t="shared" ref="T67:T130" si="3">TRIM(C67)</f>
        <v>IDEA</v>
      </c>
    </row>
    <row r="68" spans="1:20">
      <c r="A68" t="s">
        <v>230</v>
      </c>
      <c r="B68" t="s">
        <v>393</v>
      </c>
      <c r="C68" t="s">
        <v>393</v>
      </c>
      <c r="D68">
        <v>1400</v>
      </c>
      <c r="E68">
        <v>1400</v>
      </c>
      <c r="F68">
        <v>1400</v>
      </c>
      <c r="G68" t="s">
        <v>151</v>
      </c>
      <c r="I68" t="s">
        <v>151</v>
      </c>
      <c r="J68" t="s">
        <v>151</v>
      </c>
      <c r="K68" t="s">
        <v>151</v>
      </c>
      <c r="L68" t="s">
        <v>151</v>
      </c>
      <c r="M68" t="s">
        <v>151</v>
      </c>
      <c r="N68" t="s">
        <v>151</v>
      </c>
      <c r="O68" t="s">
        <v>151</v>
      </c>
      <c r="P68" t="s">
        <v>151</v>
      </c>
      <c r="Q68" t="s">
        <v>151</v>
      </c>
      <c r="S68" t="str">
        <f t="shared" si="2"/>
        <v>SUNPHARMA</v>
      </c>
      <c r="T68" t="str">
        <f t="shared" si="3"/>
        <v>SUNPHARMA</v>
      </c>
    </row>
    <row r="69" spans="1:20">
      <c r="A69" t="s">
        <v>231</v>
      </c>
      <c r="B69" t="s">
        <v>232</v>
      </c>
      <c r="C69" t="s">
        <v>232</v>
      </c>
      <c r="D69">
        <v>9500</v>
      </c>
      <c r="E69">
        <v>9500</v>
      </c>
      <c r="F69">
        <v>9500</v>
      </c>
      <c r="G69" t="s">
        <v>151</v>
      </c>
      <c r="I69" t="s">
        <v>151</v>
      </c>
      <c r="J69" t="s">
        <v>151</v>
      </c>
      <c r="K69" t="s">
        <v>151</v>
      </c>
      <c r="L69" t="s">
        <v>151</v>
      </c>
      <c r="M69" t="s">
        <v>151</v>
      </c>
      <c r="N69" t="s">
        <v>151</v>
      </c>
      <c r="O69" t="s">
        <v>151</v>
      </c>
      <c r="P69" t="s">
        <v>151</v>
      </c>
      <c r="Q69" t="s">
        <v>151</v>
      </c>
      <c r="S69" t="str">
        <f t="shared" si="2"/>
        <v>IDFCFIRSTB</v>
      </c>
      <c r="T69" t="str">
        <f t="shared" si="3"/>
        <v>IDFCFIRSTB</v>
      </c>
    </row>
    <row r="70" spans="1:20">
      <c r="A70" t="s">
        <v>233</v>
      </c>
      <c r="B70" t="s">
        <v>394</v>
      </c>
      <c r="C70" t="s">
        <v>394</v>
      </c>
      <c r="D70">
        <v>3900</v>
      </c>
      <c r="E70">
        <v>3900</v>
      </c>
      <c r="F70">
        <v>3900</v>
      </c>
      <c r="G70" t="s">
        <v>151</v>
      </c>
      <c r="I70" t="s">
        <v>151</v>
      </c>
      <c r="J70" t="s">
        <v>151</v>
      </c>
      <c r="K70" t="s">
        <v>151</v>
      </c>
      <c r="L70" t="s">
        <v>151</v>
      </c>
      <c r="M70" t="s">
        <v>151</v>
      </c>
      <c r="N70" t="s">
        <v>151</v>
      </c>
      <c r="O70" t="s">
        <v>151</v>
      </c>
      <c r="P70" t="s">
        <v>151</v>
      </c>
      <c r="Q70" t="s">
        <v>151</v>
      </c>
      <c r="S70" t="str">
        <f t="shared" si="2"/>
        <v>INDHOTEL</v>
      </c>
      <c r="T70" t="str">
        <f t="shared" si="3"/>
        <v>INDHOTEL</v>
      </c>
    </row>
    <row r="71" spans="1:20">
      <c r="A71" t="s">
        <v>234</v>
      </c>
      <c r="B71" t="s">
        <v>105</v>
      </c>
      <c r="C71" t="s">
        <v>105</v>
      </c>
      <c r="D71">
        <v>900</v>
      </c>
      <c r="E71">
        <v>900</v>
      </c>
      <c r="F71">
        <v>900</v>
      </c>
      <c r="G71" t="s">
        <v>151</v>
      </c>
      <c r="I71" t="s">
        <v>151</v>
      </c>
      <c r="J71" t="s">
        <v>151</v>
      </c>
      <c r="K71" t="s">
        <v>151</v>
      </c>
      <c r="L71" t="s">
        <v>151</v>
      </c>
      <c r="M71" t="s">
        <v>151</v>
      </c>
      <c r="N71" t="s">
        <v>151</v>
      </c>
      <c r="O71" t="s">
        <v>151</v>
      </c>
      <c r="P71" t="s">
        <v>151</v>
      </c>
      <c r="Q71" t="s">
        <v>151</v>
      </c>
      <c r="S71" t="str">
        <f t="shared" si="2"/>
        <v>INDUSINDBK</v>
      </c>
      <c r="T71" t="str">
        <f t="shared" si="3"/>
        <v>INDUSINDBK</v>
      </c>
    </row>
    <row r="72" spans="1:20">
      <c r="A72" t="s">
        <v>235</v>
      </c>
      <c r="B72" t="s">
        <v>94</v>
      </c>
      <c r="C72" t="s">
        <v>94</v>
      </c>
      <c r="D72">
        <v>600</v>
      </c>
      <c r="E72">
        <v>600</v>
      </c>
      <c r="F72">
        <v>600</v>
      </c>
      <c r="G72" t="s">
        <v>151</v>
      </c>
      <c r="I72" t="s">
        <v>151</v>
      </c>
      <c r="J72" t="s">
        <v>151</v>
      </c>
      <c r="K72" t="s">
        <v>151</v>
      </c>
      <c r="L72" t="s">
        <v>151</v>
      </c>
      <c r="M72" t="s">
        <v>151</v>
      </c>
      <c r="N72" t="s">
        <v>151</v>
      </c>
      <c r="O72" t="s">
        <v>151</v>
      </c>
      <c r="P72" t="s">
        <v>151</v>
      </c>
      <c r="Q72" t="s">
        <v>151</v>
      </c>
      <c r="S72" t="str">
        <f t="shared" si="2"/>
        <v>INFY</v>
      </c>
      <c r="T72" t="str">
        <f t="shared" si="3"/>
        <v>INFY</v>
      </c>
    </row>
    <row r="73" spans="1:20">
      <c r="A73" t="s">
        <v>236</v>
      </c>
      <c r="B73" t="s">
        <v>395</v>
      </c>
      <c r="C73" t="s">
        <v>395</v>
      </c>
      <c r="D73">
        <v>325</v>
      </c>
      <c r="E73">
        <v>325</v>
      </c>
      <c r="F73">
        <v>325</v>
      </c>
      <c r="G73" t="s">
        <v>151</v>
      </c>
      <c r="I73" t="s">
        <v>151</v>
      </c>
      <c r="J73" t="s">
        <v>151</v>
      </c>
      <c r="K73" t="s">
        <v>151</v>
      </c>
      <c r="L73" t="s">
        <v>151</v>
      </c>
      <c r="M73" t="s">
        <v>151</v>
      </c>
      <c r="N73" t="s">
        <v>151</v>
      </c>
      <c r="O73" t="s">
        <v>151</v>
      </c>
      <c r="P73" t="s">
        <v>151</v>
      </c>
      <c r="Q73" t="s">
        <v>151</v>
      </c>
      <c r="S73" t="str">
        <f t="shared" si="2"/>
        <v>IRCTC</v>
      </c>
      <c r="T73" t="str">
        <f t="shared" si="3"/>
        <v>IRCTC</v>
      </c>
    </row>
    <row r="74" spans="1:20">
      <c r="A74" t="s">
        <v>237</v>
      </c>
      <c r="B74" t="s">
        <v>396</v>
      </c>
      <c r="C74" t="s">
        <v>396</v>
      </c>
      <c r="D74">
        <v>3200</v>
      </c>
      <c r="E74">
        <v>3200</v>
      </c>
      <c r="F74">
        <v>3200</v>
      </c>
      <c r="G74" t="s">
        <v>151</v>
      </c>
      <c r="I74" t="s">
        <v>151</v>
      </c>
      <c r="J74" t="s">
        <v>151</v>
      </c>
      <c r="K74" t="s">
        <v>151</v>
      </c>
      <c r="L74" t="s">
        <v>151</v>
      </c>
      <c r="M74" t="s">
        <v>151</v>
      </c>
      <c r="N74" t="s">
        <v>151</v>
      </c>
      <c r="O74" t="s">
        <v>151</v>
      </c>
      <c r="P74" t="s">
        <v>151</v>
      </c>
      <c r="Q74" t="s">
        <v>151</v>
      </c>
      <c r="S74" t="str">
        <f t="shared" si="2"/>
        <v>ITC</v>
      </c>
      <c r="T74" t="str">
        <f t="shared" si="3"/>
        <v>ITC</v>
      </c>
    </row>
    <row r="75" spans="1:20">
      <c r="A75" t="s">
        <v>238</v>
      </c>
      <c r="B75" t="s">
        <v>239</v>
      </c>
      <c r="C75" t="s">
        <v>239</v>
      </c>
      <c r="D75">
        <v>2500</v>
      </c>
      <c r="E75">
        <v>2500</v>
      </c>
      <c r="F75">
        <v>2500</v>
      </c>
      <c r="G75" t="s">
        <v>151</v>
      </c>
      <c r="I75" t="s">
        <v>151</v>
      </c>
      <c r="J75" t="s">
        <v>151</v>
      </c>
      <c r="K75" t="s">
        <v>151</v>
      </c>
      <c r="L75" t="s">
        <v>151</v>
      </c>
      <c r="M75" t="s">
        <v>151</v>
      </c>
      <c r="N75" t="s">
        <v>151</v>
      </c>
      <c r="O75" t="s">
        <v>151</v>
      </c>
      <c r="P75" t="s">
        <v>151</v>
      </c>
      <c r="Q75" t="s">
        <v>151</v>
      </c>
      <c r="S75" t="str">
        <f t="shared" si="2"/>
        <v>JINDALSTEL</v>
      </c>
      <c r="T75" t="str">
        <f t="shared" si="3"/>
        <v>JINDALSTEL</v>
      </c>
    </row>
    <row r="76" spans="1:20">
      <c r="A76" t="s">
        <v>240</v>
      </c>
      <c r="B76" t="s">
        <v>132</v>
      </c>
      <c r="C76" t="s">
        <v>132</v>
      </c>
      <c r="D76">
        <v>1350</v>
      </c>
      <c r="E76">
        <v>1350</v>
      </c>
      <c r="F76">
        <v>1350</v>
      </c>
      <c r="G76" t="s">
        <v>151</v>
      </c>
      <c r="I76" t="s">
        <v>151</v>
      </c>
      <c r="J76" t="s">
        <v>151</v>
      </c>
      <c r="K76" t="s">
        <v>151</v>
      </c>
      <c r="L76" t="s">
        <v>151</v>
      </c>
      <c r="M76" t="s">
        <v>151</v>
      </c>
      <c r="N76" t="s">
        <v>151</v>
      </c>
      <c r="O76" t="s">
        <v>151</v>
      </c>
      <c r="P76" t="s">
        <v>151</v>
      </c>
      <c r="Q76" t="s">
        <v>151</v>
      </c>
      <c r="S76" t="str">
        <f t="shared" si="2"/>
        <v>JSWSTEEL</v>
      </c>
      <c r="T76" t="str">
        <f t="shared" si="3"/>
        <v>JSWSTEEL</v>
      </c>
    </row>
    <row r="77" spans="1:20">
      <c r="A77" t="s">
        <v>241</v>
      </c>
      <c r="B77" t="s">
        <v>242</v>
      </c>
      <c r="C77" t="s">
        <v>242</v>
      </c>
      <c r="D77">
        <v>250</v>
      </c>
      <c r="E77">
        <v>250</v>
      </c>
      <c r="F77">
        <v>250</v>
      </c>
      <c r="G77" t="s">
        <v>151</v>
      </c>
      <c r="I77" t="s">
        <v>151</v>
      </c>
      <c r="J77" t="s">
        <v>151</v>
      </c>
      <c r="K77" t="s">
        <v>151</v>
      </c>
      <c r="L77" t="s">
        <v>151</v>
      </c>
      <c r="M77" t="s">
        <v>151</v>
      </c>
      <c r="N77" t="s">
        <v>151</v>
      </c>
      <c r="O77" t="s">
        <v>151</v>
      </c>
      <c r="P77" t="s">
        <v>151</v>
      </c>
      <c r="Q77" t="s">
        <v>151</v>
      </c>
      <c r="S77" t="str">
        <f t="shared" si="2"/>
        <v>LALPATHLAB</v>
      </c>
      <c r="T77" t="str">
        <f t="shared" si="3"/>
        <v>LALPATHLAB</v>
      </c>
    </row>
    <row r="78" spans="1:20">
      <c r="A78" t="s">
        <v>243</v>
      </c>
      <c r="B78" t="s">
        <v>397</v>
      </c>
      <c r="C78" t="s">
        <v>397</v>
      </c>
      <c r="D78">
        <v>1500</v>
      </c>
      <c r="E78">
        <v>1500</v>
      </c>
      <c r="F78">
        <v>1500</v>
      </c>
      <c r="G78" t="s">
        <v>151</v>
      </c>
      <c r="I78" t="s">
        <v>151</v>
      </c>
      <c r="J78" t="s">
        <v>151</v>
      </c>
      <c r="K78" t="s">
        <v>151</v>
      </c>
      <c r="L78" t="s">
        <v>151</v>
      </c>
      <c r="M78" t="s">
        <v>151</v>
      </c>
      <c r="N78" t="s">
        <v>151</v>
      </c>
      <c r="O78" t="s">
        <v>151</v>
      </c>
      <c r="P78" t="s">
        <v>151</v>
      </c>
      <c r="Q78" t="s">
        <v>151</v>
      </c>
      <c r="S78" t="str">
        <f t="shared" si="2"/>
        <v>SUNTV</v>
      </c>
      <c r="T78" t="str">
        <f t="shared" si="3"/>
        <v>SUNTV</v>
      </c>
    </row>
    <row r="79" spans="1:20">
      <c r="A79" t="s">
        <v>244</v>
      </c>
      <c r="B79" t="s">
        <v>398</v>
      </c>
      <c r="C79" t="s">
        <v>398</v>
      </c>
      <c r="D79">
        <v>2000</v>
      </c>
      <c r="E79">
        <v>2000</v>
      </c>
      <c r="F79">
        <v>2000</v>
      </c>
      <c r="G79" t="s">
        <v>151</v>
      </c>
      <c r="I79" t="s">
        <v>151</v>
      </c>
      <c r="J79" t="s">
        <v>151</v>
      </c>
      <c r="K79" t="s">
        <v>151</v>
      </c>
      <c r="L79" t="s">
        <v>151</v>
      </c>
      <c r="M79" t="s">
        <v>151</v>
      </c>
      <c r="N79" t="s">
        <v>151</v>
      </c>
      <c r="O79" t="s">
        <v>151</v>
      </c>
      <c r="P79" t="s">
        <v>151</v>
      </c>
      <c r="Q79" t="s">
        <v>151</v>
      </c>
      <c r="S79" t="str">
        <f t="shared" si="2"/>
        <v>LICHSGFIN</v>
      </c>
      <c r="T79" t="str">
        <f t="shared" si="3"/>
        <v>LICHSGFIN</v>
      </c>
    </row>
    <row r="80" spans="1:20">
      <c r="A80" t="s">
        <v>245</v>
      </c>
      <c r="B80" t="s">
        <v>399</v>
      </c>
      <c r="C80" t="s">
        <v>399</v>
      </c>
      <c r="D80">
        <v>575</v>
      </c>
      <c r="E80">
        <v>575</v>
      </c>
      <c r="F80">
        <v>575</v>
      </c>
      <c r="G80" t="s">
        <v>151</v>
      </c>
      <c r="I80" t="s">
        <v>151</v>
      </c>
      <c r="J80" t="s">
        <v>151</v>
      </c>
      <c r="K80" t="s">
        <v>151</v>
      </c>
      <c r="L80" t="s">
        <v>151</v>
      </c>
      <c r="M80" t="s">
        <v>151</v>
      </c>
      <c r="N80" t="s">
        <v>151</v>
      </c>
      <c r="O80" t="s">
        <v>151</v>
      </c>
      <c r="P80" t="s">
        <v>151</v>
      </c>
      <c r="Q80" t="s">
        <v>151</v>
      </c>
      <c r="S80" t="str">
        <f t="shared" si="2"/>
        <v>LT</v>
      </c>
      <c r="T80" t="str">
        <f t="shared" si="3"/>
        <v>LT</v>
      </c>
    </row>
    <row r="81" spans="1:20">
      <c r="A81" t="s">
        <v>246</v>
      </c>
      <c r="B81" t="s">
        <v>400</v>
      </c>
      <c r="C81" t="s">
        <v>400</v>
      </c>
      <c r="D81">
        <v>200</v>
      </c>
      <c r="E81">
        <v>200</v>
      </c>
      <c r="F81">
        <v>200</v>
      </c>
      <c r="G81" t="s">
        <v>151</v>
      </c>
      <c r="I81" t="s">
        <v>151</v>
      </c>
      <c r="J81" t="s">
        <v>151</v>
      </c>
      <c r="K81" t="s">
        <v>151</v>
      </c>
      <c r="L81" t="s">
        <v>151</v>
      </c>
      <c r="M81" t="s">
        <v>151</v>
      </c>
      <c r="N81" t="s">
        <v>151</v>
      </c>
      <c r="O81" t="s">
        <v>151</v>
      </c>
      <c r="P81" t="s">
        <v>151</v>
      </c>
      <c r="Q81" t="s">
        <v>151</v>
      </c>
      <c r="S81" t="str">
        <f t="shared" si="2"/>
        <v>LTTS</v>
      </c>
      <c r="T81" t="str">
        <f t="shared" si="3"/>
        <v>LTTS</v>
      </c>
    </row>
    <row r="82" spans="1:20">
      <c r="A82" t="s">
        <v>247</v>
      </c>
      <c r="B82" t="s">
        <v>127</v>
      </c>
      <c r="C82" t="s">
        <v>127</v>
      </c>
      <c r="D82">
        <v>850</v>
      </c>
      <c r="E82">
        <v>850</v>
      </c>
      <c r="F82">
        <v>850</v>
      </c>
      <c r="G82" t="s">
        <v>151</v>
      </c>
      <c r="I82" t="s">
        <v>151</v>
      </c>
      <c r="J82" t="s">
        <v>151</v>
      </c>
      <c r="K82" t="s">
        <v>151</v>
      </c>
      <c r="L82" t="s">
        <v>151</v>
      </c>
      <c r="M82" t="s">
        <v>151</v>
      </c>
      <c r="N82" t="s">
        <v>151</v>
      </c>
      <c r="O82" t="s">
        <v>151</v>
      </c>
      <c r="P82" t="s">
        <v>151</v>
      </c>
      <c r="Q82" t="s">
        <v>151</v>
      </c>
      <c r="S82" t="str">
        <f t="shared" si="2"/>
        <v>LUPIN</v>
      </c>
      <c r="T82" t="str">
        <f t="shared" si="3"/>
        <v>LUPIN</v>
      </c>
    </row>
    <row r="83" spans="1:20">
      <c r="A83" t="s">
        <v>248</v>
      </c>
      <c r="B83" t="s">
        <v>401</v>
      </c>
      <c r="C83" t="s">
        <v>401</v>
      </c>
      <c r="D83">
        <v>4000</v>
      </c>
      <c r="E83">
        <v>4000</v>
      </c>
      <c r="F83">
        <v>4000</v>
      </c>
      <c r="G83" t="s">
        <v>151</v>
      </c>
      <c r="I83" t="s">
        <v>151</v>
      </c>
      <c r="J83" t="s">
        <v>151</v>
      </c>
      <c r="K83" t="s">
        <v>151</v>
      </c>
      <c r="L83" t="s">
        <v>151</v>
      </c>
      <c r="M83" t="s">
        <v>151</v>
      </c>
      <c r="N83" t="s">
        <v>151</v>
      </c>
      <c r="O83" t="s">
        <v>151</v>
      </c>
      <c r="P83" t="s">
        <v>151</v>
      </c>
      <c r="Q83" t="s">
        <v>151</v>
      </c>
      <c r="S83" t="str">
        <f t="shared" si="2"/>
        <v>M&amp;MFIN</v>
      </c>
      <c r="T83" t="str">
        <f t="shared" si="3"/>
        <v>M&amp;MFIN</v>
      </c>
    </row>
    <row r="84" spans="1:20">
      <c r="A84" t="s">
        <v>249</v>
      </c>
      <c r="B84" t="s">
        <v>250</v>
      </c>
      <c r="C84" t="s">
        <v>250</v>
      </c>
      <c r="D84">
        <v>6000</v>
      </c>
      <c r="E84">
        <v>6000</v>
      </c>
      <c r="F84">
        <v>6000</v>
      </c>
      <c r="G84" t="s">
        <v>151</v>
      </c>
      <c r="I84" t="s">
        <v>151</v>
      </c>
      <c r="J84" t="s">
        <v>151</v>
      </c>
      <c r="K84" t="s">
        <v>151</v>
      </c>
      <c r="L84" t="s">
        <v>151</v>
      </c>
      <c r="M84" t="s">
        <v>151</v>
      </c>
      <c r="N84" t="s">
        <v>151</v>
      </c>
      <c r="O84" t="s">
        <v>151</v>
      </c>
      <c r="P84" t="s">
        <v>151</v>
      </c>
      <c r="Q84" t="s">
        <v>151</v>
      </c>
      <c r="S84" t="str">
        <f t="shared" si="2"/>
        <v>MANAPPURAM</v>
      </c>
      <c r="T84" t="str">
        <f t="shared" si="3"/>
        <v>MANAPPURAM</v>
      </c>
    </row>
    <row r="85" spans="1:20">
      <c r="A85" t="s">
        <v>251</v>
      </c>
      <c r="B85" t="s">
        <v>90</v>
      </c>
      <c r="C85" t="s">
        <v>90</v>
      </c>
      <c r="D85">
        <v>300</v>
      </c>
      <c r="E85">
        <v>300</v>
      </c>
      <c r="F85">
        <v>300</v>
      </c>
      <c r="G85" t="s">
        <v>151</v>
      </c>
      <c r="I85" t="s">
        <v>151</v>
      </c>
      <c r="J85" t="s">
        <v>151</v>
      </c>
      <c r="K85" t="s">
        <v>151</v>
      </c>
      <c r="L85" t="s">
        <v>151</v>
      </c>
      <c r="M85" t="s">
        <v>151</v>
      </c>
      <c r="N85" t="s">
        <v>151</v>
      </c>
      <c r="O85" t="s">
        <v>151</v>
      </c>
      <c r="P85" t="s">
        <v>151</v>
      </c>
      <c r="Q85" t="s">
        <v>151</v>
      </c>
      <c r="S85" t="str">
        <f t="shared" si="2"/>
        <v>TCS</v>
      </c>
      <c r="T85" t="str">
        <f t="shared" si="3"/>
        <v>TCS</v>
      </c>
    </row>
    <row r="86" spans="1:20">
      <c r="A86" t="s">
        <v>252</v>
      </c>
      <c r="B86" t="s">
        <v>402</v>
      </c>
      <c r="C86" t="s">
        <v>402</v>
      </c>
      <c r="D86">
        <v>100</v>
      </c>
      <c r="E86">
        <v>100</v>
      </c>
      <c r="F86">
        <v>100</v>
      </c>
      <c r="G86" t="s">
        <v>151</v>
      </c>
      <c r="I86" t="s">
        <v>151</v>
      </c>
      <c r="J86" t="s">
        <v>151</v>
      </c>
      <c r="K86" t="s">
        <v>151</v>
      </c>
      <c r="L86" t="s">
        <v>151</v>
      </c>
      <c r="M86" t="s">
        <v>151</v>
      </c>
      <c r="N86" t="s">
        <v>151</v>
      </c>
      <c r="O86" t="s">
        <v>151</v>
      </c>
      <c r="P86" t="s">
        <v>151</v>
      </c>
      <c r="Q86" t="s">
        <v>151</v>
      </c>
      <c r="S86" t="str">
        <f t="shared" si="2"/>
        <v>MARUTI</v>
      </c>
      <c r="T86" t="str">
        <f t="shared" si="3"/>
        <v>MARUTI</v>
      </c>
    </row>
    <row r="87" spans="1:20">
      <c r="A87" t="s">
        <v>253</v>
      </c>
      <c r="B87" t="s">
        <v>254</v>
      </c>
      <c r="C87" t="s">
        <v>254</v>
      </c>
      <c r="D87">
        <v>1250</v>
      </c>
      <c r="E87">
        <v>1250</v>
      </c>
      <c r="F87">
        <v>1250</v>
      </c>
      <c r="G87" t="s">
        <v>151</v>
      </c>
      <c r="I87" t="s">
        <v>151</v>
      </c>
      <c r="J87" t="s">
        <v>151</v>
      </c>
      <c r="K87" t="s">
        <v>151</v>
      </c>
      <c r="L87" t="s">
        <v>151</v>
      </c>
      <c r="M87" t="s">
        <v>151</v>
      </c>
      <c r="N87" t="s">
        <v>151</v>
      </c>
      <c r="O87" t="s">
        <v>151</v>
      </c>
      <c r="P87" t="s">
        <v>151</v>
      </c>
      <c r="Q87" t="s">
        <v>151</v>
      </c>
      <c r="S87" t="str">
        <f t="shared" si="2"/>
        <v>MCDOWELL-N</v>
      </c>
      <c r="T87" t="str">
        <f t="shared" si="3"/>
        <v>MCDOWELL-N</v>
      </c>
    </row>
    <row r="88" spans="1:20">
      <c r="A88" t="s">
        <v>255</v>
      </c>
      <c r="B88" t="s">
        <v>403</v>
      </c>
      <c r="C88" t="s">
        <v>403</v>
      </c>
      <c r="D88">
        <v>600</v>
      </c>
      <c r="E88">
        <v>600</v>
      </c>
      <c r="F88">
        <v>600</v>
      </c>
      <c r="G88" t="s">
        <v>151</v>
      </c>
      <c r="I88" t="s">
        <v>151</v>
      </c>
      <c r="J88" t="s">
        <v>151</v>
      </c>
      <c r="K88" t="s">
        <v>151</v>
      </c>
      <c r="L88" t="s">
        <v>151</v>
      </c>
      <c r="M88" t="s">
        <v>151</v>
      </c>
      <c r="N88" t="s">
        <v>151</v>
      </c>
      <c r="O88" t="s">
        <v>151</v>
      </c>
      <c r="P88" t="s">
        <v>151</v>
      </c>
      <c r="Q88" t="s">
        <v>151</v>
      </c>
      <c r="S88" t="str">
        <f t="shared" si="2"/>
        <v>TECHM</v>
      </c>
      <c r="T88" t="str">
        <f t="shared" si="3"/>
        <v>TECHM</v>
      </c>
    </row>
    <row r="89" spans="1:20">
      <c r="A89" t="s">
        <v>256</v>
      </c>
      <c r="B89" t="s">
        <v>257</v>
      </c>
      <c r="C89" t="s">
        <v>257</v>
      </c>
      <c r="D89">
        <v>200</v>
      </c>
      <c r="E89">
        <v>200</v>
      </c>
      <c r="F89">
        <v>200</v>
      </c>
      <c r="G89" t="s">
        <v>151</v>
      </c>
      <c r="I89" t="s">
        <v>151</v>
      </c>
      <c r="J89" t="s">
        <v>151</v>
      </c>
      <c r="K89" t="s">
        <v>151</v>
      </c>
      <c r="L89" t="s">
        <v>151</v>
      </c>
      <c r="M89" t="s">
        <v>151</v>
      </c>
      <c r="N89" t="s">
        <v>151</v>
      </c>
      <c r="O89" t="s">
        <v>151</v>
      </c>
      <c r="P89" t="s">
        <v>151</v>
      </c>
      <c r="Q89" t="s">
        <v>151</v>
      </c>
      <c r="S89" t="str">
        <f t="shared" si="2"/>
        <v>METROPOLIS</v>
      </c>
      <c r="T89" t="str">
        <f t="shared" si="3"/>
        <v>METROPOLIS</v>
      </c>
    </row>
    <row r="90" spans="1:20">
      <c r="A90" t="s">
        <v>258</v>
      </c>
      <c r="B90" t="s">
        <v>404</v>
      </c>
      <c r="C90" t="s">
        <v>404</v>
      </c>
      <c r="D90">
        <v>650</v>
      </c>
      <c r="E90">
        <v>650</v>
      </c>
      <c r="F90">
        <v>650</v>
      </c>
      <c r="G90" t="s">
        <v>151</v>
      </c>
      <c r="I90" t="s">
        <v>151</v>
      </c>
      <c r="J90" t="s">
        <v>151</v>
      </c>
      <c r="K90" t="s">
        <v>151</v>
      </c>
      <c r="L90" t="s">
        <v>151</v>
      </c>
      <c r="M90" t="s">
        <v>151</v>
      </c>
      <c r="N90" t="s">
        <v>151</v>
      </c>
      <c r="O90" t="s">
        <v>151</v>
      </c>
      <c r="P90" t="s">
        <v>151</v>
      </c>
      <c r="Q90" t="s">
        <v>151</v>
      </c>
      <c r="S90" t="str">
        <f t="shared" si="2"/>
        <v>MFSL</v>
      </c>
      <c r="T90" t="str">
        <f t="shared" si="3"/>
        <v>MFSL</v>
      </c>
    </row>
    <row r="91" spans="1:20">
      <c r="A91" t="s">
        <v>259</v>
      </c>
      <c r="B91" t="s">
        <v>405</v>
      </c>
      <c r="C91" t="s">
        <v>405</v>
      </c>
      <c r="D91">
        <v>3100</v>
      </c>
      <c r="E91">
        <v>3100</v>
      </c>
      <c r="F91">
        <v>3100</v>
      </c>
      <c r="G91" t="s">
        <v>151</v>
      </c>
      <c r="I91" t="s">
        <v>151</v>
      </c>
      <c r="J91" t="s">
        <v>151</v>
      </c>
      <c r="K91" t="s">
        <v>151</v>
      </c>
      <c r="L91" t="s">
        <v>151</v>
      </c>
      <c r="M91" t="s">
        <v>151</v>
      </c>
      <c r="N91" t="s">
        <v>151</v>
      </c>
      <c r="O91" t="s">
        <v>151</v>
      </c>
      <c r="P91" t="s">
        <v>151</v>
      </c>
      <c r="Q91" t="s">
        <v>151</v>
      </c>
      <c r="S91" t="str">
        <f t="shared" si="2"/>
        <v>VEDL</v>
      </c>
      <c r="T91" t="str">
        <f t="shared" si="3"/>
        <v>VEDL</v>
      </c>
    </row>
    <row r="92" spans="1:20">
      <c r="A92" t="s">
        <v>260</v>
      </c>
      <c r="B92" t="s">
        <v>107</v>
      </c>
      <c r="C92" t="s">
        <v>107</v>
      </c>
      <c r="D92">
        <v>600</v>
      </c>
      <c r="E92">
        <v>600</v>
      </c>
      <c r="F92">
        <v>600</v>
      </c>
      <c r="G92" t="s">
        <v>151</v>
      </c>
      <c r="I92" t="s">
        <v>151</v>
      </c>
      <c r="J92" t="s">
        <v>151</v>
      </c>
      <c r="K92" t="s">
        <v>151</v>
      </c>
      <c r="L92" t="s">
        <v>151</v>
      </c>
      <c r="M92" t="s">
        <v>151</v>
      </c>
      <c r="N92" t="s">
        <v>151</v>
      </c>
      <c r="O92" t="s">
        <v>151</v>
      </c>
      <c r="P92" t="s">
        <v>151</v>
      </c>
      <c r="Q92" t="s">
        <v>151</v>
      </c>
      <c r="S92" t="str">
        <f t="shared" si="2"/>
        <v>MGL</v>
      </c>
      <c r="T92" t="str">
        <f t="shared" si="3"/>
        <v>MGL</v>
      </c>
    </row>
    <row r="93" spans="1:20">
      <c r="A93" t="s">
        <v>261</v>
      </c>
      <c r="B93" t="s">
        <v>16</v>
      </c>
      <c r="C93" t="s">
        <v>16</v>
      </c>
      <c r="D93">
        <v>550</v>
      </c>
      <c r="E93">
        <v>550</v>
      </c>
      <c r="F93">
        <v>550</v>
      </c>
      <c r="G93" t="s">
        <v>151</v>
      </c>
      <c r="I93" t="s">
        <v>151</v>
      </c>
      <c r="J93" t="s">
        <v>151</v>
      </c>
      <c r="K93" t="s">
        <v>151</v>
      </c>
      <c r="L93" t="s">
        <v>151</v>
      </c>
      <c r="M93" t="s">
        <v>151</v>
      </c>
      <c r="N93" t="s">
        <v>151</v>
      </c>
      <c r="O93" t="s">
        <v>151</v>
      </c>
      <c r="P93" t="s">
        <v>151</v>
      </c>
      <c r="Q93" t="s">
        <v>151</v>
      </c>
      <c r="S93" t="str">
        <f t="shared" si="2"/>
        <v>APLLTD</v>
      </c>
      <c r="T93" t="str">
        <f t="shared" si="3"/>
        <v>APLLTD</v>
      </c>
    </row>
    <row r="94" spans="1:20">
      <c r="A94" t="s">
        <v>262</v>
      </c>
      <c r="B94" t="s">
        <v>406</v>
      </c>
      <c r="C94" t="s">
        <v>406</v>
      </c>
      <c r="D94">
        <v>10</v>
      </c>
      <c r="E94">
        <v>10</v>
      </c>
      <c r="F94">
        <v>10</v>
      </c>
      <c r="G94" t="s">
        <v>151</v>
      </c>
      <c r="I94" t="s">
        <v>151</v>
      </c>
      <c r="J94" t="s">
        <v>151</v>
      </c>
      <c r="K94" t="s">
        <v>151</v>
      </c>
      <c r="L94" t="s">
        <v>151</v>
      </c>
      <c r="M94" t="s">
        <v>151</v>
      </c>
      <c r="N94" t="s">
        <v>151</v>
      </c>
      <c r="O94" t="s">
        <v>151</v>
      </c>
      <c r="P94" t="s">
        <v>151</v>
      </c>
      <c r="Q94" t="s">
        <v>151</v>
      </c>
      <c r="S94" t="str">
        <f t="shared" si="2"/>
        <v>MRF</v>
      </c>
      <c r="T94" t="str">
        <f t="shared" si="3"/>
        <v>MRF</v>
      </c>
    </row>
    <row r="95" spans="1:20">
      <c r="A95" t="s">
        <v>263</v>
      </c>
      <c r="B95" t="s">
        <v>131</v>
      </c>
      <c r="C95" t="s">
        <v>131</v>
      </c>
      <c r="D95">
        <v>750</v>
      </c>
      <c r="E95">
        <v>750</v>
      </c>
      <c r="F95">
        <v>750</v>
      </c>
      <c r="G95" t="s">
        <v>151</v>
      </c>
      <c r="I95" t="s">
        <v>151</v>
      </c>
      <c r="J95" t="s">
        <v>151</v>
      </c>
      <c r="K95" t="s">
        <v>151</v>
      </c>
      <c r="L95" t="s">
        <v>151</v>
      </c>
      <c r="M95" t="s">
        <v>151</v>
      </c>
      <c r="N95" t="s">
        <v>151</v>
      </c>
      <c r="O95" t="s">
        <v>151</v>
      </c>
      <c r="P95" t="s">
        <v>151</v>
      </c>
      <c r="Q95" t="s">
        <v>151</v>
      </c>
      <c r="S95" t="str">
        <f t="shared" si="2"/>
        <v>MUTHOOTFIN</v>
      </c>
      <c r="T95" t="str">
        <f t="shared" si="3"/>
        <v>MUTHOOTFIN</v>
      </c>
    </row>
    <row r="96" spans="1:20">
      <c r="A96" t="s">
        <v>264</v>
      </c>
      <c r="B96" t="s">
        <v>265</v>
      </c>
      <c r="C96" t="s">
        <v>265</v>
      </c>
      <c r="D96">
        <v>400</v>
      </c>
      <c r="E96">
        <v>400</v>
      </c>
      <c r="F96">
        <v>400</v>
      </c>
      <c r="G96" t="s">
        <v>151</v>
      </c>
      <c r="I96" t="s">
        <v>151</v>
      </c>
      <c r="J96" t="s">
        <v>151</v>
      </c>
      <c r="K96" t="s">
        <v>151</v>
      </c>
      <c r="L96" t="s">
        <v>151</v>
      </c>
      <c r="M96" t="s">
        <v>151</v>
      </c>
      <c r="N96" t="s">
        <v>151</v>
      </c>
      <c r="O96" t="s">
        <v>151</v>
      </c>
      <c r="P96" t="s">
        <v>151</v>
      </c>
      <c r="Q96" t="s">
        <v>151</v>
      </c>
      <c r="S96" t="str">
        <f t="shared" si="2"/>
        <v>BALKRISIND</v>
      </c>
      <c r="T96" t="str">
        <f t="shared" si="3"/>
        <v>BALKRISIND</v>
      </c>
    </row>
    <row r="97" spans="1:20">
      <c r="A97" t="s">
        <v>266</v>
      </c>
      <c r="B97" t="s">
        <v>407</v>
      </c>
      <c r="C97" t="s">
        <v>407</v>
      </c>
      <c r="D97">
        <v>125</v>
      </c>
      <c r="E97">
        <v>125</v>
      </c>
      <c r="F97">
        <v>125</v>
      </c>
      <c r="G97" t="s">
        <v>151</v>
      </c>
      <c r="I97" t="s">
        <v>151</v>
      </c>
      <c r="J97" t="s">
        <v>151</v>
      </c>
      <c r="K97" t="s">
        <v>151</v>
      </c>
      <c r="L97" t="s">
        <v>151</v>
      </c>
      <c r="M97" t="s">
        <v>151</v>
      </c>
      <c r="N97" t="s">
        <v>151</v>
      </c>
      <c r="O97" t="s">
        <v>151</v>
      </c>
      <c r="P97" t="s">
        <v>151</v>
      </c>
      <c r="Q97" t="s">
        <v>151</v>
      </c>
      <c r="S97" t="str">
        <f t="shared" si="2"/>
        <v>NAUKRI</v>
      </c>
      <c r="T97" t="str">
        <f t="shared" si="3"/>
        <v>NAUKRI</v>
      </c>
    </row>
    <row r="98" spans="1:20">
      <c r="A98" t="s">
        <v>267</v>
      </c>
      <c r="B98" t="s">
        <v>408</v>
      </c>
      <c r="C98" t="s">
        <v>408</v>
      </c>
      <c r="D98">
        <v>275</v>
      </c>
      <c r="E98">
        <v>275</v>
      </c>
      <c r="F98">
        <v>275</v>
      </c>
      <c r="G98" t="s">
        <v>151</v>
      </c>
      <c r="I98" t="s">
        <v>151</v>
      </c>
      <c r="J98" t="s">
        <v>151</v>
      </c>
      <c r="K98" t="s">
        <v>151</v>
      </c>
      <c r="L98" t="s">
        <v>151</v>
      </c>
      <c r="M98" t="s">
        <v>151</v>
      </c>
      <c r="N98" t="s">
        <v>151</v>
      </c>
      <c r="O98" t="s">
        <v>151</v>
      </c>
      <c r="P98" t="s">
        <v>151</v>
      </c>
      <c r="Q98" t="s">
        <v>151</v>
      </c>
      <c r="S98" t="str">
        <f t="shared" si="2"/>
        <v>ASTRAL</v>
      </c>
      <c r="T98" t="str">
        <f t="shared" si="3"/>
        <v>ASTRAL</v>
      </c>
    </row>
    <row r="99" spans="1:20">
      <c r="A99" t="s">
        <v>268</v>
      </c>
      <c r="B99" t="s">
        <v>128</v>
      </c>
      <c r="C99" t="s">
        <v>128</v>
      </c>
      <c r="D99">
        <v>225</v>
      </c>
      <c r="E99">
        <v>225</v>
      </c>
      <c r="F99">
        <v>225</v>
      </c>
      <c r="G99" t="s">
        <v>151</v>
      </c>
      <c r="I99" t="s">
        <v>151</v>
      </c>
      <c r="J99" t="s">
        <v>151</v>
      </c>
      <c r="K99" t="s">
        <v>151</v>
      </c>
      <c r="L99" t="s">
        <v>151</v>
      </c>
      <c r="M99" t="s">
        <v>151</v>
      </c>
      <c r="N99" t="s">
        <v>151</v>
      </c>
      <c r="O99" t="s">
        <v>151</v>
      </c>
      <c r="P99" t="s">
        <v>151</v>
      </c>
      <c r="Q99" t="s">
        <v>151</v>
      </c>
      <c r="S99" t="str">
        <f t="shared" si="2"/>
        <v>NAVINFLUOR</v>
      </c>
      <c r="T99" t="str">
        <f t="shared" si="3"/>
        <v>NAVINFLUOR</v>
      </c>
    </row>
    <row r="100" spans="1:20">
      <c r="A100" t="s">
        <v>269</v>
      </c>
      <c r="B100" t="s">
        <v>409</v>
      </c>
      <c r="C100" t="s">
        <v>409</v>
      </c>
      <c r="D100">
        <v>50</v>
      </c>
      <c r="E100">
        <v>50</v>
      </c>
      <c r="F100">
        <v>50</v>
      </c>
      <c r="G100" t="s">
        <v>151</v>
      </c>
      <c r="I100" t="s">
        <v>151</v>
      </c>
      <c r="J100" t="s">
        <v>151</v>
      </c>
      <c r="K100" t="s">
        <v>151</v>
      </c>
      <c r="L100" t="s">
        <v>151</v>
      </c>
      <c r="M100" t="s">
        <v>151</v>
      </c>
      <c r="N100" t="s">
        <v>151</v>
      </c>
      <c r="O100" t="s">
        <v>151</v>
      </c>
      <c r="P100" t="s">
        <v>151</v>
      </c>
      <c r="Q100" t="s">
        <v>151</v>
      </c>
      <c r="S100" t="str">
        <f t="shared" si="2"/>
        <v>NESTLEIND</v>
      </c>
      <c r="T100" t="str">
        <f t="shared" si="3"/>
        <v>NESTLEIND</v>
      </c>
    </row>
    <row r="101" spans="1:20">
      <c r="A101" t="s">
        <v>270</v>
      </c>
      <c r="B101" t="s">
        <v>410</v>
      </c>
      <c r="C101" t="s">
        <v>410</v>
      </c>
      <c r="D101">
        <v>6700</v>
      </c>
      <c r="E101">
        <v>6700</v>
      </c>
      <c r="F101">
        <v>6700</v>
      </c>
      <c r="G101" t="s">
        <v>151</v>
      </c>
      <c r="I101" t="s">
        <v>151</v>
      </c>
      <c r="J101" t="s">
        <v>151</v>
      </c>
      <c r="K101" t="s">
        <v>151</v>
      </c>
      <c r="L101" t="s">
        <v>151</v>
      </c>
      <c r="M101" t="s">
        <v>151</v>
      </c>
      <c r="N101" t="s">
        <v>151</v>
      </c>
      <c r="O101" t="s">
        <v>151</v>
      </c>
      <c r="P101" t="s">
        <v>151</v>
      </c>
      <c r="Q101" t="s">
        <v>151</v>
      </c>
      <c r="S101" t="str">
        <f t="shared" si="2"/>
        <v>NMDC</v>
      </c>
      <c r="T101" t="str">
        <f t="shared" si="3"/>
        <v>NMDC</v>
      </c>
    </row>
    <row r="102" spans="1:20">
      <c r="A102" t="s">
        <v>271</v>
      </c>
      <c r="B102" t="s">
        <v>411</v>
      </c>
      <c r="C102" t="s">
        <v>411</v>
      </c>
      <c r="D102">
        <v>5700</v>
      </c>
      <c r="E102">
        <v>5700</v>
      </c>
      <c r="F102">
        <v>5700</v>
      </c>
      <c r="G102" t="s">
        <v>151</v>
      </c>
      <c r="I102" t="s">
        <v>151</v>
      </c>
      <c r="J102" t="s">
        <v>151</v>
      </c>
      <c r="K102" t="s">
        <v>151</v>
      </c>
      <c r="L102" t="s">
        <v>151</v>
      </c>
      <c r="M102" t="s">
        <v>151</v>
      </c>
      <c r="N102" t="s">
        <v>151</v>
      </c>
      <c r="O102" t="s">
        <v>151</v>
      </c>
      <c r="P102" t="s">
        <v>151</v>
      </c>
      <c r="Q102" t="s">
        <v>151</v>
      </c>
      <c r="S102" t="str">
        <f t="shared" si="2"/>
        <v>NTPC</v>
      </c>
      <c r="T102" t="str">
        <f t="shared" si="3"/>
        <v>NTPC</v>
      </c>
    </row>
    <row r="103" spans="1:20">
      <c r="A103" t="s">
        <v>272</v>
      </c>
      <c r="B103" t="s">
        <v>412</v>
      </c>
      <c r="C103" t="s">
        <v>412</v>
      </c>
      <c r="D103">
        <v>7700</v>
      </c>
      <c r="E103">
        <v>7700</v>
      </c>
      <c r="F103">
        <v>7700</v>
      </c>
      <c r="G103" t="s">
        <v>151</v>
      </c>
      <c r="I103" t="s">
        <v>151</v>
      </c>
      <c r="J103" t="s">
        <v>151</v>
      </c>
      <c r="K103" t="s">
        <v>151</v>
      </c>
      <c r="L103" t="s">
        <v>151</v>
      </c>
      <c r="M103" t="s">
        <v>151</v>
      </c>
      <c r="N103" t="s">
        <v>151</v>
      </c>
      <c r="O103" t="s">
        <v>151</v>
      </c>
      <c r="P103" t="s">
        <v>151</v>
      </c>
      <c r="Q103" t="s">
        <v>151</v>
      </c>
      <c r="S103" t="str">
        <f t="shared" si="2"/>
        <v>ONGC</v>
      </c>
      <c r="T103" t="str">
        <f t="shared" si="3"/>
        <v>ONGC</v>
      </c>
    </row>
    <row r="104" spans="1:20">
      <c r="A104" t="s">
        <v>273</v>
      </c>
      <c r="B104" t="s">
        <v>129</v>
      </c>
      <c r="C104" t="s">
        <v>129</v>
      </c>
      <c r="D104">
        <v>125</v>
      </c>
      <c r="E104">
        <v>125</v>
      </c>
      <c r="F104">
        <v>125</v>
      </c>
      <c r="G104" t="s">
        <v>151</v>
      </c>
      <c r="I104" t="s">
        <v>151</v>
      </c>
      <c r="J104" t="s">
        <v>151</v>
      </c>
      <c r="K104" t="s">
        <v>151</v>
      </c>
      <c r="L104" t="s">
        <v>151</v>
      </c>
      <c r="M104" t="s">
        <v>151</v>
      </c>
      <c r="N104" t="s">
        <v>151</v>
      </c>
      <c r="O104" t="s">
        <v>151</v>
      </c>
      <c r="P104" t="s">
        <v>151</v>
      </c>
      <c r="Q104" t="s">
        <v>151</v>
      </c>
      <c r="S104" t="str">
        <f t="shared" si="2"/>
        <v>PFIZER</v>
      </c>
      <c r="T104" t="str">
        <f t="shared" si="3"/>
        <v>PFIZER</v>
      </c>
    </row>
    <row r="105" spans="1:20">
      <c r="A105" t="s">
        <v>274</v>
      </c>
      <c r="B105" t="s">
        <v>275</v>
      </c>
      <c r="C105" t="s">
        <v>275</v>
      </c>
      <c r="D105">
        <v>500</v>
      </c>
      <c r="E105">
        <v>500</v>
      </c>
      <c r="F105">
        <v>500</v>
      </c>
      <c r="G105" t="s">
        <v>151</v>
      </c>
      <c r="I105" t="s">
        <v>151</v>
      </c>
      <c r="J105" t="s">
        <v>151</v>
      </c>
      <c r="K105" t="s">
        <v>151</v>
      </c>
      <c r="L105" t="s">
        <v>151</v>
      </c>
      <c r="M105" t="s">
        <v>151</v>
      </c>
      <c r="N105" t="s">
        <v>151</v>
      </c>
      <c r="O105" t="s">
        <v>151</v>
      </c>
      <c r="P105" t="s">
        <v>151</v>
      </c>
      <c r="Q105" t="s">
        <v>151</v>
      </c>
      <c r="S105" t="str">
        <f t="shared" si="2"/>
        <v>PIDILITIND</v>
      </c>
      <c r="T105" t="str">
        <f t="shared" si="3"/>
        <v>PIDILITIND</v>
      </c>
    </row>
    <row r="106" spans="1:20">
      <c r="A106" t="s">
        <v>276</v>
      </c>
      <c r="B106" t="s">
        <v>413</v>
      </c>
      <c r="C106" t="s">
        <v>413</v>
      </c>
      <c r="D106">
        <v>250</v>
      </c>
      <c r="E106">
        <v>250</v>
      </c>
      <c r="F106">
        <v>250</v>
      </c>
      <c r="G106" t="s">
        <v>151</v>
      </c>
      <c r="I106" t="s">
        <v>151</v>
      </c>
      <c r="J106" t="s">
        <v>151</v>
      </c>
      <c r="K106" t="s">
        <v>151</v>
      </c>
      <c r="L106" t="s">
        <v>151</v>
      </c>
      <c r="M106" t="s">
        <v>151</v>
      </c>
      <c r="N106" t="s">
        <v>151</v>
      </c>
      <c r="O106" t="s">
        <v>151</v>
      </c>
      <c r="P106" t="s">
        <v>151</v>
      </c>
      <c r="Q106" t="s">
        <v>151</v>
      </c>
      <c r="S106" t="str">
        <f t="shared" si="2"/>
        <v>PIIND</v>
      </c>
      <c r="T106" t="str">
        <f t="shared" si="3"/>
        <v>PIIND</v>
      </c>
    </row>
    <row r="107" spans="1:20">
      <c r="A107" t="s">
        <v>277</v>
      </c>
      <c r="B107" t="s">
        <v>414</v>
      </c>
      <c r="C107" t="s">
        <v>414</v>
      </c>
      <c r="D107">
        <v>2900</v>
      </c>
      <c r="E107">
        <v>2900</v>
      </c>
      <c r="F107">
        <v>2900</v>
      </c>
      <c r="G107" t="s">
        <v>151</v>
      </c>
      <c r="I107" t="s">
        <v>151</v>
      </c>
      <c r="J107" t="s">
        <v>151</v>
      </c>
      <c r="K107" t="s">
        <v>151</v>
      </c>
      <c r="L107" t="s">
        <v>151</v>
      </c>
      <c r="M107" t="s">
        <v>151</v>
      </c>
      <c r="N107" t="s">
        <v>151</v>
      </c>
      <c r="O107" t="s">
        <v>151</v>
      </c>
      <c r="P107" t="s">
        <v>151</v>
      </c>
      <c r="Q107" t="s">
        <v>151</v>
      </c>
      <c r="S107" t="str">
        <f t="shared" si="2"/>
        <v>RBLBANK</v>
      </c>
      <c r="T107" t="str">
        <f t="shared" si="3"/>
        <v>RBLBANK</v>
      </c>
    </row>
    <row r="108" spans="1:20">
      <c r="A108" t="s">
        <v>278</v>
      </c>
      <c r="B108" t="s">
        <v>95</v>
      </c>
      <c r="C108" t="s">
        <v>95</v>
      </c>
      <c r="D108">
        <v>250</v>
      </c>
      <c r="E108">
        <v>250</v>
      </c>
      <c r="F108">
        <v>250</v>
      </c>
      <c r="G108" t="s">
        <v>151</v>
      </c>
      <c r="I108" t="s">
        <v>151</v>
      </c>
      <c r="J108" t="s">
        <v>151</v>
      </c>
      <c r="K108" t="s">
        <v>151</v>
      </c>
      <c r="L108" t="s">
        <v>151</v>
      </c>
      <c r="M108" t="s">
        <v>151</v>
      </c>
      <c r="N108" t="s">
        <v>151</v>
      </c>
      <c r="O108" t="s">
        <v>151</v>
      </c>
      <c r="P108" t="s">
        <v>151</v>
      </c>
      <c r="Q108" t="s">
        <v>151</v>
      </c>
      <c r="S108" t="str">
        <f t="shared" si="2"/>
        <v>RELIANCE</v>
      </c>
      <c r="T108" t="str">
        <f t="shared" si="3"/>
        <v>RELIANCE</v>
      </c>
    </row>
    <row r="109" spans="1:20">
      <c r="A109" t="s">
        <v>279</v>
      </c>
      <c r="B109" t="s">
        <v>415</v>
      </c>
      <c r="C109" t="s">
        <v>415</v>
      </c>
      <c r="D109">
        <v>9500</v>
      </c>
      <c r="E109">
        <v>9500</v>
      </c>
      <c r="F109">
        <v>9500</v>
      </c>
      <c r="G109" t="s">
        <v>151</v>
      </c>
      <c r="I109" t="s">
        <v>151</v>
      </c>
      <c r="J109" t="s">
        <v>151</v>
      </c>
      <c r="K109" t="s">
        <v>151</v>
      </c>
      <c r="L109" t="s">
        <v>151</v>
      </c>
      <c r="M109" t="s">
        <v>151</v>
      </c>
      <c r="N109" t="s">
        <v>151</v>
      </c>
      <c r="O109" t="s">
        <v>151</v>
      </c>
      <c r="P109" t="s">
        <v>151</v>
      </c>
      <c r="Q109" t="s">
        <v>151</v>
      </c>
      <c r="S109" t="str">
        <f t="shared" si="2"/>
        <v>SAIL</v>
      </c>
      <c r="T109" t="str">
        <f t="shared" si="3"/>
        <v>SAIL</v>
      </c>
    </row>
    <row r="110" spans="1:20">
      <c r="A110" t="s">
        <v>280</v>
      </c>
      <c r="B110" t="s">
        <v>416</v>
      </c>
      <c r="C110" t="s">
        <v>416</v>
      </c>
      <c r="D110">
        <v>750</v>
      </c>
      <c r="E110">
        <v>750</v>
      </c>
      <c r="F110">
        <v>750</v>
      </c>
      <c r="G110" t="s">
        <v>151</v>
      </c>
      <c r="I110" t="s">
        <v>151</v>
      </c>
      <c r="J110" t="s">
        <v>151</v>
      </c>
      <c r="K110" t="s">
        <v>151</v>
      </c>
      <c r="L110" t="s">
        <v>151</v>
      </c>
      <c r="M110" t="s">
        <v>151</v>
      </c>
      <c r="N110" t="s">
        <v>151</v>
      </c>
      <c r="O110" t="s">
        <v>151</v>
      </c>
      <c r="P110" t="s">
        <v>151</v>
      </c>
      <c r="Q110" t="s">
        <v>151</v>
      </c>
      <c r="S110" t="str">
        <f t="shared" si="2"/>
        <v>SBILIFE</v>
      </c>
      <c r="T110" t="str">
        <f t="shared" si="3"/>
        <v>SBILIFE</v>
      </c>
    </row>
    <row r="111" spans="1:20">
      <c r="A111" t="s">
        <v>281</v>
      </c>
      <c r="B111" t="s">
        <v>108</v>
      </c>
      <c r="C111" t="s">
        <v>108</v>
      </c>
      <c r="D111">
        <v>1500</v>
      </c>
      <c r="E111">
        <v>1500</v>
      </c>
      <c r="F111">
        <v>1500</v>
      </c>
      <c r="G111" t="s">
        <v>151</v>
      </c>
      <c r="I111" t="s">
        <v>151</v>
      </c>
      <c r="J111" t="s">
        <v>151</v>
      </c>
      <c r="K111" t="s">
        <v>151</v>
      </c>
      <c r="L111" t="s">
        <v>151</v>
      </c>
      <c r="M111" t="s">
        <v>151</v>
      </c>
      <c r="N111" t="s">
        <v>151</v>
      </c>
      <c r="O111" t="s">
        <v>151</v>
      </c>
      <c r="P111" t="s">
        <v>151</v>
      </c>
      <c r="Q111" t="s">
        <v>151</v>
      </c>
      <c r="S111" t="str">
        <f t="shared" si="2"/>
        <v>SBIN</v>
      </c>
      <c r="T111" t="str">
        <f t="shared" si="3"/>
        <v>SBIN</v>
      </c>
    </row>
    <row r="112" spans="1:20">
      <c r="A112" t="s">
        <v>282</v>
      </c>
      <c r="B112" t="s">
        <v>417</v>
      </c>
      <c r="C112" t="s">
        <v>417</v>
      </c>
      <c r="D112">
        <v>1000</v>
      </c>
      <c r="E112">
        <v>1000</v>
      </c>
      <c r="F112">
        <v>1000</v>
      </c>
      <c r="G112" t="s">
        <v>151</v>
      </c>
      <c r="I112" t="s">
        <v>151</v>
      </c>
      <c r="J112" t="s">
        <v>151</v>
      </c>
      <c r="K112" t="s">
        <v>151</v>
      </c>
      <c r="L112" t="s">
        <v>151</v>
      </c>
      <c r="M112" t="s">
        <v>151</v>
      </c>
      <c r="N112" t="s">
        <v>151</v>
      </c>
      <c r="O112" t="s">
        <v>151</v>
      </c>
      <c r="P112" t="s">
        <v>151</v>
      </c>
      <c r="Q112" t="s">
        <v>151</v>
      </c>
      <c r="S112" t="str">
        <f t="shared" si="2"/>
        <v>TATACHEM</v>
      </c>
      <c r="T112" t="str">
        <f t="shared" si="3"/>
        <v>TATACHEM</v>
      </c>
    </row>
    <row r="113" spans="1:20">
      <c r="A113" t="s">
        <v>283</v>
      </c>
      <c r="B113" t="s">
        <v>284</v>
      </c>
      <c r="C113" t="s">
        <v>284</v>
      </c>
      <c r="D113">
        <v>2850</v>
      </c>
      <c r="E113">
        <v>2850</v>
      </c>
      <c r="F113">
        <v>2850</v>
      </c>
      <c r="G113" t="s">
        <v>151</v>
      </c>
      <c r="I113" t="s">
        <v>151</v>
      </c>
      <c r="J113" t="s">
        <v>151</v>
      </c>
      <c r="K113" t="s">
        <v>151</v>
      </c>
      <c r="L113" t="s">
        <v>151</v>
      </c>
      <c r="M113" t="s">
        <v>151</v>
      </c>
      <c r="N113" t="s">
        <v>151</v>
      </c>
      <c r="O113" t="s">
        <v>151</v>
      </c>
      <c r="P113" t="s">
        <v>151</v>
      </c>
      <c r="Q113" t="s">
        <v>151</v>
      </c>
      <c r="S113" t="str">
        <f t="shared" si="2"/>
        <v>TATAMOTORS</v>
      </c>
      <c r="T113" t="str">
        <f t="shared" si="3"/>
        <v>TATAMOTORS</v>
      </c>
    </row>
    <row r="114" spans="1:20">
      <c r="A114" t="s">
        <v>285</v>
      </c>
      <c r="B114" t="s">
        <v>418</v>
      </c>
      <c r="C114" t="s">
        <v>418</v>
      </c>
      <c r="D114">
        <v>850</v>
      </c>
      <c r="E114">
        <v>850</v>
      </c>
      <c r="F114">
        <v>850</v>
      </c>
      <c r="G114" t="s">
        <v>151</v>
      </c>
      <c r="I114" t="s">
        <v>151</v>
      </c>
      <c r="J114" t="s">
        <v>151</v>
      </c>
      <c r="K114" t="s">
        <v>151</v>
      </c>
      <c r="L114" t="s">
        <v>151</v>
      </c>
      <c r="M114" t="s">
        <v>151</v>
      </c>
      <c r="N114" t="s">
        <v>151</v>
      </c>
      <c r="O114" t="s">
        <v>151</v>
      </c>
      <c r="P114" t="s">
        <v>151</v>
      </c>
      <c r="Q114" t="s">
        <v>151</v>
      </c>
      <c r="S114" t="str">
        <f t="shared" si="2"/>
        <v>TATASTEEL</v>
      </c>
      <c r="T114" t="str">
        <f t="shared" si="3"/>
        <v>TATASTEEL</v>
      </c>
    </row>
    <row r="115" spans="1:20">
      <c r="A115" t="s">
        <v>286</v>
      </c>
      <c r="B115" t="s">
        <v>419</v>
      </c>
      <c r="C115" t="s">
        <v>419</v>
      </c>
      <c r="D115">
        <v>375</v>
      </c>
      <c r="E115">
        <v>375</v>
      </c>
      <c r="F115">
        <v>375</v>
      </c>
      <c r="G115" t="s">
        <v>151</v>
      </c>
      <c r="I115" t="s">
        <v>151</v>
      </c>
      <c r="J115" t="s">
        <v>151</v>
      </c>
      <c r="K115" t="s">
        <v>151</v>
      </c>
      <c r="L115" t="s">
        <v>151</v>
      </c>
      <c r="M115" t="s">
        <v>151</v>
      </c>
      <c r="N115" t="s">
        <v>151</v>
      </c>
      <c r="O115" t="s">
        <v>151</v>
      </c>
      <c r="P115" t="s">
        <v>151</v>
      </c>
      <c r="Q115" t="s">
        <v>151</v>
      </c>
      <c r="S115" t="str">
        <f t="shared" si="2"/>
        <v>TITAN</v>
      </c>
      <c r="T115" t="str">
        <f t="shared" si="3"/>
        <v>TITAN</v>
      </c>
    </row>
    <row r="116" spans="1:20">
      <c r="A116" t="s">
        <v>287</v>
      </c>
      <c r="B116" t="s">
        <v>420</v>
      </c>
      <c r="C116" t="s">
        <v>420</v>
      </c>
      <c r="D116">
        <v>1400</v>
      </c>
      <c r="E116">
        <v>1400</v>
      </c>
      <c r="F116">
        <v>1400</v>
      </c>
      <c r="G116" t="s">
        <v>151</v>
      </c>
      <c r="I116" t="s">
        <v>151</v>
      </c>
      <c r="J116" t="s">
        <v>151</v>
      </c>
      <c r="K116" t="s">
        <v>151</v>
      </c>
      <c r="L116" t="s">
        <v>151</v>
      </c>
      <c r="M116" t="s">
        <v>151</v>
      </c>
      <c r="N116" t="s">
        <v>151</v>
      </c>
      <c r="O116" t="s">
        <v>151</v>
      </c>
      <c r="P116" t="s">
        <v>151</v>
      </c>
      <c r="Q116" t="s">
        <v>151</v>
      </c>
      <c r="S116" t="str">
        <f t="shared" si="2"/>
        <v>TVSMOTOR</v>
      </c>
      <c r="T116" t="str">
        <f t="shared" si="3"/>
        <v>TVSMOTOR</v>
      </c>
    </row>
    <row r="117" spans="1:20">
      <c r="A117" t="s">
        <v>288</v>
      </c>
      <c r="B117" t="s">
        <v>421</v>
      </c>
      <c r="C117" t="s">
        <v>421</v>
      </c>
      <c r="D117">
        <v>200</v>
      </c>
      <c r="E117">
        <v>200</v>
      </c>
      <c r="F117">
        <v>200</v>
      </c>
      <c r="G117" t="s">
        <v>151</v>
      </c>
      <c r="I117" t="s">
        <v>151</v>
      </c>
      <c r="J117" t="s">
        <v>151</v>
      </c>
      <c r="K117" t="s">
        <v>151</v>
      </c>
      <c r="L117" t="s">
        <v>151</v>
      </c>
      <c r="M117" t="s">
        <v>151</v>
      </c>
      <c r="N117" t="s">
        <v>151</v>
      </c>
      <c r="O117" t="s">
        <v>151</v>
      </c>
      <c r="P117" t="s">
        <v>151</v>
      </c>
      <c r="Q117" t="s">
        <v>151</v>
      </c>
      <c r="S117" t="str">
        <f t="shared" si="2"/>
        <v>DIVISLAB</v>
      </c>
      <c r="T117" t="str">
        <f t="shared" si="3"/>
        <v>DIVISLAB</v>
      </c>
    </row>
    <row r="118" spans="1:20">
      <c r="A118" t="s">
        <v>289</v>
      </c>
      <c r="B118" t="s">
        <v>109</v>
      </c>
      <c r="C118" t="s">
        <v>109</v>
      </c>
      <c r="D118">
        <v>100</v>
      </c>
      <c r="E118">
        <v>100</v>
      </c>
      <c r="F118">
        <v>100</v>
      </c>
      <c r="G118" t="s">
        <v>151</v>
      </c>
      <c r="I118" t="s">
        <v>151</v>
      </c>
      <c r="J118" t="s">
        <v>151</v>
      </c>
      <c r="K118" t="s">
        <v>151</v>
      </c>
      <c r="L118" t="s">
        <v>151</v>
      </c>
      <c r="M118" t="s">
        <v>151</v>
      </c>
      <c r="N118" t="s">
        <v>151</v>
      </c>
      <c r="O118" t="s">
        <v>151</v>
      </c>
      <c r="P118" t="s">
        <v>151</v>
      </c>
      <c r="Q118" t="s">
        <v>151</v>
      </c>
      <c r="S118" t="str">
        <f t="shared" si="2"/>
        <v>ULTRACEMCO</v>
      </c>
      <c r="T118" t="str">
        <f t="shared" si="3"/>
        <v>ULTRACEMCO</v>
      </c>
    </row>
    <row r="119" spans="1:20">
      <c r="A119" t="s">
        <v>290</v>
      </c>
      <c r="B119" t="s">
        <v>422</v>
      </c>
      <c r="C119" t="s">
        <v>422</v>
      </c>
      <c r="D119">
        <v>3000</v>
      </c>
      <c r="E119">
        <v>3000</v>
      </c>
      <c r="F119">
        <v>3000</v>
      </c>
      <c r="G119" t="s">
        <v>151</v>
      </c>
      <c r="I119" t="s">
        <v>151</v>
      </c>
      <c r="J119" t="s">
        <v>151</v>
      </c>
      <c r="K119" t="s">
        <v>151</v>
      </c>
      <c r="L119" t="s">
        <v>151</v>
      </c>
      <c r="M119" t="s">
        <v>151</v>
      </c>
      <c r="N119" t="s">
        <v>151</v>
      </c>
      <c r="O119" t="s">
        <v>151</v>
      </c>
      <c r="P119" t="s">
        <v>151</v>
      </c>
      <c r="Q119" t="s">
        <v>151</v>
      </c>
      <c r="S119" t="str">
        <f t="shared" si="2"/>
        <v>ZEEL</v>
      </c>
      <c r="T119" t="str">
        <f t="shared" si="3"/>
        <v>ZEEL</v>
      </c>
    </row>
    <row r="120" spans="1:20">
      <c r="A120" t="s">
        <v>291</v>
      </c>
      <c r="B120" t="s">
        <v>292</v>
      </c>
      <c r="C120" t="s">
        <v>292</v>
      </c>
      <c r="D120">
        <v>2500</v>
      </c>
      <c r="E120">
        <v>2500</v>
      </c>
      <c r="F120">
        <v>2500</v>
      </c>
      <c r="G120" t="s">
        <v>151</v>
      </c>
      <c r="I120" t="s">
        <v>151</v>
      </c>
      <c r="J120" t="s">
        <v>151</v>
      </c>
      <c r="K120" t="s">
        <v>151</v>
      </c>
      <c r="L120" t="s">
        <v>151</v>
      </c>
      <c r="M120" t="s">
        <v>151</v>
      </c>
      <c r="N120" t="s">
        <v>151</v>
      </c>
      <c r="O120" t="s">
        <v>151</v>
      </c>
      <c r="P120" t="s">
        <v>151</v>
      </c>
      <c r="Q120" t="s">
        <v>151</v>
      </c>
      <c r="S120" t="str">
        <f t="shared" si="2"/>
        <v>APOLLOTYRE</v>
      </c>
      <c r="T120" t="str">
        <f t="shared" si="3"/>
        <v>APOLLOTYRE</v>
      </c>
    </row>
    <row r="121" spans="1:20">
      <c r="A121" t="s">
        <v>293</v>
      </c>
      <c r="B121" t="s">
        <v>294</v>
      </c>
      <c r="C121" t="s">
        <v>294</v>
      </c>
      <c r="D121">
        <v>1100</v>
      </c>
      <c r="E121">
        <v>1100</v>
      </c>
      <c r="F121">
        <v>1100</v>
      </c>
      <c r="G121" t="s">
        <v>151</v>
      </c>
      <c r="I121" t="s">
        <v>151</v>
      </c>
      <c r="J121" t="s">
        <v>151</v>
      </c>
      <c r="K121" t="s">
        <v>151</v>
      </c>
      <c r="L121" t="s">
        <v>151</v>
      </c>
      <c r="M121" t="s">
        <v>151</v>
      </c>
      <c r="N121" t="s">
        <v>151</v>
      </c>
      <c r="O121" t="s">
        <v>151</v>
      </c>
      <c r="P121" t="s">
        <v>151</v>
      </c>
      <c r="Q121" t="s">
        <v>151</v>
      </c>
      <c r="S121" t="str">
        <f t="shared" si="2"/>
        <v>BERGEPAINT</v>
      </c>
      <c r="T121" t="str">
        <f t="shared" si="3"/>
        <v>BERGEPAINT</v>
      </c>
    </row>
    <row r="122" spans="1:20">
      <c r="A122" t="s">
        <v>295</v>
      </c>
      <c r="B122" t="s">
        <v>423</v>
      </c>
      <c r="C122" t="s">
        <v>423</v>
      </c>
      <c r="D122">
        <v>2300</v>
      </c>
      <c r="E122">
        <v>2300</v>
      </c>
      <c r="F122">
        <v>2300</v>
      </c>
      <c r="G122" t="s">
        <v>151</v>
      </c>
      <c r="I122" t="s">
        <v>151</v>
      </c>
      <c r="J122" t="s">
        <v>151</v>
      </c>
      <c r="K122" t="s">
        <v>151</v>
      </c>
      <c r="L122" t="s">
        <v>151</v>
      </c>
      <c r="M122" t="s">
        <v>151</v>
      </c>
      <c r="N122" t="s">
        <v>151</v>
      </c>
      <c r="O122" t="s">
        <v>151</v>
      </c>
      <c r="P122" t="s">
        <v>151</v>
      </c>
      <c r="Q122" t="s">
        <v>151</v>
      </c>
      <c r="S122" t="str">
        <f t="shared" si="2"/>
        <v>BIOCON</v>
      </c>
      <c r="T122" t="str">
        <f t="shared" si="3"/>
        <v>BIOCON</v>
      </c>
    </row>
    <row r="123" spans="1:20">
      <c r="A123" t="s">
        <v>296</v>
      </c>
      <c r="B123" t="s">
        <v>424</v>
      </c>
      <c r="C123" t="s">
        <v>424</v>
      </c>
      <c r="D123">
        <v>50</v>
      </c>
      <c r="E123">
        <v>50</v>
      </c>
      <c r="F123">
        <v>50</v>
      </c>
      <c r="G123" t="s">
        <v>151</v>
      </c>
      <c r="I123" t="s">
        <v>151</v>
      </c>
      <c r="J123" t="s">
        <v>151</v>
      </c>
      <c r="K123" t="s">
        <v>151</v>
      </c>
      <c r="L123" t="s">
        <v>151</v>
      </c>
      <c r="M123" t="s">
        <v>151</v>
      </c>
      <c r="N123" t="s">
        <v>151</v>
      </c>
      <c r="O123" t="s">
        <v>151</v>
      </c>
      <c r="P123" t="s">
        <v>151</v>
      </c>
      <c r="Q123" t="s">
        <v>151</v>
      </c>
      <c r="S123" t="str">
        <f t="shared" si="2"/>
        <v>BOSCHLTD</v>
      </c>
      <c r="T123" t="str">
        <f t="shared" si="3"/>
        <v>BOSCHLTD</v>
      </c>
    </row>
    <row r="124" spans="1:20">
      <c r="A124" t="s">
        <v>297</v>
      </c>
      <c r="B124" t="s">
        <v>425</v>
      </c>
      <c r="C124" t="s">
        <v>425</v>
      </c>
      <c r="D124">
        <v>200</v>
      </c>
      <c r="E124">
        <v>200</v>
      </c>
      <c r="F124">
        <v>200</v>
      </c>
      <c r="G124" t="s">
        <v>151</v>
      </c>
      <c r="I124" t="s">
        <v>151</v>
      </c>
      <c r="J124" t="s">
        <v>151</v>
      </c>
      <c r="K124" t="s">
        <v>151</v>
      </c>
      <c r="L124" t="s">
        <v>151</v>
      </c>
      <c r="M124" t="s">
        <v>151</v>
      </c>
      <c r="N124" t="s">
        <v>151</v>
      </c>
      <c r="O124" t="s">
        <v>151</v>
      </c>
      <c r="P124" t="s">
        <v>151</v>
      </c>
      <c r="Q124" t="s">
        <v>151</v>
      </c>
      <c r="S124" t="str">
        <f t="shared" si="2"/>
        <v>BRITANNIA</v>
      </c>
      <c r="T124" t="str">
        <f t="shared" si="3"/>
        <v>BRITANNIA</v>
      </c>
    </row>
    <row r="125" spans="1:20">
      <c r="A125" t="s">
        <v>298</v>
      </c>
      <c r="B125" t="s">
        <v>426</v>
      </c>
      <c r="C125" t="s">
        <v>426</v>
      </c>
      <c r="D125">
        <v>2200</v>
      </c>
      <c r="E125">
        <v>2200</v>
      </c>
      <c r="F125">
        <v>2200</v>
      </c>
      <c r="G125" t="s">
        <v>151</v>
      </c>
      <c r="I125" t="s">
        <v>151</v>
      </c>
      <c r="J125" t="s">
        <v>151</v>
      </c>
      <c r="K125" t="s">
        <v>151</v>
      </c>
      <c r="L125" t="s">
        <v>151</v>
      </c>
      <c r="M125" t="s">
        <v>151</v>
      </c>
      <c r="N125" t="s">
        <v>151</v>
      </c>
      <c r="O125" t="s">
        <v>151</v>
      </c>
      <c r="P125" t="s">
        <v>151</v>
      </c>
      <c r="Q125" t="s">
        <v>151</v>
      </c>
      <c r="S125" t="str">
        <f t="shared" si="2"/>
        <v>CADILAHC</v>
      </c>
      <c r="T125" t="str">
        <f t="shared" si="3"/>
        <v>CADILAHC</v>
      </c>
    </row>
    <row r="126" spans="1:20">
      <c r="A126" t="s">
        <v>299</v>
      </c>
      <c r="B126" t="s">
        <v>427</v>
      </c>
      <c r="C126" t="s">
        <v>427</v>
      </c>
      <c r="D126">
        <v>475</v>
      </c>
      <c r="E126">
        <v>475</v>
      </c>
      <c r="F126">
        <v>475</v>
      </c>
      <c r="G126" t="s">
        <v>151</v>
      </c>
      <c r="I126" t="s">
        <v>151</v>
      </c>
      <c r="J126" t="s">
        <v>151</v>
      </c>
      <c r="K126" t="s">
        <v>151</v>
      </c>
      <c r="L126" t="s">
        <v>151</v>
      </c>
      <c r="M126" t="s">
        <v>151</v>
      </c>
      <c r="N126" t="s">
        <v>151</v>
      </c>
      <c r="O126" t="s">
        <v>151</v>
      </c>
      <c r="P126" t="s">
        <v>151</v>
      </c>
      <c r="Q126" t="s">
        <v>151</v>
      </c>
      <c r="S126" t="str">
        <f t="shared" si="2"/>
        <v>GRASIM</v>
      </c>
      <c r="T126" t="str">
        <f t="shared" si="3"/>
        <v>GRASIM</v>
      </c>
    </row>
    <row r="127" spans="1:20">
      <c r="A127" t="s">
        <v>300</v>
      </c>
      <c r="B127" t="s">
        <v>428</v>
      </c>
      <c r="C127" t="s">
        <v>428</v>
      </c>
      <c r="D127">
        <v>1250</v>
      </c>
      <c r="E127">
        <v>1250</v>
      </c>
      <c r="F127">
        <v>1250</v>
      </c>
      <c r="G127" t="s">
        <v>151</v>
      </c>
      <c r="I127" t="s">
        <v>151</v>
      </c>
      <c r="J127" t="s">
        <v>151</v>
      </c>
      <c r="K127" t="s">
        <v>151</v>
      </c>
      <c r="L127" t="s">
        <v>151</v>
      </c>
      <c r="M127" t="s">
        <v>151</v>
      </c>
      <c r="N127" t="s">
        <v>151</v>
      </c>
      <c r="O127" t="s">
        <v>151</v>
      </c>
      <c r="P127" t="s">
        <v>151</v>
      </c>
      <c r="Q127" t="s">
        <v>151</v>
      </c>
      <c r="S127" t="str">
        <f t="shared" si="2"/>
        <v>CHOLAFIN</v>
      </c>
      <c r="T127" t="str">
        <f t="shared" si="3"/>
        <v>CHOLAFIN</v>
      </c>
    </row>
    <row r="128" spans="1:20">
      <c r="A128" t="s">
        <v>301</v>
      </c>
      <c r="B128" t="s">
        <v>124</v>
      </c>
      <c r="C128" t="s">
        <v>124</v>
      </c>
      <c r="D128">
        <v>125</v>
      </c>
      <c r="E128">
        <v>125</v>
      </c>
      <c r="F128">
        <v>125</v>
      </c>
      <c r="G128" t="s">
        <v>151</v>
      </c>
      <c r="I128" t="s">
        <v>151</v>
      </c>
      <c r="J128" t="s">
        <v>151</v>
      </c>
      <c r="K128" t="s">
        <v>151</v>
      </c>
      <c r="L128" t="s">
        <v>151</v>
      </c>
      <c r="M128" t="s">
        <v>151</v>
      </c>
      <c r="N128" t="s">
        <v>151</v>
      </c>
      <c r="O128" t="s">
        <v>151</v>
      </c>
      <c r="P128" t="s">
        <v>151</v>
      </c>
      <c r="Q128" t="s">
        <v>151</v>
      </c>
      <c r="S128" t="str">
        <f t="shared" si="2"/>
        <v>DRREDDY</v>
      </c>
      <c r="T128" t="str">
        <f t="shared" si="3"/>
        <v>DRREDDY</v>
      </c>
    </row>
    <row r="129" spans="1:20">
      <c r="A129" t="s">
        <v>302</v>
      </c>
      <c r="B129" t="s">
        <v>429</v>
      </c>
      <c r="C129" t="s">
        <v>429</v>
      </c>
      <c r="D129">
        <v>350</v>
      </c>
      <c r="E129">
        <v>350</v>
      </c>
      <c r="F129">
        <v>350</v>
      </c>
      <c r="G129" t="s">
        <v>151</v>
      </c>
      <c r="I129" t="s">
        <v>151</v>
      </c>
      <c r="J129" t="s">
        <v>151</v>
      </c>
      <c r="K129" t="s">
        <v>151</v>
      </c>
      <c r="L129" t="s">
        <v>151</v>
      </c>
      <c r="M129" t="s">
        <v>151</v>
      </c>
      <c r="N129" t="s">
        <v>151</v>
      </c>
      <c r="O129" t="s">
        <v>151</v>
      </c>
      <c r="P129" t="s">
        <v>151</v>
      </c>
      <c r="Q129" t="s">
        <v>151</v>
      </c>
      <c r="S129" t="str">
        <f t="shared" si="2"/>
        <v>EICHERMOT</v>
      </c>
      <c r="T129" t="str">
        <f t="shared" si="3"/>
        <v>EICHERMOT</v>
      </c>
    </row>
    <row r="130" spans="1:20">
      <c r="A130" t="s">
        <v>303</v>
      </c>
      <c r="B130" t="s">
        <v>430</v>
      </c>
      <c r="C130" t="s">
        <v>430</v>
      </c>
      <c r="D130">
        <v>22500</v>
      </c>
      <c r="E130">
        <v>22500</v>
      </c>
      <c r="F130">
        <v>22500</v>
      </c>
      <c r="G130" t="s">
        <v>151</v>
      </c>
      <c r="I130" t="s">
        <v>151</v>
      </c>
      <c r="J130" t="s">
        <v>151</v>
      </c>
      <c r="K130" t="s">
        <v>151</v>
      </c>
      <c r="L130" t="s">
        <v>151</v>
      </c>
      <c r="M130" t="s">
        <v>151</v>
      </c>
      <c r="N130" t="s">
        <v>151</v>
      </c>
      <c r="O130" t="s">
        <v>151</v>
      </c>
      <c r="P130" t="s">
        <v>151</v>
      </c>
      <c r="Q130" t="s">
        <v>151</v>
      </c>
      <c r="S130" t="str">
        <f t="shared" si="2"/>
        <v>GMRINFRA</v>
      </c>
      <c r="T130" t="str">
        <f t="shared" si="3"/>
        <v>GMRINFRA</v>
      </c>
    </row>
    <row r="131" spans="1:20">
      <c r="A131" t="s">
        <v>304</v>
      </c>
      <c r="B131" t="s">
        <v>431</v>
      </c>
      <c r="C131" t="s">
        <v>431</v>
      </c>
      <c r="D131">
        <v>275</v>
      </c>
      <c r="E131">
        <v>275</v>
      </c>
      <c r="F131">
        <v>275</v>
      </c>
      <c r="G131" t="s">
        <v>151</v>
      </c>
      <c r="I131" t="s">
        <v>151</v>
      </c>
      <c r="J131" t="s">
        <v>151</v>
      </c>
      <c r="K131" t="s">
        <v>151</v>
      </c>
      <c r="L131" t="s">
        <v>151</v>
      </c>
      <c r="M131" t="s">
        <v>151</v>
      </c>
      <c r="N131" t="s">
        <v>151</v>
      </c>
      <c r="O131" t="s">
        <v>151</v>
      </c>
      <c r="P131" t="s">
        <v>151</v>
      </c>
      <c r="Q131" t="s">
        <v>151</v>
      </c>
      <c r="S131" t="str">
        <f t="shared" ref="S131:S177" si="4">TRIM(B131)</f>
        <v>PEL</v>
      </c>
      <c r="T131" t="str">
        <f t="shared" ref="T131:T177" si="5">TRIM(C131)</f>
        <v>PEL</v>
      </c>
    </row>
    <row r="132" spans="1:20">
      <c r="A132" t="s">
        <v>305</v>
      </c>
      <c r="B132" t="s">
        <v>18</v>
      </c>
      <c r="C132" t="s">
        <v>18</v>
      </c>
      <c r="D132">
        <v>6200</v>
      </c>
      <c r="E132">
        <v>6200</v>
      </c>
      <c r="F132">
        <v>6200</v>
      </c>
      <c r="G132" t="s">
        <v>151</v>
      </c>
      <c r="I132" t="s">
        <v>151</v>
      </c>
      <c r="J132" t="s">
        <v>151</v>
      </c>
      <c r="K132" t="s">
        <v>151</v>
      </c>
      <c r="L132" t="s">
        <v>151</v>
      </c>
      <c r="M132" t="s">
        <v>151</v>
      </c>
      <c r="N132" t="s">
        <v>151</v>
      </c>
      <c r="O132" t="s">
        <v>151</v>
      </c>
      <c r="P132" t="s">
        <v>151</v>
      </c>
      <c r="Q132" t="s">
        <v>151</v>
      </c>
      <c r="S132" t="str">
        <f t="shared" si="4"/>
        <v>PFC</v>
      </c>
      <c r="T132" t="str">
        <f t="shared" si="5"/>
        <v>PFC</v>
      </c>
    </row>
    <row r="133" spans="1:20">
      <c r="A133" t="s">
        <v>306</v>
      </c>
      <c r="B133" t="s">
        <v>432</v>
      </c>
      <c r="C133" t="s">
        <v>432</v>
      </c>
      <c r="D133">
        <v>1375</v>
      </c>
      <c r="E133">
        <v>1375</v>
      </c>
      <c r="F133">
        <v>1375</v>
      </c>
      <c r="G133" t="s">
        <v>151</v>
      </c>
      <c r="I133" t="s">
        <v>151</v>
      </c>
      <c r="J133" t="s">
        <v>151</v>
      </c>
      <c r="K133" t="s">
        <v>151</v>
      </c>
      <c r="L133" t="s">
        <v>151</v>
      </c>
      <c r="M133" t="s">
        <v>151</v>
      </c>
      <c r="N133" t="s">
        <v>151</v>
      </c>
      <c r="O133" t="s">
        <v>151</v>
      </c>
      <c r="P133" t="s">
        <v>151</v>
      </c>
      <c r="Q133" t="s">
        <v>151</v>
      </c>
      <c r="S133" t="str">
        <f t="shared" si="4"/>
        <v>IGL</v>
      </c>
      <c r="T133" t="str">
        <f t="shared" si="5"/>
        <v>IGL</v>
      </c>
    </row>
    <row r="134" spans="1:20">
      <c r="A134" t="s">
        <v>307</v>
      </c>
      <c r="B134" t="s">
        <v>433</v>
      </c>
      <c r="C134" t="s">
        <v>433</v>
      </c>
      <c r="D134">
        <v>6000</v>
      </c>
      <c r="E134">
        <v>6000</v>
      </c>
      <c r="F134">
        <v>6000</v>
      </c>
      <c r="G134" t="s">
        <v>151</v>
      </c>
      <c r="I134" t="s">
        <v>151</v>
      </c>
      <c r="J134" t="s">
        <v>151</v>
      </c>
      <c r="K134" t="s">
        <v>151</v>
      </c>
      <c r="L134" t="s">
        <v>151</v>
      </c>
      <c r="M134" t="s">
        <v>151</v>
      </c>
      <c r="N134" t="s">
        <v>151</v>
      </c>
      <c r="O134" t="s">
        <v>151</v>
      </c>
      <c r="P134" t="s">
        <v>151</v>
      </c>
      <c r="Q134" t="s">
        <v>151</v>
      </c>
      <c r="S134" t="str">
        <f t="shared" si="4"/>
        <v>RECLTD</v>
      </c>
      <c r="T134" t="str">
        <f t="shared" si="5"/>
        <v>RECLTD</v>
      </c>
    </row>
    <row r="135" spans="1:20">
      <c r="A135" t="s">
        <v>308</v>
      </c>
      <c r="B135" t="s">
        <v>434</v>
      </c>
      <c r="C135" t="s">
        <v>434</v>
      </c>
      <c r="D135">
        <v>1600</v>
      </c>
      <c r="E135">
        <v>1600</v>
      </c>
      <c r="F135">
        <v>1600</v>
      </c>
      <c r="G135" t="s">
        <v>151</v>
      </c>
      <c r="I135" t="s">
        <v>151</v>
      </c>
      <c r="J135" t="s">
        <v>151</v>
      </c>
      <c r="K135" t="s">
        <v>151</v>
      </c>
      <c r="L135" t="s">
        <v>151</v>
      </c>
      <c r="M135" t="s">
        <v>151</v>
      </c>
      <c r="N135" t="s">
        <v>151</v>
      </c>
      <c r="O135" t="s">
        <v>151</v>
      </c>
      <c r="P135" t="s">
        <v>151</v>
      </c>
      <c r="Q135" t="s">
        <v>151</v>
      </c>
      <c r="S135" t="str">
        <f t="shared" si="4"/>
        <v>NAM-INDIA</v>
      </c>
      <c r="T135" t="str">
        <f t="shared" si="5"/>
        <v>NAM-INDIA</v>
      </c>
    </row>
    <row r="136" spans="1:20">
      <c r="A136" t="s">
        <v>309</v>
      </c>
      <c r="B136" t="s">
        <v>435</v>
      </c>
      <c r="C136" t="s">
        <v>435</v>
      </c>
      <c r="D136">
        <v>25</v>
      </c>
      <c r="E136">
        <v>25</v>
      </c>
      <c r="F136">
        <v>25</v>
      </c>
      <c r="G136" t="s">
        <v>151</v>
      </c>
      <c r="I136" t="s">
        <v>151</v>
      </c>
      <c r="J136" t="s">
        <v>151</v>
      </c>
      <c r="K136" t="s">
        <v>151</v>
      </c>
      <c r="L136" t="s">
        <v>151</v>
      </c>
      <c r="M136" t="s">
        <v>151</v>
      </c>
      <c r="N136" t="s">
        <v>151</v>
      </c>
      <c r="O136" t="s">
        <v>151</v>
      </c>
      <c r="P136" t="s">
        <v>151</v>
      </c>
      <c r="Q136" t="s">
        <v>151</v>
      </c>
      <c r="S136" t="str">
        <f t="shared" si="4"/>
        <v>SHREECEM</v>
      </c>
      <c r="T136" t="str">
        <f t="shared" si="5"/>
        <v>SHREECEM</v>
      </c>
    </row>
    <row r="137" spans="1:20">
      <c r="A137" t="s">
        <v>310</v>
      </c>
      <c r="B137" t="s">
        <v>436</v>
      </c>
      <c r="C137" t="s">
        <v>436</v>
      </c>
      <c r="D137">
        <v>675</v>
      </c>
      <c r="E137">
        <v>675</v>
      </c>
      <c r="F137">
        <v>675</v>
      </c>
      <c r="G137" t="s">
        <v>151</v>
      </c>
      <c r="I137" t="s">
        <v>151</v>
      </c>
      <c r="J137" t="s">
        <v>151</v>
      </c>
      <c r="K137" t="s">
        <v>151</v>
      </c>
      <c r="L137" t="s">
        <v>151</v>
      </c>
      <c r="M137" t="s">
        <v>151</v>
      </c>
      <c r="N137" t="s">
        <v>151</v>
      </c>
      <c r="O137" t="s">
        <v>151</v>
      </c>
      <c r="P137" t="s">
        <v>151</v>
      </c>
      <c r="Q137" t="s">
        <v>151</v>
      </c>
      <c r="S137" t="str">
        <f t="shared" si="4"/>
        <v>STAR</v>
      </c>
      <c r="T137" t="str">
        <f t="shared" si="5"/>
        <v>STAR</v>
      </c>
    </row>
    <row r="138" spans="1:20">
      <c r="A138" t="s">
        <v>311</v>
      </c>
      <c r="B138" t="s">
        <v>130</v>
      </c>
      <c r="C138" t="s">
        <v>130</v>
      </c>
      <c r="D138">
        <v>6750</v>
      </c>
      <c r="E138">
        <v>6750</v>
      </c>
      <c r="F138">
        <v>6750</v>
      </c>
      <c r="G138" t="s">
        <v>151</v>
      </c>
      <c r="I138" t="s">
        <v>151</v>
      </c>
      <c r="J138" t="s">
        <v>151</v>
      </c>
      <c r="K138" t="s">
        <v>151</v>
      </c>
      <c r="L138" t="s">
        <v>151</v>
      </c>
      <c r="M138" t="s">
        <v>151</v>
      </c>
      <c r="N138" t="s">
        <v>151</v>
      </c>
      <c r="O138" t="s">
        <v>151</v>
      </c>
      <c r="P138" t="s">
        <v>151</v>
      </c>
      <c r="Q138" t="s">
        <v>151</v>
      </c>
      <c r="S138" t="str">
        <f t="shared" si="4"/>
        <v>TATAPOWER</v>
      </c>
      <c r="T138" t="str">
        <f t="shared" si="5"/>
        <v>TATAPOWER</v>
      </c>
    </row>
    <row r="139" spans="1:20">
      <c r="A139" t="s">
        <v>312</v>
      </c>
      <c r="B139" t="s">
        <v>437</v>
      </c>
      <c r="C139" t="s">
        <v>437</v>
      </c>
      <c r="D139">
        <v>16000</v>
      </c>
      <c r="E139">
        <v>16000</v>
      </c>
      <c r="F139">
        <v>16000</v>
      </c>
      <c r="G139" t="s">
        <v>151</v>
      </c>
      <c r="I139" t="s">
        <v>151</v>
      </c>
      <c r="J139" t="s">
        <v>151</v>
      </c>
      <c r="K139" t="s">
        <v>151</v>
      </c>
      <c r="L139" t="s">
        <v>151</v>
      </c>
      <c r="M139" t="s">
        <v>151</v>
      </c>
      <c r="N139" t="s">
        <v>151</v>
      </c>
      <c r="O139" t="s">
        <v>151</v>
      </c>
      <c r="P139" t="s">
        <v>151</v>
      </c>
      <c r="Q139" t="s">
        <v>151</v>
      </c>
      <c r="S139" t="str">
        <f t="shared" si="4"/>
        <v>PNB</v>
      </c>
      <c r="T139" t="str">
        <f t="shared" si="5"/>
        <v>PNB</v>
      </c>
    </row>
    <row r="140" spans="1:20">
      <c r="A140" t="s">
        <v>313</v>
      </c>
      <c r="B140" t="s">
        <v>438</v>
      </c>
      <c r="C140" t="s">
        <v>438</v>
      </c>
      <c r="D140">
        <v>725</v>
      </c>
      <c r="E140">
        <v>725</v>
      </c>
      <c r="F140">
        <v>725</v>
      </c>
      <c r="G140" t="s">
        <v>151</v>
      </c>
      <c r="I140" t="s">
        <v>151</v>
      </c>
      <c r="J140" t="s">
        <v>151</v>
      </c>
      <c r="K140" t="s">
        <v>151</v>
      </c>
      <c r="L140" t="s">
        <v>151</v>
      </c>
      <c r="M140" t="s">
        <v>151</v>
      </c>
      <c r="N140" t="s">
        <v>151</v>
      </c>
      <c r="O140" t="s">
        <v>151</v>
      </c>
      <c r="P140" t="s">
        <v>151</v>
      </c>
      <c r="Q140" t="s">
        <v>151</v>
      </c>
      <c r="S140" t="str">
        <f t="shared" si="4"/>
        <v>TRENT</v>
      </c>
      <c r="T140" t="str">
        <f t="shared" si="5"/>
        <v>TRENT</v>
      </c>
    </row>
    <row r="141" spans="1:20">
      <c r="A141" t="s">
        <v>314</v>
      </c>
      <c r="B141" t="s">
        <v>315</v>
      </c>
      <c r="C141" t="s">
        <v>315</v>
      </c>
      <c r="D141">
        <v>400</v>
      </c>
      <c r="E141">
        <v>400</v>
      </c>
      <c r="F141">
        <v>400</v>
      </c>
      <c r="G141" t="s">
        <v>151</v>
      </c>
      <c r="I141" t="s">
        <v>151</v>
      </c>
      <c r="J141" t="s">
        <v>151</v>
      </c>
      <c r="K141" t="s">
        <v>151</v>
      </c>
      <c r="L141" t="s">
        <v>151</v>
      </c>
      <c r="M141" t="s">
        <v>151</v>
      </c>
      <c r="N141" t="s">
        <v>151</v>
      </c>
      <c r="O141" t="s">
        <v>151</v>
      </c>
      <c r="P141" t="s">
        <v>151</v>
      </c>
      <c r="Q141" t="s">
        <v>151</v>
      </c>
      <c r="S141" t="str">
        <f t="shared" si="4"/>
        <v>SRTRANSFIN</v>
      </c>
      <c r="T141" t="str">
        <f t="shared" si="5"/>
        <v>SRTRANSFIN</v>
      </c>
    </row>
    <row r="142" spans="1:20">
      <c r="A142" t="s">
        <v>316</v>
      </c>
      <c r="B142" t="s">
        <v>317</v>
      </c>
      <c r="C142" t="s">
        <v>317</v>
      </c>
      <c r="D142">
        <v>1350</v>
      </c>
      <c r="E142">
        <v>1350</v>
      </c>
      <c r="F142">
        <v>1350</v>
      </c>
      <c r="G142" t="s">
        <v>151</v>
      </c>
      <c r="I142" t="s">
        <v>151</v>
      </c>
      <c r="J142" t="s">
        <v>151</v>
      </c>
      <c r="K142" t="s">
        <v>151</v>
      </c>
      <c r="L142" t="s">
        <v>151</v>
      </c>
      <c r="M142" t="s">
        <v>151</v>
      </c>
      <c r="N142" t="s">
        <v>151</v>
      </c>
      <c r="O142" t="s">
        <v>151</v>
      </c>
      <c r="P142" t="s">
        <v>151</v>
      </c>
      <c r="Q142" t="s">
        <v>151</v>
      </c>
      <c r="S142" t="str">
        <f t="shared" si="4"/>
        <v>TATACONSUM</v>
      </c>
      <c r="T142" t="str">
        <f t="shared" si="5"/>
        <v>TATACONSUM</v>
      </c>
    </row>
    <row r="143" spans="1:20">
      <c r="A143" t="s">
        <v>318</v>
      </c>
      <c r="B143" t="s">
        <v>319</v>
      </c>
      <c r="C143" t="s">
        <v>319</v>
      </c>
      <c r="D143">
        <v>250</v>
      </c>
      <c r="E143">
        <v>250</v>
      </c>
      <c r="F143">
        <v>250</v>
      </c>
      <c r="G143" t="s">
        <v>151</v>
      </c>
      <c r="I143" t="s">
        <v>151</v>
      </c>
      <c r="J143" t="s">
        <v>151</v>
      </c>
      <c r="K143" t="s">
        <v>151</v>
      </c>
      <c r="L143" t="s">
        <v>151</v>
      </c>
      <c r="M143" t="s">
        <v>151</v>
      </c>
      <c r="N143" t="s">
        <v>151</v>
      </c>
      <c r="O143" t="s">
        <v>151</v>
      </c>
      <c r="P143" t="s">
        <v>151</v>
      </c>
      <c r="Q143" t="s">
        <v>151</v>
      </c>
      <c r="S143" t="str">
        <f t="shared" si="4"/>
        <v>TORNTPHARM</v>
      </c>
      <c r="T143" t="str">
        <f t="shared" si="5"/>
        <v>TORNTPHARM</v>
      </c>
    </row>
    <row r="144" spans="1:20">
      <c r="A144" t="s">
        <v>320</v>
      </c>
      <c r="B144" t="s">
        <v>439</v>
      </c>
      <c r="C144" t="s">
        <v>439</v>
      </c>
      <c r="D144">
        <v>700</v>
      </c>
      <c r="E144">
        <v>700</v>
      </c>
      <c r="F144">
        <v>700</v>
      </c>
      <c r="G144" t="s">
        <v>151</v>
      </c>
      <c r="I144" t="s">
        <v>151</v>
      </c>
      <c r="J144" t="s">
        <v>151</v>
      </c>
      <c r="K144" t="s">
        <v>151</v>
      </c>
      <c r="L144" t="s">
        <v>151</v>
      </c>
      <c r="M144" t="s">
        <v>151</v>
      </c>
      <c r="N144" t="s">
        <v>151</v>
      </c>
      <c r="O144" t="s">
        <v>151</v>
      </c>
      <c r="P144" t="s">
        <v>151</v>
      </c>
      <c r="Q144" t="s">
        <v>151</v>
      </c>
      <c r="S144" t="str">
        <f t="shared" si="4"/>
        <v>UBL</v>
      </c>
      <c r="T144" t="str">
        <f t="shared" si="5"/>
        <v>UBL</v>
      </c>
    </row>
    <row r="145" spans="1:20">
      <c r="A145" t="s">
        <v>321</v>
      </c>
      <c r="B145" t="s">
        <v>440</v>
      </c>
      <c r="C145" t="s">
        <v>440</v>
      </c>
      <c r="D145">
        <v>500</v>
      </c>
      <c r="E145">
        <v>500</v>
      </c>
      <c r="F145">
        <v>500</v>
      </c>
      <c r="G145" t="s">
        <v>151</v>
      </c>
      <c r="I145" t="s">
        <v>151</v>
      </c>
      <c r="J145" t="s">
        <v>151</v>
      </c>
      <c r="K145" t="s">
        <v>151</v>
      </c>
      <c r="L145" t="s">
        <v>151</v>
      </c>
      <c r="M145" t="s">
        <v>151</v>
      </c>
      <c r="N145" t="s">
        <v>151</v>
      </c>
      <c r="O145" t="s">
        <v>151</v>
      </c>
      <c r="P145" t="s">
        <v>151</v>
      </c>
      <c r="Q145" t="s">
        <v>151</v>
      </c>
      <c r="S145" t="str">
        <f t="shared" si="4"/>
        <v>VOLTAS</v>
      </c>
      <c r="T145" t="str">
        <f t="shared" si="5"/>
        <v>VOLTAS</v>
      </c>
    </row>
    <row r="146" spans="1:20">
      <c r="A146" t="s">
        <v>322</v>
      </c>
      <c r="B146" t="s">
        <v>323</v>
      </c>
      <c r="C146" t="s">
        <v>323</v>
      </c>
      <c r="D146">
        <v>1500</v>
      </c>
      <c r="E146">
        <v>1500</v>
      </c>
      <c r="F146">
        <v>1500</v>
      </c>
      <c r="G146" t="s">
        <v>151</v>
      </c>
      <c r="I146" t="s">
        <v>151</v>
      </c>
      <c r="J146" t="s">
        <v>151</v>
      </c>
      <c r="K146" t="s">
        <v>151</v>
      </c>
      <c r="L146" t="s">
        <v>151</v>
      </c>
      <c r="M146" t="s">
        <v>151</v>
      </c>
      <c r="N146" t="s">
        <v>151</v>
      </c>
      <c r="O146" t="s">
        <v>151</v>
      </c>
      <c r="P146" t="s">
        <v>151</v>
      </c>
      <c r="Q146" t="s">
        <v>151</v>
      </c>
      <c r="S146" t="str">
        <f t="shared" si="4"/>
        <v>BHARATFORG</v>
      </c>
      <c r="T146" t="str">
        <f t="shared" si="5"/>
        <v>BHARATFORG</v>
      </c>
    </row>
    <row r="147" spans="1:20">
      <c r="A147" t="s">
        <v>324</v>
      </c>
      <c r="B147" t="s">
        <v>441</v>
      </c>
      <c r="C147" t="s">
        <v>441</v>
      </c>
      <c r="D147">
        <v>1563</v>
      </c>
      <c r="E147">
        <v>1563</v>
      </c>
      <c r="F147">
        <v>1563</v>
      </c>
      <c r="G147" t="s">
        <v>151</v>
      </c>
      <c r="I147" t="s">
        <v>151</v>
      </c>
      <c r="J147" t="s">
        <v>151</v>
      </c>
      <c r="K147" t="s">
        <v>151</v>
      </c>
      <c r="L147" t="s">
        <v>151</v>
      </c>
      <c r="M147" t="s">
        <v>151</v>
      </c>
      <c r="N147" t="s">
        <v>151</v>
      </c>
      <c r="O147" t="s">
        <v>151</v>
      </c>
      <c r="P147" t="s">
        <v>151</v>
      </c>
      <c r="Q147" t="s">
        <v>151</v>
      </c>
      <c r="S147" t="str">
        <f t="shared" si="4"/>
        <v>CONCOR</v>
      </c>
      <c r="T147" t="str">
        <f t="shared" si="5"/>
        <v>CONCOR</v>
      </c>
    </row>
    <row r="148" spans="1:20">
      <c r="A148" t="s">
        <v>325</v>
      </c>
      <c r="B148" t="s">
        <v>442</v>
      </c>
      <c r="C148" t="s">
        <v>442</v>
      </c>
      <c r="D148">
        <v>1000</v>
      </c>
      <c r="E148">
        <v>1000</v>
      </c>
      <c r="F148">
        <v>1000</v>
      </c>
      <c r="G148" t="s">
        <v>151</v>
      </c>
      <c r="I148" t="s">
        <v>151</v>
      </c>
      <c r="J148" t="s">
        <v>151</v>
      </c>
      <c r="K148" t="s">
        <v>151</v>
      </c>
      <c r="L148" t="s">
        <v>151</v>
      </c>
      <c r="M148" t="s">
        <v>151</v>
      </c>
      <c r="N148" t="s">
        <v>151</v>
      </c>
      <c r="O148" t="s">
        <v>151</v>
      </c>
      <c r="P148" t="s">
        <v>151</v>
      </c>
      <c r="Q148" t="s">
        <v>151</v>
      </c>
      <c r="S148" t="str">
        <f t="shared" si="4"/>
        <v>GODREJCP</v>
      </c>
      <c r="T148" t="str">
        <f t="shared" si="5"/>
        <v>GODREJCP</v>
      </c>
    </row>
    <row r="149" spans="1:20">
      <c r="A149" t="s">
        <v>326</v>
      </c>
      <c r="B149" t="s">
        <v>443</v>
      </c>
      <c r="C149" t="s">
        <v>443</v>
      </c>
      <c r="D149">
        <v>500</v>
      </c>
      <c r="E149">
        <v>500</v>
      </c>
      <c r="F149">
        <v>500</v>
      </c>
      <c r="G149" t="s">
        <v>151</v>
      </c>
      <c r="I149" t="s">
        <v>151</v>
      </c>
      <c r="J149" t="s">
        <v>151</v>
      </c>
      <c r="K149" t="s">
        <v>151</v>
      </c>
      <c r="L149" t="s">
        <v>151</v>
      </c>
      <c r="M149" t="s">
        <v>151</v>
      </c>
      <c r="N149" t="s">
        <v>151</v>
      </c>
      <c r="O149" t="s">
        <v>151</v>
      </c>
      <c r="P149" t="s">
        <v>151</v>
      </c>
      <c r="Q149" t="s">
        <v>151</v>
      </c>
      <c r="S149" t="str">
        <f t="shared" si="4"/>
        <v>HAVELLS</v>
      </c>
      <c r="T149" t="str">
        <f t="shared" si="5"/>
        <v>HAVELLS</v>
      </c>
    </row>
    <row r="150" spans="1:20">
      <c r="A150" t="s">
        <v>327</v>
      </c>
      <c r="B150" t="s">
        <v>328</v>
      </c>
      <c r="C150" t="s">
        <v>328</v>
      </c>
      <c r="D150">
        <v>2800</v>
      </c>
      <c r="E150">
        <v>2800</v>
      </c>
      <c r="F150">
        <v>2800</v>
      </c>
      <c r="G150" t="s">
        <v>151</v>
      </c>
      <c r="I150" t="s">
        <v>151</v>
      </c>
      <c r="J150" t="s">
        <v>151</v>
      </c>
      <c r="K150" t="s">
        <v>151</v>
      </c>
      <c r="L150" t="s">
        <v>151</v>
      </c>
      <c r="M150" t="s">
        <v>151</v>
      </c>
      <c r="N150" t="s">
        <v>151</v>
      </c>
      <c r="O150" t="s">
        <v>151</v>
      </c>
      <c r="P150" t="s">
        <v>151</v>
      </c>
      <c r="Q150" t="s">
        <v>151</v>
      </c>
      <c r="S150" t="str">
        <f t="shared" si="4"/>
        <v>INDUSTOWER</v>
      </c>
      <c r="T150" t="str">
        <f t="shared" si="5"/>
        <v>INDUSTOWER</v>
      </c>
    </row>
    <row r="151" spans="1:20">
      <c r="A151" t="s">
        <v>329</v>
      </c>
      <c r="B151" t="s">
        <v>106</v>
      </c>
      <c r="C151" t="s">
        <v>106</v>
      </c>
      <c r="D151">
        <v>400</v>
      </c>
      <c r="E151">
        <v>400</v>
      </c>
      <c r="F151">
        <v>400</v>
      </c>
      <c r="G151" t="s">
        <v>151</v>
      </c>
      <c r="I151" t="s">
        <v>151</v>
      </c>
      <c r="J151" t="s">
        <v>151</v>
      </c>
      <c r="K151" t="s">
        <v>151</v>
      </c>
      <c r="L151" t="s">
        <v>151</v>
      </c>
      <c r="M151" t="s">
        <v>151</v>
      </c>
      <c r="N151" t="s">
        <v>151</v>
      </c>
      <c r="O151" t="s">
        <v>151</v>
      </c>
      <c r="P151" t="s">
        <v>151</v>
      </c>
      <c r="Q151" t="s">
        <v>151</v>
      </c>
      <c r="S151" t="str">
        <f t="shared" si="4"/>
        <v>KOTAKBANK</v>
      </c>
      <c r="T151" t="str">
        <f t="shared" si="5"/>
        <v>KOTAKBANK</v>
      </c>
    </row>
    <row r="152" spans="1:20">
      <c r="A152" t="s">
        <v>330</v>
      </c>
      <c r="B152" t="s">
        <v>444</v>
      </c>
      <c r="C152" t="s">
        <v>444</v>
      </c>
      <c r="D152">
        <v>8924</v>
      </c>
      <c r="E152">
        <v>8924</v>
      </c>
      <c r="F152">
        <v>8924</v>
      </c>
      <c r="G152" t="s">
        <v>151</v>
      </c>
      <c r="I152" t="s">
        <v>151</v>
      </c>
      <c r="J152" t="s">
        <v>151</v>
      </c>
      <c r="K152" t="s">
        <v>151</v>
      </c>
      <c r="L152" t="s">
        <v>151</v>
      </c>
      <c r="M152" t="s">
        <v>151</v>
      </c>
      <c r="N152" t="s">
        <v>151</v>
      </c>
      <c r="O152" t="s">
        <v>151</v>
      </c>
      <c r="P152" t="s">
        <v>151</v>
      </c>
      <c r="Q152" t="s">
        <v>151</v>
      </c>
      <c r="S152" t="str">
        <f t="shared" si="4"/>
        <v>L&amp;TFH</v>
      </c>
      <c r="T152" t="str">
        <f t="shared" si="5"/>
        <v>L&amp;TFH</v>
      </c>
    </row>
    <row r="153" spans="1:20">
      <c r="A153" t="s">
        <v>331</v>
      </c>
      <c r="B153" t="s">
        <v>445</v>
      </c>
      <c r="C153" t="s">
        <v>445</v>
      </c>
      <c r="D153">
        <v>700</v>
      </c>
      <c r="E153">
        <v>700</v>
      </c>
      <c r="F153">
        <v>700</v>
      </c>
      <c r="G153" t="s">
        <v>151</v>
      </c>
      <c r="I153" t="s">
        <v>151</v>
      </c>
      <c r="J153" t="s">
        <v>151</v>
      </c>
      <c r="K153" t="s">
        <v>151</v>
      </c>
      <c r="L153" t="s">
        <v>151</v>
      </c>
      <c r="M153" t="s">
        <v>151</v>
      </c>
      <c r="N153" t="s">
        <v>151</v>
      </c>
      <c r="O153" t="s">
        <v>151</v>
      </c>
      <c r="P153" t="s">
        <v>151</v>
      </c>
      <c r="Q153" t="s">
        <v>151</v>
      </c>
      <c r="S153" t="str">
        <f t="shared" si="4"/>
        <v>M&amp;M</v>
      </c>
      <c r="T153" t="str">
        <f t="shared" si="5"/>
        <v>M&amp;M</v>
      </c>
    </row>
    <row r="154" spans="1:20">
      <c r="A154" t="s">
        <v>332</v>
      </c>
      <c r="B154" t="s">
        <v>446</v>
      </c>
      <c r="C154" t="s">
        <v>446</v>
      </c>
      <c r="D154">
        <v>3600</v>
      </c>
      <c r="E154">
        <v>3600</v>
      </c>
      <c r="F154">
        <v>3600</v>
      </c>
      <c r="G154" t="s">
        <v>151</v>
      </c>
      <c r="I154" t="s">
        <v>151</v>
      </c>
      <c r="J154" t="s">
        <v>151</v>
      </c>
      <c r="K154" t="s">
        <v>151</v>
      </c>
      <c r="L154" t="s">
        <v>151</v>
      </c>
      <c r="M154" t="s">
        <v>151</v>
      </c>
      <c r="N154" t="s">
        <v>151</v>
      </c>
      <c r="O154" t="s">
        <v>151</v>
      </c>
      <c r="P154" t="s">
        <v>151</v>
      </c>
      <c r="Q154" t="s">
        <v>151</v>
      </c>
      <c r="S154" t="str">
        <f t="shared" si="4"/>
        <v>EXIDEIND</v>
      </c>
      <c r="T154" t="str">
        <f t="shared" si="5"/>
        <v>EXIDEIND</v>
      </c>
    </row>
    <row r="155" spans="1:20">
      <c r="A155" t="s">
        <v>333</v>
      </c>
      <c r="B155" t="s">
        <v>447</v>
      </c>
      <c r="C155" t="s">
        <v>447</v>
      </c>
      <c r="D155">
        <v>325</v>
      </c>
      <c r="E155">
        <v>325</v>
      </c>
      <c r="F155">
        <v>325</v>
      </c>
      <c r="G155" t="s">
        <v>151</v>
      </c>
      <c r="I155" t="s">
        <v>151</v>
      </c>
      <c r="J155" t="s">
        <v>151</v>
      </c>
      <c r="K155" t="s">
        <v>151</v>
      </c>
      <c r="L155" t="s">
        <v>151</v>
      </c>
      <c r="M155" t="s">
        <v>151</v>
      </c>
      <c r="N155" t="s">
        <v>151</v>
      </c>
      <c r="O155" t="s">
        <v>151</v>
      </c>
      <c r="P155" t="s">
        <v>151</v>
      </c>
      <c r="Q155" t="s">
        <v>151</v>
      </c>
      <c r="S155" t="str">
        <f t="shared" si="4"/>
        <v>MPHASIS</v>
      </c>
      <c r="T155" t="str">
        <f t="shared" si="5"/>
        <v>MPHASIS</v>
      </c>
    </row>
    <row r="156" spans="1:20">
      <c r="A156" t="s">
        <v>334</v>
      </c>
      <c r="B156" t="s">
        <v>448</v>
      </c>
      <c r="C156" t="s">
        <v>448</v>
      </c>
      <c r="D156">
        <v>3000</v>
      </c>
      <c r="E156">
        <v>3000</v>
      </c>
      <c r="F156">
        <v>3000</v>
      </c>
      <c r="G156" t="s">
        <v>151</v>
      </c>
      <c r="I156" t="s">
        <v>151</v>
      </c>
      <c r="J156" t="s">
        <v>151</v>
      </c>
      <c r="K156" t="s">
        <v>151</v>
      </c>
      <c r="L156" t="s">
        <v>151</v>
      </c>
      <c r="M156" t="s">
        <v>151</v>
      </c>
      <c r="N156" t="s">
        <v>151</v>
      </c>
      <c r="O156" t="s">
        <v>151</v>
      </c>
      <c r="P156" t="s">
        <v>151</v>
      </c>
      <c r="Q156" t="s">
        <v>151</v>
      </c>
      <c r="S156" t="str">
        <f t="shared" si="4"/>
        <v>PETRONET</v>
      </c>
      <c r="T156" t="str">
        <f t="shared" si="5"/>
        <v>PETRONET</v>
      </c>
    </row>
    <row r="157" spans="1:20">
      <c r="A157" t="s">
        <v>335</v>
      </c>
      <c r="B157" t="s">
        <v>449</v>
      </c>
      <c r="C157" t="s">
        <v>449</v>
      </c>
      <c r="D157">
        <v>407</v>
      </c>
      <c r="E157">
        <v>407</v>
      </c>
      <c r="F157">
        <v>407</v>
      </c>
      <c r="G157" t="s">
        <v>151</v>
      </c>
      <c r="I157" t="s">
        <v>151</v>
      </c>
      <c r="J157" t="s">
        <v>151</v>
      </c>
      <c r="K157" t="s">
        <v>151</v>
      </c>
      <c r="L157" t="s">
        <v>151</v>
      </c>
      <c r="M157" t="s">
        <v>151</v>
      </c>
      <c r="N157" t="s">
        <v>151</v>
      </c>
      <c r="O157" t="s">
        <v>151</v>
      </c>
      <c r="P157" t="s">
        <v>151</v>
      </c>
      <c r="Q157" t="s">
        <v>151</v>
      </c>
      <c r="S157" t="str">
        <f t="shared" si="4"/>
        <v>PVR</v>
      </c>
      <c r="T157" t="str">
        <f t="shared" si="5"/>
        <v>PVR</v>
      </c>
    </row>
    <row r="158" spans="1:20">
      <c r="A158" t="s">
        <v>336</v>
      </c>
      <c r="B158" t="s">
        <v>450</v>
      </c>
      <c r="C158" t="s">
        <v>450</v>
      </c>
      <c r="D158">
        <v>275</v>
      </c>
      <c r="E158">
        <v>275</v>
      </c>
      <c r="F158">
        <v>275</v>
      </c>
      <c r="G158" t="s">
        <v>151</v>
      </c>
      <c r="I158" t="s">
        <v>151</v>
      </c>
      <c r="J158" t="s">
        <v>151</v>
      </c>
      <c r="K158" t="s">
        <v>151</v>
      </c>
      <c r="L158" t="s">
        <v>151</v>
      </c>
      <c r="M158" t="s">
        <v>151</v>
      </c>
      <c r="N158" t="s">
        <v>151</v>
      </c>
      <c r="O158" t="s">
        <v>151</v>
      </c>
      <c r="P158" t="s">
        <v>151</v>
      </c>
      <c r="Q158" t="s">
        <v>151</v>
      </c>
      <c r="S158" t="str">
        <f t="shared" si="4"/>
        <v>SIEMENS</v>
      </c>
      <c r="T158" t="str">
        <f t="shared" si="5"/>
        <v>SIEMENS</v>
      </c>
    </row>
    <row r="159" spans="1:20">
      <c r="A159" t="s">
        <v>337</v>
      </c>
      <c r="B159" t="s">
        <v>451</v>
      </c>
      <c r="C159" t="s">
        <v>451</v>
      </c>
      <c r="D159">
        <v>1600</v>
      </c>
      <c r="E159">
        <v>1600</v>
      </c>
      <c r="F159">
        <v>1600</v>
      </c>
      <c r="G159" t="s">
        <v>151</v>
      </c>
      <c r="I159" t="s">
        <v>151</v>
      </c>
      <c r="J159" t="s">
        <v>151</v>
      </c>
      <c r="K159" t="s">
        <v>151</v>
      </c>
      <c r="L159" t="s">
        <v>151</v>
      </c>
      <c r="M159" t="s">
        <v>151</v>
      </c>
      <c r="N159" t="s">
        <v>151</v>
      </c>
      <c r="O159" t="s">
        <v>151</v>
      </c>
      <c r="P159" t="s">
        <v>151</v>
      </c>
      <c r="Q159" t="s">
        <v>151</v>
      </c>
      <c r="S159" t="str">
        <f t="shared" si="4"/>
        <v>WIPRO</v>
      </c>
      <c r="T159" t="str">
        <f t="shared" si="5"/>
        <v>WIPRO</v>
      </c>
    </row>
    <row r="160" spans="1:20">
      <c r="A160" t="s">
        <v>338</v>
      </c>
      <c r="B160" t="s">
        <v>452</v>
      </c>
      <c r="C160" t="s">
        <v>452</v>
      </c>
      <c r="D160">
        <v>200</v>
      </c>
      <c r="E160">
        <v>200</v>
      </c>
      <c r="F160">
        <v>200</v>
      </c>
      <c r="G160" t="s">
        <v>151</v>
      </c>
      <c r="I160" t="s">
        <v>151</v>
      </c>
      <c r="J160" t="s">
        <v>151</v>
      </c>
      <c r="K160" t="s">
        <v>151</v>
      </c>
      <c r="L160" t="s">
        <v>151</v>
      </c>
      <c r="M160" t="s">
        <v>151</v>
      </c>
      <c r="N160" t="s">
        <v>151</v>
      </c>
      <c r="O160" t="s">
        <v>151</v>
      </c>
      <c r="P160" t="s">
        <v>151</v>
      </c>
      <c r="Q160" t="s">
        <v>151</v>
      </c>
      <c r="S160" t="str">
        <f t="shared" si="4"/>
        <v>COFORGE</v>
      </c>
      <c r="T160" t="str">
        <f t="shared" si="5"/>
        <v>COFORGE</v>
      </c>
    </row>
    <row r="161" spans="1:20">
      <c r="A161" t="s">
        <v>339</v>
      </c>
      <c r="B161" t="s">
        <v>453</v>
      </c>
      <c r="C161" t="s">
        <v>453</v>
      </c>
      <c r="D161">
        <v>6100</v>
      </c>
      <c r="E161">
        <v>6100</v>
      </c>
      <c r="F161">
        <v>6100</v>
      </c>
      <c r="G161" t="s">
        <v>151</v>
      </c>
      <c r="I161" t="s">
        <v>151</v>
      </c>
      <c r="J161" t="s">
        <v>151</v>
      </c>
      <c r="K161" t="s">
        <v>151</v>
      </c>
      <c r="L161" t="s">
        <v>151</v>
      </c>
      <c r="M161" t="s">
        <v>151</v>
      </c>
      <c r="N161" t="s">
        <v>151</v>
      </c>
      <c r="O161" t="s">
        <v>151</v>
      </c>
      <c r="P161" t="s">
        <v>151</v>
      </c>
      <c r="Q161" t="s">
        <v>151</v>
      </c>
      <c r="S161" t="str">
        <f t="shared" si="4"/>
        <v>GAIL</v>
      </c>
      <c r="T161" t="str">
        <f t="shared" si="5"/>
        <v>GAIL</v>
      </c>
    </row>
    <row r="162" spans="1:20">
      <c r="A162" t="s">
        <v>340</v>
      </c>
      <c r="B162" t="s">
        <v>341</v>
      </c>
      <c r="C162" t="s">
        <v>341</v>
      </c>
      <c r="D162">
        <v>3500</v>
      </c>
      <c r="E162">
        <v>3500</v>
      </c>
      <c r="F162">
        <v>3500</v>
      </c>
      <c r="G162" t="s">
        <v>151</v>
      </c>
      <c r="I162" t="s">
        <v>151</v>
      </c>
      <c r="J162" t="s">
        <v>151</v>
      </c>
      <c r="K162" t="s">
        <v>151</v>
      </c>
      <c r="L162" t="s">
        <v>151</v>
      </c>
      <c r="M162" t="s">
        <v>151</v>
      </c>
      <c r="N162" t="s">
        <v>151</v>
      </c>
      <c r="O162" t="s">
        <v>151</v>
      </c>
      <c r="P162" t="s">
        <v>151</v>
      </c>
      <c r="Q162" t="s">
        <v>151</v>
      </c>
      <c r="S162" t="str">
        <f t="shared" si="4"/>
        <v>MOTHERSUMI</v>
      </c>
      <c r="T162" t="str">
        <f t="shared" si="5"/>
        <v>MOTHERSUMI</v>
      </c>
    </row>
    <row r="163" spans="1:20">
      <c r="A163" t="s">
        <v>342</v>
      </c>
      <c r="B163" t="s">
        <v>454</v>
      </c>
      <c r="C163" t="s">
        <v>454</v>
      </c>
      <c r="D163">
        <v>30</v>
      </c>
      <c r="E163">
        <v>30</v>
      </c>
      <c r="F163">
        <v>30</v>
      </c>
      <c r="G163" t="s">
        <v>151</v>
      </c>
      <c r="I163" t="s">
        <v>151</v>
      </c>
      <c r="J163" t="s">
        <v>151</v>
      </c>
      <c r="K163" t="s">
        <v>151</v>
      </c>
      <c r="L163" t="s">
        <v>151</v>
      </c>
      <c r="M163" t="s">
        <v>151</v>
      </c>
      <c r="N163" t="s">
        <v>151</v>
      </c>
      <c r="O163" t="s">
        <v>151</v>
      </c>
      <c r="P163" t="s">
        <v>151</v>
      </c>
      <c r="Q163" t="s">
        <v>151</v>
      </c>
      <c r="S163" t="str">
        <f t="shared" si="4"/>
        <v>PAGEIND</v>
      </c>
      <c r="T163" t="str">
        <f t="shared" si="5"/>
        <v>PAGEIND</v>
      </c>
    </row>
    <row r="164" spans="1:20">
      <c r="A164" t="s">
        <v>343</v>
      </c>
      <c r="B164" t="s">
        <v>455</v>
      </c>
      <c r="C164" t="s">
        <v>455</v>
      </c>
      <c r="D164">
        <v>850</v>
      </c>
      <c r="E164">
        <v>850</v>
      </c>
      <c r="F164">
        <v>850</v>
      </c>
      <c r="G164" t="s">
        <v>151</v>
      </c>
      <c r="I164" t="s">
        <v>151</v>
      </c>
      <c r="J164" t="s">
        <v>151</v>
      </c>
      <c r="K164" t="s">
        <v>151</v>
      </c>
      <c r="L164" t="s">
        <v>151</v>
      </c>
      <c r="M164" t="s">
        <v>151</v>
      </c>
      <c r="N164" t="s">
        <v>151</v>
      </c>
      <c r="O164" t="s">
        <v>151</v>
      </c>
      <c r="P164" t="s">
        <v>151</v>
      </c>
      <c r="Q164" t="s">
        <v>151</v>
      </c>
      <c r="S164" t="str">
        <f t="shared" si="4"/>
        <v>RAMCOCEM</v>
      </c>
      <c r="T164" t="str">
        <f t="shared" si="5"/>
        <v>RAMCOCEM</v>
      </c>
    </row>
    <row r="165" spans="1:20">
      <c r="A165" t="s">
        <v>344</v>
      </c>
      <c r="B165" t="s">
        <v>345</v>
      </c>
      <c r="C165" t="s">
        <v>345</v>
      </c>
      <c r="D165">
        <v>1500</v>
      </c>
      <c r="E165">
        <v>1500</v>
      </c>
      <c r="F165">
        <v>1500</v>
      </c>
      <c r="G165" t="s">
        <v>151</v>
      </c>
      <c r="I165" t="s">
        <v>151</v>
      </c>
      <c r="J165" t="s">
        <v>151</v>
      </c>
      <c r="K165" t="s">
        <v>151</v>
      </c>
      <c r="L165" t="s">
        <v>151</v>
      </c>
      <c r="M165" t="s">
        <v>151</v>
      </c>
      <c r="N165" t="s">
        <v>151</v>
      </c>
      <c r="O165" t="s">
        <v>151</v>
      </c>
      <c r="P165" t="s">
        <v>151</v>
      </c>
      <c r="Q165" t="s">
        <v>151</v>
      </c>
      <c r="S165" t="str">
        <f t="shared" si="4"/>
        <v>TORNTPOWER</v>
      </c>
      <c r="T165" t="str">
        <f t="shared" si="5"/>
        <v>TORNTPOWER</v>
      </c>
    </row>
    <row r="166" spans="1:20">
      <c r="A166" t="s">
        <v>346</v>
      </c>
      <c r="B166" t="s">
        <v>456</v>
      </c>
      <c r="C166" t="s">
        <v>456</v>
      </c>
      <c r="D166">
        <v>1300</v>
      </c>
      <c r="E166">
        <v>1300</v>
      </c>
      <c r="F166">
        <v>1300</v>
      </c>
      <c r="G166" t="s">
        <v>151</v>
      </c>
      <c r="I166" t="s">
        <v>151</v>
      </c>
      <c r="J166" t="s">
        <v>151</v>
      </c>
      <c r="K166" t="s">
        <v>151</v>
      </c>
      <c r="L166" t="s">
        <v>151</v>
      </c>
      <c r="M166" t="s">
        <v>151</v>
      </c>
      <c r="N166" t="s">
        <v>151</v>
      </c>
      <c r="O166" t="s">
        <v>151</v>
      </c>
      <c r="P166" t="s">
        <v>151</v>
      </c>
      <c r="Q166" t="s">
        <v>151</v>
      </c>
      <c r="S166" t="str">
        <f t="shared" si="4"/>
        <v>UPL</v>
      </c>
      <c r="T166" t="str">
        <f t="shared" si="5"/>
        <v>UPL</v>
      </c>
    </row>
    <row r="167" spans="1:20">
      <c r="A167" t="s">
        <v>347</v>
      </c>
      <c r="B167" t="s">
        <v>92</v>
      </c>
      <c r="C167" t="s">
        <v>92</v>
      </c>
      <c r="D167">
        <v>300</v>
      </c>
      <c r="E167">
        <v>300</v>
      </c>
      <c r="F167">
        <v>300</v>
      </c>
      <c r="G167" t="s">
        <v>151</v>
      </c>
      <c r="I167" t="s">
        <v>151</v>
      </c>
      <c r="J167" t="s">
        <v>151</v>
      </c>
      <c r="K167" t="s">
        <v>151</v>
      </c>
      <c r="L167" t="s">
        <v>151</v>
      </c>
      <c r="M167" t="s">
        <v>151</v>
      </c>
      <c r="N167" t="s">
        <v>151</v>
      </c>
      <c r="O167" t="s">
        <v>151</v>
      </c>
      <c r="P167" t="s">
        <v>151</v>
      </c>
      <c r="Q167" t="s">
        <v>151</v>
      </c>
      <c r="S167" t="str">
        <f t="shared" si="4"/>
        <v>HDFC</v>
      </c>
      <c r="T167" t="str">
        <f t="shared" si="5"/>
        <v>HDFC</v>
      </c>
    </row>
    <row r="168" spans="1:20">
      <c r="A168" t="s">
        <v>348</v>
      </c>
      <c r="B168" t="s">
        <v>349</v>
      </c>
      <c r="C168" t="s">
        <v>349</v>
      </c>
      <c r="D168">
        <v>975</v>
      </c>
      <c r="E168">
        <v>975</v>
      </c>
      <c r="F168">
        <v>975</v>
      </c>
      <c r="G168" t="s">
        <v>151</v>
      </c>
      <c r="I168" t="s">
        <v>151</v>
      </c>
      <c r="J168" t="s">
        <v>151</v>
      </c>
      <c r="K168" t="s">
        <v>151</v>
      </c>
      <c r="L168" t="s">
        <v>151</v>
      </c>
      <c r="M168" t="s">
        <v>151</v>
      </c>
      <c r="N168" t="s">
        <v>151</v>
      </c>
      <c r="O168" t="s">
        <v>151</v>
      </c>
      <c r="P168" t="s">
        <v>151</v>
      </c>
      <c r="Q168" t="s">
        <v>151</v>
      </c>
      <c r="S168" t="str">
        <f t="shared" si="4"/>
        <v>CANFINHOME</v>
      </c>
      <c r="T168" t="str">
        <f t="shared" si="5"/>
        <v>CANFINHOME</v>
      </c>
    </row>
    <row r="169" spans="1:20">
      <c r="A169" t="s">
        <v>350</v>
      </c>
      <c r="B169" t="s">
        <v>457</v>
      </c>
      <c r="C169" t="s">
        <v>457</v>
      </c>
      <c r="D169">
        <v>125</v>
      </c>
      <c r="E169">
        <v>125</v>
      </c>
      <c r="F169">
        <v>125</v>
      </c>
      <c r="G169" t="s">
        <v>151</v>
      </c>
      <c r="I169" t="s">
        <v>151</v>
      </c>
      <c r="J169" t="s">
        <v>151</v>
      </c>
      <c r="K169" t="s">
        <v>151</v>
      </c>
      <c r="L169" t="s">
        <v>151</v>
      </c>
      <c r="M169" t="s">
        <v>151</v>
      </c>
      <c r="N169" t="s">
        <v>151</v>
      </c>
      <c r="O169" t="s">
        <v>151</v>
      </c>
      <c r="P169" t="s">
        <v>151</v>
      </c>
      <c r="Q169" t="s">
        <v>151</v>
      </c>
      <c r="S169" t="str">
        <f t="shared" si="4"/>
        <v>DIXON</v>
      </c>
      <c r="T169" t="str">
        <f t="shared" si="5"/>
        <v>DIXON</v>
      </c>
    </row>
    <row r="170" spans="1:20">
      <c r="A170" t="s">
        <v>351</v>
      </c>
      <c r="B170" t="s">
        <v>458</v>
      </c>
      <c r="C170" t="s">
        <v>458</v>
      </c>
      <c r="D170">
        <v>475</v>
      </c>
      <c r="E170">
        <v>475</v>
      </c>
      <c r="F170">
        <v>475</v>
      </c>
      <c r="G170" t="s">
        <v>151</v>
      </c>
      <c r="I170" t="s">
        <v>151</v>
      </c>
      <c r="J170" t="s">
        <v>151</v>
      </c>
      <c r="K170" t="s">
        <v>151</v>
      </c>
      <c r="L170" t="s">
        <v>151</v>
      </c>
      <c r="M170" t="s">
        <v>151</v>
      </c>
      <c r="N170" t="s">
        <v>151</v>
      </c>
      <c r="O170" t="s">
        <v>151</v>
      </c>
      <c r="P170" t="s">
        <v>151</v>
      </c>
      <c r="Q170" t="s">
        <v>151</v>
      </c>
      <c r="S170" t="str">
        <f t="shared" si="4"/>
        <v>HAL</v>
      </c>
      <c r="T170" t="str">
        <f t="shared" si="5"/>
        <v>HAL</v>
      </c>
    </row>
    <row r="171" spans="1:20">
      <c r="A171" t="s">
        <v>352</v>
      </c>
      <c r="B171" t="s">
        <v>126</v>
      </c>
      <c r="C171" t="s">
        <v>126</v>
      </c>
      <c r="D171">
        <v>1250</v>
      </c>
      <c r="E171">
        <v>1250</v>
      </c>
      <c r="F171">
        <v>1250</v>
      </c>
      <c r="G171" t="s">
        <v>151</v>
      </c>
      <c r="I171" t="s">
        <v>151</v>
      </c>
      <c r="J171" t="s">
        <v>151</v>
      </c>
      <c r="K171" t="s">
        <v>151</v>
      </c>
      <c r="L171" t="s">
        <v>151</v>
      </c>
      <c r="M171" t="s">
        <v>151</v>
      </c>
      <c r="N171" t="s">
        <v>151</v>
      </c>
      <c r="O171" t="s">
        <v>151</v>
      </c>
      <c r="P171" t="s">
        <v>151</v>
      </c>
      <c r="Q171" t="s">
        <v>151</v>
      </c>
      <c r="S171" t="str">
        <f t="shared" si="4"/>
        <v>IEX</v>
      </c>
      <c r="T171" t="str">
        <f t="shared" si="5"/>
        <v>IEX</v>
      </c>
    </row>
    <row r="172" spans="1:20">
      <c r="A172" t="s">
        <v>353</v>
      </c>
      <c r="B172" t="s">
        <v>459</v>
      </c>
      <c r="C172" t="s">
        <v>459</v>
      </c>
      <c r="D172">
        <v>75</v>
      </c>
      <c r="E172">
        <v>75</v>
      </c>
      <c r="F172">
        <v>75</v>
      </c>
      <c r="G172" t="s">
        <v>151</v>
      </c>
      <c r="I172" t="s">
        <v>151</v>
      </c>
      <c r="J172" t="s">
        <v>151</v>
      </c>
      <c r="K172" t="s">
        <v>151</v>
      </c>
      <c r="L172" t="s">
        <v>151</v>
      </c>
      <c r="M172" t="s">
        <v>151</v>
      </c>
      <c r="N172" t="s">
        <v>151</v>
      </c>
      <c r="O172" t="s">
        <v>151</v>
      </c>
      <c r="P172" t="s">
        <v>151</v>
      </c>
      <c r="Q172" t="s">
        <v>151</v>
      </c>
      <c r="S172" t="str">
        <f t="shared" si="4"/>
        <v>INDIAMART</v>
      </c>
      <c r="T172" t="str">
        <f t="shared" si="5"/>
        <v>INDIAMART</v>
      </c>
    </row>
    <row r="173" spans="1:20">
      <c r="A173" t="s">
        <v>354</v>
      </c>
      <c r="B173" t="s">
        <v>460</v>
      </c>
      <c r="C173" t="s">
        <v>460</v>
      </c>
      <c r="D173">
        <v>225</v>
      </c>
      <c r="E173">
        <v>225</v>
      </c>
      <c r="F173">
        <v>225</v>
      </c>
      <c r="G173" t="s">
        <v>151</v>
      </c>
      <c r="I173" t="s">
        <v>151</v>
      </c>
      <c r="J173" t="s">
        <v>151</v>
      </c>
      <c r="K173" t="s">
        <v>151</v>
      </c>
      <c r="L173" t="s">
        <v>151</v>
      </c>
      <c r="M173" t="s">
        <v>151</v>
      </c>
      <c r="N173" t="s">
        <v>151</v>
      </c>
      <c r="O173" t="s">
        <v>151</v>
      </c>
      <c r="P173" t="s">
        <v>151</v>
      </c>
      <c r="Q173" t="s">
        <v>151</v>
      </c>
      <c r="S173" t="str">
        <f t="shared" si="4"/>
        <v>IPCALAB</v>
      </c>
      <c r="T173" t="str">
        <f t="shared" si="5"/>
        <v>IPCALAB</v>
      </c>
    </row>
    <row r="174" spans="1:20">
      <c r="A174" t="s">
        <v>355</v>
      </c>
      <c r="B174" t="s">
        <v>461</v>
      </c>
      <c r="C174" t="s">
        <v>461</v>
      </c>
      <c r="D174">
        <v>350</v>
      </c>
      <c r="E174">
        <v>350</v>
      </c>
      <c r="F174">
        <v>350</v>
      </c>
      <c r="G174" t="s">
        <v>151</v>
      </c>
      <c r="I174" t="s">
        <v>151</v>
      </c>
      <c r="J174" t="s">
        <v>151</v>
      </c>
      <c r="K174" t="s">
        <v>151</v>
      </c>
      <c r="L174" t="s">
        <v>151</v>
      </c>
      <c r="M174" t="s">
        <v>151</v>
      </c>
      <c r="N174" t="s">
        <v>151</v>
      </c>
      <c r="O174" t="s">
        <v>151</v>
      </c>
      <c r="P174" t="s">
        <v>151</v>
      </c>
      <c r="Q174" t="s">
        <v>151</v>
      </c>
      <c r="S174" t="str">
        <f t="shared" si="4"/>
        <v>MCX</v>
      </c>
      <c r="T174" t="str">
        <f t="shared" si="5"/>
        <v>MCX</v>
      </c>
    </row>
    <row r="175" spans="1:20">
      <c r="A175" t="s">
        <v>356</v>
      </c>
      <c r="B175" t="s">
        <v>462</v>
      </c>
      <c r="C175" t="s">
        <v>462</v>
      </c>
      <c r="D175">
        <v>125</v>
      </c>
      <c r="E175">
        <v>125</v>
      </c>
      <c r="F175">
        <v>125</v>
      </c>
      <c r="G175" t="s">
        <v>151</v>
      </c>
      <c r="I175" t="s">
        <v>151</v>
      </c>
      <c r="J175" t="s">
        <v>151</v>
      </c>
      <c r="K175" t="s">
        <v>151</v>
      </c>
      <c r="L175" t="s">
        <v>151</v>
      </c>
      <c r="M175" t="s">
        <v>151</v>
      </c>
      <c r="N175" t="s">
        <v>151</v>
      </c>
      <c r="O175" t="s">
        <v>151</v>
      </c>
      <c r="P175" t="s">
        <v>151</v>
      </c>
      <c r="Q175" t="s">
        <v>151</v>
      </c>
      <c r="S175" t="str">
        <f t="shared" si="4"/>
        <v>OFSS</v>
      </c>
      <c r="T175" t="str">
        <f t="shared" si="5"/>
        <v>OFSS</v>
      </c>
    </row>
    <row r="176" spans="1:20">
      <c r="A176" t="s">
        <v>357</v>
      </c>
      <c r="B176" t="s">
        <v>463</v>
      </c>
      <c r="C176" t="s">
        <v>463</v>
      </c>
      <c r="D176">
        <v>300</v>
      </c>
      <c r="E176">
        <v>300</v>
      </c>
      <c r="F176">
        <v>300</v>
      </c>
      <c r="G176" t="s">
        <v>151</v>
      </c>
      <c r="I176" t="s">
        <v>151</v>
      </c>
      <c r="J176" t="s">
        <v>151</v>
      </c>
      <c r="K176" t="s">
        <v>151</v>
      </c>
      <c r="L176" t="s">
        <v>151</v>
      </c>
      <c r="M176" t="s">
        <v>151</v>
      </c>
      <c r="N176" t="s">
        <v>151</v>
      </c>
      <c r="O176" t="s">
        <v>151</v>
      </c>
      <c r="P176" t="s">
        <v>151</v>
      </c>
      <c r="Q176" t="s">
        <v>151</v>
      </c>
      <c r="S176" t="str">
        <f t="shared" si="4"/>
        <v>POLYCAB</v>
      </c>
      <c r="T176" t="str">
        <f t="shared" si="5"/>
        <v>POLYCAB</v>
      </c>
    </row>
    <row r="177" spans="1:20">
      <c r="A177" t="s">
        <v>358</v>
      </c>
      <c r="B177" t="s">
        <v>464</v>
      </c>
      <c r="C177" t="s">
        <v>464</v>
      </c>
      <c r="D177">
        <v>850</v>
      </c>
      <c r="E177">
        <v>850</v>
      </c>
      <c r="F177">
        <v>850</v>
      </c>
      <c r="G177" t="s">
        <v>151</v>
      </c>
      <c r="I177" t="s">
        <v>151</v>
      </c>
      <c r="J177" t="s">
        <v>151</v>
      </c>
      <c r="K177" t="s">
        <v>151</v>
      </c>
      <c r="L177" t="s">
        <v>151</v>
      </c>
      <c r="M177" t="s">
        <v>151</v>
      </c>
      <c r="N177" t="s">
        <v>151</v>
      </c>
      <c r="O177" t="s">
        <v>151</v>
      </c>
      <c r="P177" t="s">
        <v>151</v>
      </c>
      <c r="Q177" t="s">
        <v>151</v>
      </c>
      <c r="S177" t="str">
        <f t="shared" si="4"/>
        <v>SYNGENE</v>
      </c>
      <c r="T177" t="str">
        <f t="shared" si="5"/>
        <v>SYNGENE</v>
      </c>
    </row>
  </sheetData>
  <autoFilter ref="A1:Q17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F78"/>
  <sheetViews>
    <sheetView topLeftCell="AT34" workbookViewId="0">
      <selection activeCell="BA71" sqref="BA71"/>
    </sheetView>
  </sheetViews>
  <sheetFormatPr defaultRowHeight="15"/>
  <cols>
    <col min="1" max="1" width="34.42578125" style="49" bestFit="1" customWidth="1"/>
    <col min="2" max="2" width="14.5703125" style="49" bestFit="1" customWidth="1"/>
    <col min="3" max="4" width="14.5703125" style="49" customWidth="1"/>
    <col min="5" max="5" width="10.42578125" style="49" bestFit="1" customWidth="1"/>
    <col min="6" max="7" width="9.140625" style="49"/>
    <col min="9" max="9" width="9.140625" customWidth="1"/>
    <col min="10" max="10" width="10.5703125" bestFit="1" customWidth="1"/>
    <col min="13" max="13" width="12.5703125" bestFit="1" customWidth="1"/>
    <col min="15" max="15" width="17.7109375" bestFit="1" customWidth="1"/>
    <col min="17" max="17" width="12.5703125" bestFit="1" customWidth="1"/>
    <col min="52" max="52" width="7.85546875" bestFit="1" customWidth="1"/>
    <col min="53" max="53" width="23.7109375" style="33" bestFit="1" customWidth="1"/>
    <col min="54" max="54" width="5.7109375" bestFit="1" customWidth="1"/>
    <col min="55" max="55" width="9" bestFit="1" customWidth="1"/>
    <col min="56" max="56" width="9" style="33" bestFit="1" customWidth="1"/>
    <col min="57" max="57" width="9.7109375" bestFit="1" customWidth="1"/>
    <col min="58" max="58" width="7" bestFit="1" customWidth="1"/>
  </cols>
  <sheetData>
    <row r="1" spans="1:58">
      <c r="A1" s="204" t="s">
        <v>485</v>
      </c>
      <c r="B1" s="205"/>
      <c r="C1" s="205"/>
      <c r="D1" s="205"/>
      <c r="E1" s="205"/>
      <c r="F1" s="205"/>
      <c r="G1" s="206"/>
      <c r="H1" t="s">
        <v>681</v>
      </c>
      <c r="J1" s="48" t="s">
        <v>605</v>
      </c>
      <c r="K1" s="48" t="s">
        <v>606</v>
      </c>
      <c r="L1" s="48" t="s">
        <v>608</v>
      </c>
      <c r="M1" s="48" t="s">
        <v>4</v>
      </c>
      <c r="N1" s="48" t="s">
        <v>607</v>
      </c>
      <c r="O1" s="48" t="s">
        <v>117</v>
      </c>
      <c r="R1" s="156" t="s">
        <v>504</v>
      </c>
      <c r="S1" s="156" t="s">
        <v>625</v>
      </c>
      <c r="AZ1" t="s">
        <v>708</v>
      </c>
      <c r="BA1" s="33" t="s">
        <v>521</v>
      </c>
      <c r="BB1" t="s">
        <v>709</v>
      </c>
      <c r="BC1" t="s">
        <v>710</v>
      </c>
      <c r="BD1" s="33" t="s">
        <v>686</v>
      </c>
      <c r="BE1" t="s">
        <v>711</v>
      </c>
      <c r="BF1" t="s">
        <v>712</v>
      </c>
    </row>
    <row r="2" spans="1:58" ht="18.75">
      <c r="A2" s="48" t="s">
        <v>148</v>
      </c>
      <c r="B2" s="48" t="s">
        <v>149</v>
      </c>
      <c r="C2" s="48"/>
      <c r="D2" s="48"/>
      <c r="E2" s="51">
        <v>44440</v>
      </c>
      <c r="F2" s="51">
        <v>44470</v>
      </c>
      <c r="G2" s="51">
        <v>44501</v>
      </c>
      <c r="J2" s="49"/>
      <c r="K2" s="49"/>
      <c r="L2" s="49" t="s">
        <v>631</v>
      </c>
      <c r="M2" s="49"/>
      <c r="N2" s="49"/>
      <c r="O2" s="154">
        <f>O4+O3</f>
        <v>6416432.9697500002</v>
      </c>
      <c r="P2">
        <v>1000000</v>
      </c>
      <c r="Q2" s="134">
        <f>O2+P2</f>
        <v>7416432.9697500002</v>
      </c>
      <c r="R2" s="7">
        <v>0.05</v>
      </c>
      <c r="S2" s="8">
        <v>1.1299999999999999E-2</v>
      </c>
      <c r="U2" t="s">
        <v>567</v>
      </c>
      <c r="AZ2" t="s">
        <v>713</v>
      </c>
      <c r="BA2" s="33" t="s">
        <v>714</v>
      </c>
      <c r="BB2">
        <v>1600</v>
      </c>
      <c r="BC2">
        <v>21.15</v>
      </c>
      <c r="BD2" s="33">
        <v>19.100000000000001</v>
      </c>
      <c r="BE2">
        <v>-3280</v>
      </c>
      <c r="BF2">
        <v>-9.69</v>
      </c>
    </row>
    <row r="3" spans="1:58">
      <c r="A3" s="49" t="s">
        <v>150</v>
      </c>
      <c r="B3" s="49" t="s">
        <v>506</v>
      </c>
      <c r="C3" s="49">
        <f>IF(OR(B3="NIFTY",B3="BANKNIFTY"),mrigxl_getIndexQuote(VLOOKUP(B3,Lots!$B:$C,2,0)),mrigxl_getStockQuote(B3))</f>
        <v>34651.199999999997</v>
      </c>
      <c r="D3" s="49">
        <f>mrigxl_getIndexQuote(H3)</f>
        <v>33269.9</v>
      </c>
      <c r="E3" s="49">
        <v>25</v>
      </c>
      <c r="F3" s="49">
        <v>25</v>
      </c>
      <c r="G3" s="49">
        <v>25</v>
      </c>
      <c r="H3" s="49" t="s">
        <v>89</v>
      </c>
      <c r="J3" s="49" t="s">
        <v>0</v>
      </c>
      <c r="K3" s="49">
        <f>312805+938000</f>
        <v>1250805</v>
      </c>
      <c r="L3" s="49">
        <v>1</v>
      </c>
      <c r="M3" s="151">
        <f>K3*L3</f>
        <v>1250805</v>
      </c>
      <c r="N3" s="150">
        <v>0</v>
      </c>
      <c r="O3" s="151">
        <f>M3*(1-N3)</f>
        <v>1250805</v>
      </c>
      <c r="U3" t="s">
        <v>568</v>
      </c>
      <c r="AZ3" t="s">
        <v>713</v>
      </c>
      <c r="BA3" s="33" t="s">
        <v>715</v>
      </c>
      <c r="BB3">
        <v>-3200</v>
      </c>
      <c r="BC3">
        <v>8.8000000000000007</v>
      </c>
      <c r="BD3" s="33">
        <v>2.5499999999999998</v>
      </c>
      <c r="BE3">
        <v>20000</v>
      </c>
      <c r="BF3">
        <v>-71.02</v>
      </c>
    </row>
    <row r="4" spans="1:58" ht="18.75">
      <c r="A4" s="49" t="s">
        <v>152</v>
      </c>
      <c r="B4" s="49" t="s">
        <v>502</v>
      </c>
      <c r="C4" s="49">
        <f>IF(OR(B4="NIFTY",B4="BANKNIFTY"),mrigxl_getIndexQuote(VLOOKUP(B4,Lots!$B:$C,2,0)),mrigxl_getStockQuote(B4))</f>
        <v>15938.65</v>
      </c>
      <c r="D4" s="49">
        <f>mrigxl_getIndexQuote(H4)</f>
        <v>15799.1</v>
      </c>
      <c r="E4" s="49">
        <v>50</v>
      </c>
      <c r="F4" s="49">
        <v>50</v>
      </c>
      <c r="G4" s="49">
        <v>50</v>
      </c>
      <c r="H4" s="49" t="s">
        <v>88</v>
      </c>
      <c r="J4" s="49"/>
      <c r="K4" s="49"/>
      <c r="L4" s="49" t="s">
        <v>630</v>
      </c>
      <c r="M4" s="151"/>
      <c r="N4" s="150"/>
      <c r="O4" s="154">
        <f>SUM(O5:O8)</f>
        <v>5165627.9697500002</v>
      </c>
      <c r="P4">
        <v>1000000</v>
      </c>
      <c r="Q4" s="134">
        <f>O5+P4</f>
        <v>2898899.2</v>
      </c>
      <c r="U4" t="s">
        <v>569</v>
      </c>
      <c r="AZ4" t="s">
        <v>713</v>
      </c>
      <c r="BA4" s="33" t="s">
        <v>716</v>
      </c>
      <c r="BB4">
        <v>1600</v>
      </c>
      <c r="BC4">
        <v>369</v>
      </c>
      <c r="BD4" s="33">
        <v>360.3</v>
      </c>
      <c r="BE4">
        <v>-13920</v>
      </c>
      <c r="BF4">
        <v>-2.36</v>
      </c>
    </row>
    <row r="5" spans="1:58">
      <c r="A5" s="49" t="s">
        <v>153</v>
      </c>
      <c r="B5" s="49" t="s">
        <v>387</v>
      </c>
      <c r="C5" s="49" t="str">
        <f>IF(OR(B5="NIFTY",B5="BANKNIFTY"),mrigxl_getIndexQuote(VLOOKUP(B5,Lots!$B:$C,2,0)),mrigxl_getStockQuote(B5))</f>
        <v>903.20</v>
      </c>
      <c r="D5" s="49" t="str">
        <f>mrigxl_getStockQuote(B5)</f>
        <v>985.90</v>
      </c>
      <c r="E5" s="49">
        <v>40</v>
      </c>
      <c r="F5" s="49">
        <v>40</v>
      </c>
      <c r="G5" s="49">
        <v>40</v>
      </c>
      <c r="H5" s="49" t="s">
        <v>507</v>
      </c>
      <c r="J5" s="49" t="s">
        <v>609</v>
      </c>
      <c r="K5" s="49">
        <v>891</v>
      </c>
      <c r="L5" s="167">
        <v>2368</v>
      </c>
      <c r="M5" s="151">
        <f>K5*L5</f>
        <v>2109888</v>
      </c>
      <c r="N5" s="150">
        <v>0.1</v>
      </c>
      <c r="O5" s="151">
        <f>M5*(1-N5)</f>
        <v>1898899.2</v>
      </c>
      <c r="U5" t="s">
        <v>570</v>
      </c>
      <c r="AZ5" t="s">
        <v>713</v>
      </c>
      <c r="BA5" s="33" t="s">
        <v>717</v>
      </c>
      <c r="BB5">
        <v>100</v>
      </c>
      <c r="BC5">
        <v>35175.81</v>
      </c>
      <c r="BD5" s="33">
        <v>34760</v>
      </c>
      <c r="BE5">
        <v>-41581.25</v>
      </c>
      <c r="BF5">
        <v>-1.18</v>
      </c>
    </row>
    <row r="6" spans="1:58">
      <c r="A6" s="49" t="s">
        <v>154</v>
      </c>
      <c r="B6" s="49" t="s">
        <v>2</v>
      </c>
      <c r="E6" s="50">
        <v>44440</v>
      </c>
      <c r="F6" s="50">
        <v>44470</v>
      </c>
      <c r="G6" s="50">
        <v>44501</v>
      </c>
      <c r="J6" s="49" t="s">
        <v>610</v>
      </c>
      <c r="K6" s="49">
        <v>629</v>
      </c>
      <c r="L6" s="49">
        <v>186.23</v>
      </c>
      <c r="M6" s="151">
        <f>K6*L6</f>
        <v>117138.67</v>
      </c>
      <c r="N6" s="150">
        <v>7.4999999999999997E-2</v>
      </c>
      <c r="O6" s="151">
        <f>M6*(1-N6)</f>
        <v>108353.26975000001</v>
      </c>
      <c r="U6" t="s">
        <v>571</v>
      </c>
      <c r="AZ6" t="s">
        <v>713</v>
      </c>
      <c r="BA6" s="33" t="s">
        <v>718</v>
      </c>
      <c r="BB6">
        <v>75</v>
      </c>
      <c r="BC6">
        <v>667.65</v>
      </c>
      <c r="BD6" s="33">
        <v>276</v>
      </c>
      <c r="BE6">
        <v>-29373.75</v>
      </c>
      <c r="BF6">
        <v>-58.66</v>
      </c>
    </row>
    <row r="7" spans="1:58">
      <c r="A7" s="49" t="s">
        <v>155</v>
      </c>
      <c r="B7" s="49" t="s">
        <v>126</v>
      </c>
      <c r="C7" s="49">
        <f>IF(OR(B7="NIFTY",B7="BANKNIFTY"),mrigxl_getIndexQuote(VLOOKUP(B7,Lots!$B:$C,2,0)),_xlfn.NUMBERVALUE(mrigxl_getStockQuote(B7)))</f>
        <v>162.15</v>
      </c>
      <c r="D7" s="49" t="str">
        <f>mrigxl_getStockQuote(B7)</f>
        <v>161.00</v>
      </c>
      <c r="E7" s="49">
        <v>500</v>
      </c>
      <c r="F7" s="49">
        <v>500</v>
      </c>
      <c r="G7" s="49">
        <v>500</v>
      </c>
      <c r="I7" s="7"/>
      <c r="J7" s="49" t="s">
        <v>612</v>
      </c>
      <c r="K7" s="49">
        <v>15000</v>
      </c>
      <c r="L7" s="49">
        <v>177.1</v>
      </c>
      <c r="M7" s="151">
        <f>K7*L7</f>
        <v>2656500</v>
      </c>
      <c r="N7" s="150">
        <v>7.4999999999999997E-2</v>
      </c>
      <c r="O7" s="151">
        <f>M7*(1-N7)</f>
        <v>2457262.5</v>
      </c>
      <c r="U7" t="s">
        <v>572</v>
      </c>
      <c r="AZ7" t="s">
        <v>713</v>
      </c>
      <c r="BA7" s="33" t="s">
        <v>719</v>
      </c>
      <c r="BB7">
        <v>-125</v>
      </c>
      <c r="BC7">
        <v>441.42</v>
      </c>
      <c r="BD7" s="33">
        <v>398.25</v>
      </c>
      <c r="BE7">
        <v>5396.25</v>
      </c>
      <c r="BF7">
        <v>-9.7799999999999994</v>
      </c>
    </row>
    <row r="8" spans="1:58">
      <c r="B8" s="49" t="s">
        <v>284</v>
      </c>
      <c r="C8" s="49">
        <f>IF(OR(B8="NIFTY",B8="BANKNIFTY"),mrigxl_getIndexQuote(VLOOKUP(B8,Lots!$B:$C,2,0)),_xlfn.NUMBERVALUE(mrigxl_getStockQuote(B8)))</f>
        <v>428</v>
      </c>
      <c r="D8" s="49" t="str">
        <f>mrigxl_getStockQuote(B8)</f>
        <v>416.00</v>
      </c>
      <c r="I8" s="7"/>
      <c r="J8" s="49" t="s">
        <v>613</v>
      </c>
      <c r="K8" s="49">
        <v>28000</v>
      </c>
      <c r="L8" s="49">
        <v>27.07</v>
      </c>
      <c r="M8" s="49">
        <f>K8*L8</f>
        <v>757960</v>
      </c>
      <c r="N8" s="150">
        <v>7.4999999999999997E-2</v>
      </c>
      <c r="O8" s="151">
        <f>M8*(1-N8)</f>
        <v>701113</v>
      </c>
      <c r="U8" t="s">
        <v>573</v>
      </c>
      <c r="AZ8" t="s">
        <v>713</v>
      </c>
      <c r="BA8" s="33" t="s">
        <v>720</v>
      </c>
      <c r="BB8">
        <v>-50</v>
      </c>
      <c r="BC8">
        <v>288.23</v>
      </c>
      <c r="BD8" s="33">
        <v>105.5</v>
      </c>
      <c r="BE8">
        <v>9136.25</v>
      </c>
      <c r="BF8">
        <v>-63.4</v>
      </c>
    </row>
    <row r="9" spans="1:58">
      <c r="B9" s="49" t="s">
        <v>126</v>
      </c>
      <c r="C9" s="49">
        <f>IF(OR(B9="NIFTY",B9="BANKNIFTY"),mrigxl_getIndexQuote(VLOOKUP(B9,Lots!$B:$C,2,0)),_xlfn.NUMBERVALUE(mrigxl_getStockQuote(B9)))</f>
        <v>162.15</v>
      </c>
      <c r="D9" s="49" t="str">
        <f t="shared" ref="D9:D13" si="0">mrigxl_getStockQuote(B9)</f>
        <v>161.00</v>
      </c>
      <c r="I9" s="7"/>
      <c r="J9" s="49"/>
      <c r="K9" s="49"/>
      <c r="L9" s="49"/>
      <c r="M9" s="49"/>
      <c r="N9" s="152"/>
      <c r="O9" s="152"/>
      <c r="U9" t="s">
        <v>574</v>
      </c>
      <c r="AZ9" t="s">
        <v>713</v>
      </c>
      <c r="BA9" s="33" t="s">
        <v>721</v>
      </c>
      <c r="BB9">
        <v>600</v>
      </c>
      <c r="BC9">
        <v>2447.25</v>
      </c>
      <c r="BD9" s="33">
        <v>2510.85</v>
      </c>
      <c r="BE9">
        <v>38160</v>
      </c>
      <c r="BF9">
        <v>2.6</v>
      </c>
    </row>
    <row r="10" spans="1:58">
      <c r="B10" s="49" t="s">
        <v>130</v>
      </c>
      <c r="C10" s="49">
        <f>IF(OR(B10="NIFTY",B10="BANKNIFTY"),mrigxl_getIndexQuote(VLOOKUP(B10,Lots!$B:$C,2,0)),_xlfn.NUMBERVALUE(mrigxl_getStockQuote(B10)))</f>
        <v>221.6</v>
      </c>
      <c r="D10" s="49" t="str">
        <f>mrigxl_getStockQuote(B10)</f>
        <v>206.60</v>
      </c>
      <c r="E10" s="173"/>
      <c r="I10" s="7"/>
      <c r="J10" s="49"/>
      <c r="K10" s="153"/>
      <c r="L10" s="49"/>
      <c r="M10" s="49"/>
      <c r="N10" s="152"/>
      <c r="O10" s="152"/>
      <c r="U10" t="s">
        <v>575</v>
      </c>
      <c r="AZ10" t="s">
        <v>713</v>
      </c>
      <c r="BA10" s="33" t="s">
        <v>722</v>
      </c>
      <c r="BB10">
        <v>-300</v>
      </c>
      <c r="BC10">
        <v>24.1</v>
      </c>
      <c r="BD10" s="33">
        <v>88.9</v>
      </c>
      <c r="BE10">
        <v>-19440</v>
      </c>
      <c r="BF10">
        <v>268.88</v>
      </c>
    </row>
    <row r="11" spans="1:58">
      <c r="B11" s="49" t="s">
        <v>381</v>
      </c>
      <c r="C11" s="49">
        <f>IF(OR(B11="NIFTY",B11="BANKNIFTY"),mrigxl_getIndexQuote(VLOOKUP(B11,Lots!$B:$C,2,0)),_xlfn.NUMBERVALUE(mrigxl_getStockQuote(B11)))</f>
        <v>2788</v>
      </c>
      <c r="D11" s="49" t="str">
        <f t="shared" si="0"/>
        <v>2,947.45</v>
      </c>
      <c r="E11" s="173"/>
      <c r="J11" s="49"/>
      <c r="K11" s="49"/>
      <c r="L11" s="49"/>
      <c r="M11" s="49"/>
      <c r="N11" s="152"/>
      <c r="O11" s="152"/>
      <c r="U11" t="s">
        <v>576</v>
      </c>
      <c r="AZ11" t="s">
        <v>713</v>
      </c>
      <c r="BA11" s="33" t="s">
        <v>758</v>
      </c>
      <c r="BB11">
        <v>600</v>
      </c>
      <c r="BC11">
        <v>42.73</v>
      </c>
      <c r="BD11" s="33">
        <v>32</v>
      </c>
      <c r="BE11">
        <v>-6435</v>
      </c>
      <c r="BF11">
        <v>-25.1</v>
      </c>
    </row>
    <row r="12" spans="1:58">
      <c r="B12" s="49" t="s">
        <v>90</v>
      </c>
      <c r="C12" s="49">
        <f>IF(OR(B12="NIFTY",B12="BANKNIFTY"),mrigxl_getIndexQuote(VLOOKUP(B12,Lots!$B:$C,2,0)),_xlfn.NUMBERVALUE(mrigxl_getStockQuote(B12)))</f>
        <v>3003</v>
      </c>
      <c r="D12" s="49" t="str">
        <f t="shared" si="0"/>
        <v>3,287.00</v>
      </c>
      <c r="E12" s="173"/>
      <c r="J12" s="49"/>
      <c r="K12" s="49"/>
      <c r="L12" s="49"/>
      <c r="M12" s="49"/>
      <c r="N12" s="49"/>
      <c r="O12" s="49"/>
      <c r="U12" t="s">
        <v>577</v>
      </c>
      <c r="AZ12" t="s">
        <v>713</v>
      </c>
      <c r="BA12" s="33" t="s">
        <v>723</v>
      </c>
      <c r="BB12">
        <v>-300</v>
      </c>
      <c r="BC12">
        <v>23.65</v>
      </c>
      <c r="BD12" s="33">
        <v>63.9</v>
      </c>
      <c r="BE12">
        <v>-12075</v>
      </c>
      <c r="BF12">
        <v>170.19</v>
      </c>
    </row>
    <row r="13" spans="1:58">
      <c r="B13" s="49" t="s">
        <v>390</v>
      </c>
      <c r="C13" s="49">
        <f>IF(OR(B13="NIFTY",B13="BANKNIFTY"),mrigxl_getIndexQuote(VLOOKUP(B13,Lots!$B:$C,2,0)),_xlfn.NUMBERVALUE(mrigxl_getStockQuote(B13)))</f>
        <v>2214</v>
      </c>
      <c r="D13" s="49" t="str">
        <f t="shared" si="0"/>
        <v>2,279.95</v>
      </c>
      <c r="E13" s="173"/>
      <c r="J13" s="49"/>
      <c r="K13" s="49"/>
      <c r="L13" s="49"/>
      <c r="M13" s="49"/>
      <c r="N13" s="49"/>
      <c r="O13" s="49"/>
      <c r="U13" t="s">
        <v>578</v>
      </c>
      <c r="AZ13" t="s">
        <v>713</v>
      </c>
      <c r="BA13" s="33" t="s">
        <v>759</v>
      </c>
      <c r="BB13">
        <v>-300</v>
      </c>
      <c r="BC13">
        <v>33.700000000000003</v>
      </c>
      <c r="BD13" s="33">
        <v>34.25</v>
      </c>
      <c r="BE13">
        <v>-165</v>
      </c>
      <c r="BF13">
        <v>1.63</v>
      </c>
    </row>
    <row r="14" spans="1:58">
      <c r="A14" s="49" t="s">
        <v>540</v>
      </c>
      <c r="B14" s="49" t="s">
        <v>21</v>
      </c>
      <c r="C14" s="49" t="s">
        <v>548</v>
      </c>
      <c r="D14" s="49" t="s">
        <v>22</v>
      </c>
      <c r="E14" s="49" t="s">
        <v>78</v>
      </c>
      <c r="J14" s="49"/>
      <c r="K14" s="49"/>
      <c r="L14" s="49"/>
      <c r="M14" s="49"/>
      <c r="N14" s="49"/>
      <c r="O14" s="49"/>
      <c r="U14" t="s">
        <v>579</v>
      </c>
      <c r="AZ14" t="s">
        <v>713</v>
      </c>
      <c r="BA14" s="33" t="s">
        <v>724</v>
      </c>
      <c r="BB14">
        <v>3750</v>
      </c>
      <c r="BC14">
        <v>5.35</v>
      </c>
      <c r="BD14" s="33">
        <v>4.5999999999999996</v>
      </c>
      <c r="BE14">
        <v>-2812.5</v>
      </c>
      <c r="BF14">
        <v>-14.02</v>
      </c>
    </row>
    <row r="15" spans="1:58">
      <c r="A15" s="49" t="s">
        <v>482</v>
      </c>
      <c r="B15" s="49" t="s">
        <v>502</v>
      </c>
      <c r="C15" s="49">
        <f>IF(OR(B15="NIFTY",B15="BANKNIFTY"),mrigxl_getIndexQuote(VLOOKUP(B15,Lots!$B:$C,2,0)),_xlfn.NUMBERVALUE(mrigxl_getStockQuote(B15)))</f>
        <v>15938.65</v>
      </c>
      <c r="D15" s="49">
        <v>16000</v>
      </c>
      <c r="E15" s="122">
        <v>44742</v>
      </c>
      <c r="F15" s="49" t="str">
        <f>TRIM(A15)&amp;TRIM(B15)&amp;TRIM(D15)&amp;TRIM(E15)</f>
        <v>PENIFTY1600044742</v>
      </c>
      <c r="G15" s="49">
        <f t="shared" ref="G15:G50" si="1">IF(H15="IN",VALUE(IF(A15="FUT",mrigxl_getIndexFuturesQuote(B15,E15,"lastPrice"),mrigxl_getIndexOptionQuote(B15,E15,D15,A15,$H$1))),VALUE(IF(A15="FUT",mrigxl_getStockFuturesQuote(B15,E15,"lastPrice"),mrigxl_getStockOptionQuote(B15,E15,D15,A15,$H$1))))</f>
        <v>-1</v>
      </c>
      <c r="H15" t="s">
        <v>640</v>
      </c>
      <c r="I15" s="182">
        <f t="shared" ref="I15:I36" si="2">IF(H15="IN",IF(A15="FUT",mrigxl_getIndexFuturesQuote(B15,E15,"lastPrice"),mrigxl_getIndexOptionQuote(B15,E15,D15,A15,$H$1)),IF(A15="FUT",mrigxl_getStockFuturesQuote(B15,E15,"lastPrice"),mrigxl_getStockOptionQuote(B15,E15,D15,A15,$H$1)))</f>
        <v>-1</v>
      </c>
      <c r="U15" t="s">
        <v>580</v>
      </c>
      <c r="AZ15" t="s">
        <v>713</v>
      </c>
      <c r="BA15" s="33" t="s">
        <v>725</v>
      </c>
      <c r="BB15">
        <v>-3750</v>
      </c>
      <c r="BC15">
        <v>4.2</v>
      </c>
      <c r="BD15" s="33">
        <v>3.15</v>
      </c>
      <c r="BE15">
        <v>3937.5</v>
      </c>
      <c r="BF15">
        <v>-25</v>
      </c>
    </row>
    <row r="16" spans="1:58">
      <c r="A16" s="49" t="s">
        <v>482</v>
      </c>
      <c r="B16" s="49" t="s">
        <v>502</v>
      </c>
      <c r="C16" s="49">
        <f>IF(OR(B16="NIFTY",B16="BANKNIFTY"),mrigxl_getIndexQuote(VLOOKUP(B16,Lots!$B:$C,2,0)),_xlfn.NUMBERVALUE(mrigxl_getStockQuote(B16)))</f>
        <v>15938.65</v>
      </c>
      <c r="D16" s="49">
        <v>15000</v>
      </c>
      <c r="E16" s="122">
        <v>44707</v>
      </c>
      <c r="F16" s="49" t="str">
        <f t="shared" ref="F16:F22" si="3">TRIM(A16)&amp;TRIM(B16)&amp;TRIM(D16)&amp;TRIM(E16)</f>
        <v>PENIFTY1500044707</v>
      </c>
      <c r="G16" s="49">
        <f t="shared" si="1"/>
        <v>-1</v>
      </c>
      <c r="H16" t="s">
        <v>640</v>
      </c>
      <c r="I16" s="182">
        <f t="shared" si="2"/>
        <v>-1</v>
      </c>
      <c r="U16" t="s">
        <v>581</v>
      </c>
      <c r="AZ16" t="s">
        <v>713</v>
      </c>
      <c r="BA16" s="33" t="s">
        <v>726</v>
      </c>
      <c r="BB16">
        <v>-3750</v>
      </c>
      <c r="BC16">
        <v>3.6</v>
      </c>
      <c r="BD16" s="33">
        <v>2.4500000000000002</v>
      </c>
      <c r="BE16">
        <v>4312.5</v>
      </c>
      <c r="BF16">
        <v>-31.94</v>
      </c>
    </row>
    <row r="17" spans="1:58">
      <c r="A17" s="49" t="s">
        <v>482</v>
      </c>
      <c r="B17" s="49" t="s">
        <v>284</v>
      </c>
      <c r="C17" s="49">
        <f>IF(OR(B17="NIFTY",B17="BANKNIFTY"),mrigxl_getIndexQuote(VLOOKUP(B17,Lots!$B:$C,2,0)),_xlfn.NUMBERVALUE(mrigxl_getStockQuote(B17)))</f>
        <v>428</v>
      </c>
      <c r="D17" s="49">
        <v>410</v>
      </c>
      <c r="E17" s="122">
        <v>44707</v>
      </c>
      <c r="F17" s="49" t="str">
        <f t="shared" si="3"/>
        <v>PETATAMOTORS41044707</v>
      </c>
      <c r="G17" s="49">
        <f>IF(H17="IN",VALUE(IF(A17="FUT",mrigxl_getIndexFuturesQuote(B17,E17,"lastPrice"),mrigxl_getIndexOptionQuote(B17,E17,D17,A17,$H$1))),VALUE(IF(A17="FUT",mrigxl_getStockFuturesQuote(B17,E17,"lastPrice"),mrigxl_getStockOptionQuote(B17,E17,D17,A17,$H$1))))</f>
        <v>-1</v>
      </c>
      <c r="H17" t="s">
        <v>641</v>
      </c>
      <c r="I17" s="182">
        <f t="shared" si="2"/>
        <v>-1</v>
      </c>
      <c r="U17" t="s">
        <v>568</v>
      </c>
      <c r="AZ17" t="s">
        <v>713</v>
      </c>
      <c r="BA17" s="33" t="s">
        <v>727</v>
      </c>
      <c r="BB17">
        <v>-7500</v>
      </c>
      <c r="BC17">
        <v>2.63</v>
      </c>
      <c r="BD17" s="33">
        <v>1.9</v>
      </c>
      <c r="BE17">
        <v>5437.5</v>
      </c>
      <c r="BF17">
        <v>-27.62</v>
      </c>
    </row>
    <row r="18" spans="1:58">
      <c r="A18" s="49" t="s">
        <v>632</v>
      </c>
      <c r="B18" s="49" t="s">
        <v>502</v>
      </c>
      <c r="C18" s="49">
        <f>IF(OR(B18="NIFTY",B18="BANKNIFTY"),mrigxl_getIndexQuote(VLOOKUP(B18,Lots!$B:$C,2,0)),_xlfn.NUMBERVALUE(mrigxl_getStockQuote(B18)))</f>
        <v>15938.65</v>
      </c>
      <c r="E18" s="122">
        <v>44707</v>
      </c>
      <c r="F18" s="49" t="str">
        <f t="shared" si="3"/>
        <v>FUTNIFTY44707</v>
      </c>
      <c r="G18" s="49" t="e">
        <f>IF(H18="IN",VALUE(IF(A18="FUT",mrigxl_getIndexFuturesQuote(B18,E18,"lastPrice"),mrigxl_getIndexOptionQuote(B18,E18,D18,A18,$H$1))),VALUE(IF(A18="FUT",mrigxl_getStockFuturesQuote(B18,E18,"lastPrice"),mrigxl_getStockOptionQuote(B18,E18,D18,A18,$H$1))))</f>
        <v>#VALUE!</v>
      </c>
      <c r="H18" t="s">
        <v>640</v>
      </c>
      <c r="I18" s="182" t="str">
        <f t="shared" si="2"/>
        <v>KeyError: 'lastPrice'
    quote = quote[id]
  File "f:\mrig analytics\development\mriganalytics\interface\pyxcel.py", line 141, in mrigxl_getIndexFuturesQuote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18" t="s">
        <v>582</v>
      </c>
      <c r="AZ18" t="s">
        <v>713</v>
      </c>
      <c r="BA18" s="33" t="s">
        <v>728</v>
      </c>
      <c r="BB18">
        <v>3750</v>
      </c>
      <c r="BC18">
        <v>178</v>
      </c>
      <c r="BD18" s="33">
        <v>162.85</v>
      </c>
      <c r="BE18">
        <v>-56812.5</v>
      </c>
      <c r="BF18">
        <v>-8.51</v>
      </c>
    </row>
    <row r="19" spans="1:58">
      <c r="A19" s="49" t="s">
        <v>482</v>
      </c>
      <c r="B19" s="49" t="s">
        <v>502</v>
      </c>
      <c r="C19" s="49">
        <f>IF(OR(B19="NIFTY",B19="BANKNIFTY"),mrigxl_getIndexQuote(VLOOKUP(B19,Lots!$B:$C,2,0)),_xlfn.NUMBERVALUE(mrigxl_getStockQuote(B19)))</f>
        <v>15938.65</v>
      </c>
      <c r="D19" s="49">
        <v>14500</v>
      </c>
      <c r="E19" s="122">
        <v>44707</v>
      </c>
      <c r="F19" s="49" t="str">
        <f t="shared" si="3"/>
        <v>PENIFTY1450044707</v>
      </c>
      <c r="G19" s="49">
        <f t="shared" si="1"/>
        <v>-1</v>
      </c>
      <c r="H19" t="s">
        <v>640</v>
      </c>
      <c r="I19" s="182">
        <f t="shared" si="2"/>
        <v>-1</v>
      </c>
      <c r="L19" s="8"/>
      <c r="U19" t="s">
        <v>583</v>
      </c>
      <c r="AZ19" t="s">
        <v>713</v>
      </c>
      <c r="BA19" s="33" t="s">
        <v>729</v>
      </c>
      <c r="BB19">
        <v>600</v>
      </c>
      <c r="BC19">
        <v>1659.98</v>
      </c>
      <c r="BD19" s="33">
        <v>1630.55</v>
      </c>
      <c r="BE19">
        <v>-17655</v>
      </c>
      <c r="BF19">
        <v>-1.77</v>
      </c>
    </row>
    <row r="20" spans="1:58">
      <c r="A20" s="49" t="s">
        <v>482</v>
      </c>
      <c r="B20" s="49" t="s">
        <v>502</v>
      </c>
      <c r="C20" s="49">
        <f>IF(OR(B20="NIFTY",B20="BANKNIFTY"),mrigxl_getIndexQuote(VLOOKUP(B20,Lots!$B:$C,2,0)),_xlfn.NUMBERVALUE(mrigxl_getStockQuote(B20)))</f>
        <v>16220.6</v>
      </c>
      <c r="D20" s="49">
        <v>15000</v>
      </c>
      <c r="E20" s="122">
        <v>44707</v>
      </c>
      <c r="F20" s="49" t="str">
        <f t="shared" si="3"/>
        <v>PENIFTY1500044707</v>
      </c>
      <c r="G20" s="49">
        <f t="shared" si="1"/>
        <v>-1</v>
      </c>
      <c r="H20" t="s">
        <v>640</v>
      </c>
      <c r="I20" s="182">
        <f t="shared" si="2"/>
        <v>-1</v>
      </c>
      <c r="U20" t="s">
        <v>582</v>
      </c>
      <c r="AZ20" t="s">
        <v>713</v>
      </c>
      <c r="BA20" s="33" t="s">
        <v>760</v>
      </c>
      <c r="BB20">
        <v>-300</v>
      </c>
      <c r="BC20">
        <v>23.6</v>
      </c>
      <c r="BD20" s="33">
        <v>28.25</v>
      </c>
      <c r="BE20">
        <v>-1395</v>
      </c>
      <c r="BF20">
        <v>19.7</v>
      </c>
    </row>
    <row r="21" spans="1:58">
      <c r="A21" s="49" t="s">
        <v>482</v>
      </c>
      <c r="B21" s="49" t="s">
        <v>284</v>
      </c>
      <c r="C21" s="49">
        <f>IF(OR(B21="NIFTY",B21="BANKNIFTY"),mrigxl_getIndexQuote(VLOOKUP(B21,Lots!$B:$C,2,0)),_xlfn.NUMBERVALUE(mrigxl_getStockQuote(B21)))</f>
        <v>440.5</v>
      </c>
      <c r="D21" s="49">
        <v>450</v>
      </c>
      <c r="E21" s="122">
        <v>44707</v>
      </c>
      <c r="F21" s="49" t="str">
        <f t="shared" si="3"/>
        <v>PETATAMOTORS45044707</v>
      </c>
      <c r="G21" s="49">
        <f t="shared" ref="G21:G26" si="4">IF(H21="IN",VALUE(IF(A21="FUT",mrigxl_getIndexFuturesQuote(B21,E21,"lastPrice"),mrigxl_getIndexOptionQuote(B21,E21,D21,A21,$H$1))),VALUE(IF(A21="FUT",mrigxl_getStockFuturesQuote(B21,E21,"lastPrice"),mrigxl_getStockOptionQuote(B21,E21,D21,A21,$H$1))))</f>
        <v>-1</v>
      </c>
      <c r="H21" t="s">
        <v>641</v>
      </c>
      <c r="I21" s="182">
        <f t="shared" si="2"/>
        <v>-1</v>
      </c>
      <c r="U21" t="s">
        <v>582</v>
      </c>
      <c r="AZ21" t="s">
        <v>713</v>
      </c>
      <c r="BA21" s="33" t="s">
        <v>730</v>
      </c>
      <c r="BB21">
        <v>-300</v>
      </c>
      <c r="BC21">
        <v>12.3</v>
      </c>
      <c r="BD21" s="33">
        <v>24</v>
      </c>
      <c r="BE21">
        <v>-3510</v>
      </c>
      <c r="BF21">
        <v>95.12</v>
      </c>
    </row>
    <row r="22" spans="1:58">
      <c r="A22" s="49" t="s">
        <v>632</v>
      </c>
      <c r="B22" s="49" t="s">
        <v>130</v>
      </c>
      <c r="C22" s="49">
        <f>IF(OR(B22="NIFTY",B22="BANKNIFTY"),mrigxl_getIndexQuote(VLOOKUP(B22,Lots!$B:$C,2,0)),_xlfn.NUMBERVALUE(mrigxl_getStockQuote(B22)))</f>
        <v>221.6</v>
      </c>
      <c r="E22" s="122">
        <v>44707</v>
      </c>
      <c r="F22" s="49" t="str">
        <f t="shared" si="3"/>
        <v>FUTTATAPOWER44707</v>
      </c>
      <c r="G22" s="49" t="e">
        <f t="shared" si="4"/>
        <v>#VALUE!</v>
      </c>
      <c r="H22" t="s">
        <v>641</v>
      </c>
      <c r="I22" s="182" t="str">
        <f t="shared" si="2"/>
        <v>KeyError: 'lastPrice'
    quote = quote[id]
  File "f:\mrig analytics\development\mriganalytics\interface\pyxcel.py", line 149, in mrigxl_getStockFuturesQuote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22" t="s">
        <v>584</v>
      </c>
      <c r="AZ22" t="s">
        <v>713</v>
      </c>
      <c r="BA22" s="33" t="s">
        <v>731</v>
      </c>
      <c r="BB22">
        <v>600</v>
      </c>
      <c r="BC22">
        <v>30</v>
      </c>
      <c r="BD22" s="33">
        <v>39.200000000000003</v>
      </c>
      <c r="BE22">
        <v>5520</v>
      </c>
      <c r="BF22">
        <v>30.67</v>
      </c>
    </row>
    <row r="23" spans="1:58">
      <c r="A23" s="49" t="s">
        <v>632</v>
      </c>
      <c r="B23" s="49" t="s">
        <v>502</v>
      </c>
      <c r="C23" s="49">
        <f>IF(OR(B23="NIFTY",B23="BANKNIFTY"),mrigxl_getIndexQuote(VLOOKUP(B23,Lots!$B:$C,2,0)),_xlfn.NUMBERVALUE(mrigxl_getStockQuote(B23)))</f>
        <v>16220.6</v>
      </c>
      <c r="E23" s="122">
        <v>44742</v>
      </c>
      <c r="F23" s="49" t="str">
        <f t="shared" ref="F23" si="5">TRIM(A23)&amp;TRIM(B23)&amp;TRIM(D23)&amp;TRIM(E23)</f>
        <v>FUTNIFTY44742</v>
      </c>
      <c r="G23" s="49" t="e">
        <f t="shared" si="4"/>
        <v>#VALUE!</v>
      </c>
      <c r="H23" t="s">
        <v>640</v>
      </c>
      <c r="I23" s="182" t="str">
        <f t="shared" si="2"/>
        <v>KeyError: 'lastPrice'
    quote = quote[id]
  File "f:\mrig analytics\development\mriganalytics\interface\pyxcel.py", line 141, in mrigxl_getIndexFuturesQuote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23" t="s">
        <v>585</v>
      </c>
      <c r="AZ23" t="s">
        <v>713</v>
      </c>
      <c r="BA23" s="33" t="s">
        <v>732</v>
      </c>
      <c r="BB23">
        <v>-300</v>
      </c>
      <c r="BC23">
        <v>24.2</v>
      </c>
      <c r="BD23" s="33">
        <v>8.6999999999999993</v>
      </c>
      <c r="BE23">
        <v>4650</v>
      </c>
      <c r="BF23">
        <v>-64.05</v>
      </c>
    </row>
    <row r="24" spans="1:58">
      <c r="A24" s="49" t="s">
        <v>481</v>
      </c>
      <c r="B24" s="49" t="s">
        <v>126</v>
      </c>
      <c r="C24" s="49">
        <f>IF(OR(B24="NIFTY",B24="BANKNIFTY"),mrigxl_getIndexQuote(VLOOKUP(B24,Lots!$B:$C,2,0)),_xlfn.NUMBERVALUE(mrigxl_getStockQuote(B24)))</f>
        <v>162.15</v>
      </c>
      <c r="D24" s="49">
        <v>220</v>
      </c>
      <c r="E24" s="122">
        <v>44707</v>
      </c>
      <c r="F24" s="49" t="str">
        <f>TRIM(A24)&amp;TRIM(B24)&amp;TRIM(D24)&amp;TRIM(E24)</f>
        <v>CEIEX22044707</v>
      </c>
      <c r="G24" s="49">
        <f t="shared" si="4"/>
        <v>-1</v>
      </c>
      <c r="H24" t="s">
        <v>641</v>
      </c>
      <c r="I24" s="182">
        <f t="shared" si="2"/>
        <v>-1</v>
      </c>
      <c r="U24" t="s">
        <v>586</v>
      </c>
      <c r="AZ24" t="s">
        <v>713</v>
      </c>
      <c r="BA24" s="33" t="s">
        <v>733</v>
      </c>
      <c r="BB24">
        <v>-50</v>
      </c>
      <c r="BC24">
        <v>66.3</v>
      </c>
      <c r="BD24" s="33">
        <v>36.35</v>
      </c>
      <c r="BE24">
        <v>1497.5</v>
      </c>
      <c r="BF24">
        <v>-45.17</v>
      </c>
    </row>
    <row r="25" spans="1:58">
      <c r="A25" s="49" t="s">
        <v>482</v>
      </c>
      <c r="B25" s="49" t="s">
        <v>126</v>
      </c>
      <c r="C25" s="49">
        <f>IF(OR(B25="NIFTY",B25="BANKNIFTY"),mrigxl_getIndexQuote(VLOOKUP(B25,Lots!$B:$C,2,0)),_xlfn.NUMBERVALUE(mrigxl_getStockQuote(B25)))</f>
        <v>162.15</v>
      </c>
      <c r="D25" s="49">
        <v>205</v>
      </c>
      <c r="E25" s="122">
        <v>44707</v>
      </c>
      <c r="F25" s="49" t="str">
        <f t="shared" ref="F25:F35" si="6">TRIM(A25)&amp;TRIM(B25)&amp;TRIM(D25)&amp;TRIM(E25)</f>
        <v>PEIEX20544707</v>
      </c>
      <c r="G25" s="49">
        <f t="shared" si="4"/>
        <v>-1</v>
      </c>
      <c r="H25" t="s">
        <v>641</v>
      </c>
      <c r="I25" s="182">
        <f t="shared" si="2"/>
        <v>-1</v>
      </c>
      <c r="U25" t="s">
        <v>587</v>
      </c>
      <c r="AZ25" t="s">
        <v>713</v>
      </c>
      <c r="BA25" s="33" t="s">
        <v>761</v>
      </c>
      <c r="BB25">
        <v>-50</v>
      </c>
      <c r="BC25">
        <v>44.25</v>
      </c>
      <c r="BD25" s="33">
        <v>46</v>
      </c>
      <c r="BE25">
        <v>-87.5</v>
      </c>
      <c r="BF25">
        <v>3.95</v>
      </c>
    </row>
    <row r="26" spans="1:58">
      <c r="A26" s="49" t="s">
        <v>481</v>
      </c>
      <c r="B26" s="49" t="s">
        <v>130</v>
      </c>
      <c r="C26" s="49">
        <f>IF(OR(B26="NIFTY",B26="BANKNIFTY"),mrigxl_getIndexQuote(VLOOKUP(B26,Lots!$B:$C,2,0)),_xlfn.NUMBERVALUE(mrigxl_getStockQuote(B26)))</f>
        <v>221.6</v>
      </c>
      <c r="D26" s="49">
        <v>280</v>
      </c>
      <c r="E26" s="122">
        <v>44707</v>
      </c>
      <c r="F26" s="49" t="str">
        <f>TRIM(A26)&amp;TRIM(B26)&amp;TRIM(D26)&amp;TRIM(E26)</f>
        <v>CETATAPOWER28044707</v>
      </c>
      <c r="G26" s="49">
        <f t="shared" si="4"/>
        <v>-1</v>
      </c>
      <c r="H26" t="s">
        <v>641</v>
      </c>
      <c r="I26" s="182">
        <f t="shared" si="2"/>
        <v>-1</v>
      </c>
      <c r="U26" t="s">
        <v>568</v>
      </c>
      <c r="AZ26" t="s">
        <v>713</v>
      </c>
      <c r="BA26" s="33" t="s">
        <v>762</v>
      </c>
      <c r="BB26">
        <v>-50</v>
      </c>
      <c r="BC26">
        <v>56.05</v>
      </c>
      <c r="BD26" s="33">
        <v>60</v>
      </c>
      <c r="BE26">
        <v>-197.5</v>
      </c>
      <c r="BF26">
        <v>7.05</v>
      </c>
    </row>
    <row r="27" spans="1:58">
      <c r="A27" s="49" t="s">
        <v>482</v>
      </c>
      <c r="B27" s="49" t="s">
        <v>506</v>
      </c>
      <c r="C27" s="49">
        <f>IF(OR(B27="NIFTY",B27="BANKNIFTY"),mrigxl_getIndexQuote(VLOOKUP(B27,Lots!$B:$C,2,0)),_xlfn.NUMBERVALUE(mrigxl_getStockQuote(B27)))</f>
        <v>34651.199999999997</v>
      </c>
      <c r="D27" s="49">
        <v>34800</v>
      </c>
      <c r="E27" s="122">
        <v>44707</v>
      </c>
      <c r="F27" s="49" t="str">
        <f>TRIM(A27)&amp;TRIM(B27)&amp;TRIM(D27)&amp;TRIM(E27)</f>
        <v>PEBANKNIFTY3480044707</v>
      </c>
      <c r="G27" s="49">
        <f t="shared" si="1"/>
        <v>-1</v>
      </c>
      <c r="H27" t="s">
        <v>640</v>
      </c>
      <c r="I27" s="182">
        <f t="shared" si="2"/>
        <v>-1</v>
      </c>
      <c r="U27" t="s">
        <v>568</v>
      </c>
      <c r="AZ27" t="s">
        <v>713</v>
      </c>
      <c r="BA27" s="33" t="s">
        <v>734</v>
      </c>
      <c r="BB27">
        <v>150</v>
      </c>
      <c r="BC27">
        <v>225.62</v>
      </c>
      <c r="BD27" s="33">
        <v>244</v>
      </c>
      <c r="BE27">
        <v>2757.5</v>
      </c>
      <c r="BF27">
        <v>8.15</v>
      </c>
    </row>
    <row r="28" spans="1:58">
      <c r="A28" s="49" t="s">
        <v>482</v>
      </c>
      <c r="B28" s="49" t="s">
        <v>506</v>
      </c>
      <c r="C28" s="49">
        <f>IF(OR(B28="NIFTY",B28="BANKNIFTY"),mrigxl_getIndexQuote(VLOOKUP(B28,Lots!$B:$C,2,0)),_xlfn.NUMBERVALUE(mrigxl_getStockQuote(B28)))</f>
        <v>34651.199999999997</v>
      </c>
      <c r="D28" s="49">
        <v>35000</v>
      </c>
      <c r="E28" s="122">
        <v>44707</v>
      </c>
      <c r="F28" s="49" t="str">
        <f>TRIM(A28)&amp;TRIM(B28)&amp;TRIM(D28)&amp;TRIM(E28)</f>
        <v>PEBANKNIFTY3500044707</v>
      </c>
      <c r="G28" s="49">
        <f t="shared" si="1"/>
        <v>-1</v>
      </c>
      <c r="H28" t="s">
        <v>640</v>
      </c>
      <c r="I28" s="182">
        <f t="shared" si="2"/>
        <v>-1</v>
      </c>
      <c r="U28" t="s">
        <v>568</v>
      </c>
      <c r="AZ28" t="s">
        <v>713</v>
      </c>
      <c r="BA28" s="33" t="s">
        <v>735</v>
      </c>
      <c r="BB28">
        <v>-150</v>
      </c>
      <c r="BC28">
        <v>100.75</v>
      </c>
      <c r="BD28" s="33">
        <v>31.75</v>
      </c>
      <c r="BE28">
        <v>10350</v>
      </c>
      <c r="BF28">
        <v>-68.489999999999995</v>
      </c>
    </row>
    <row r="29" spans="1:58">
      <c r="A29" s="49" t="s">
        <v>482</v>
      </c>
      <c r="B29" s="49" t="s">
        <v>502</v>
      </c>
      <c r="C29" s="49">
        <f>IF(OR(B29="NIFTY",B29="BANKNIFTY"),mrigxl_getIndexQuote(VLOOKUP(B29,Lots!$B:$C,2,0)),_xlfn.NUMBERVALUE(mrigxl_getStockQuote(B29)))</f>
        <v>15938.65</v>
      </c>
      <c r="D29" s="49">
        <v>14000</v>
      </c>
      <c r="E29" s="122">
        <v>44707</v>
      </c>
      <c r="F29" s="49" t="str">
        <f>TRIM(A29)&amp;TRIM(B29)&amp;TRIM(D29)&amp;TRIM(E29)</f>
        <v>PENIFTY1400044707</v>
      </c>
      <c r="G29" s="49">
        <f t="shared" si="1"/>
        <v>-1</v>
      </c>
      <c r="H29" t="s">
        <v>640</v>
      </c>
      <c r="I29" s="182">
        <f t="shared" si="2"/>
        <v>-1</v>
      </c>
      <c r="U29" t="s">
        <v>568</v>
      </c>
      <c r="AZ29" t="s">
        <v>713</v>
      </c>
      <c r="BA29" s="33" t="s">
        <v>736</v>
      </c>
      <c r="BB29">
        <v>-200</v>
      </c>
      <c r="BC29">
        <v>90.14</v>
      </c>
      <c r="BD29" s="33">
        <v>19.899999999999999</v>
      </c>
      <c r="BE29">
        <v>14047.5</v>
      </c>
      <c r="BF29">
        <v>-77.92</v>
      </c>
    </row>
    <row r="30" spans="1:58">
      <c r="A30" s="49" t="s">
        <v>481</v>
      </c>
      <c r="B30" s="49" t="s">
        <v>502</v>
      </c>
      <c r="C30" s="49">
        <f>IF(OR(B30="NIFTY",B30="BANKNIFTY"),mrigxl_getIndexQuote(VLOOKUP(B30,Lots!$B:$C,2,0)),_xlfn.NUMBERVALUE(mrigxl_getStockQuote(B30)))</f>
        <v>16220.6</v>
      </c>
      <c r="D30" s="49">
        <v>18000</v>
      </c>
      <c r="E30" s="122">
        <v>44742</v>
      </c>
      <c r="F30" s="49" t="str">
        <f>TRIM(A30)&amp;TRIM(B30)&amp;TRIM(D30)&amp;TRIM(E30)</f>
        <v>CENIFTY1800044742</v>
      </c>
      <c r="G30" s="49">
        <f t="shared" si="1"/>
        <v>-1</v>
      </c>
      <c r="H30" t="s">
        <v>640</v>
      </c>
      <c r="I30" s="182">
        <f t="shared" si="2"/>
        <v>-1</v>
      </c>
      <c r="U30" t="s">
        <v>568</v>
      </c>
      <c r="AZ30" t="s">
        <v>713</v>
      </c>
      <c r="BA30" s="33" t="s">
        <v>737</v>
      </c>
      <c r="BB30">
        <v>-50</v>
      </c>
      <c r="BC30">
        <v>91.8</v>
      </c>
      <c r="BD30" s="33">
        <v>15.95</v>
      </c>
      <c r="BE30">
        <v>3792.5</v>
      </c>
      <c r="BF30">
        <v>-82.63</v>
      </c>
    </row>
    <row r="31" spans="1:58">
      <c r="A31" s="49" t="s">
        <v>481</v>
      </c>
      <c r="B31" s="49" t="s">
        <v>506</v>
      </c>
      <c r="C31" s="49">
        <f>IF(OR(B31="NIFTY",B31="BANKNIFTY"),mrigxl_getIndexQuote(VLOOKUP(B31,Lots!$B:$C,2,0)),_xlfn.NUMBERVALUE(mrigxl_getStockQuote(B31)))</f>
        <v>34651.199999999997</v>
      </c>
      <c r="D31" s="49">
        <v>38000</v>
      </c>
      <c r="E31" s="122">
        <v>44707</v>
      </c>
      <c r="F31" s="49" t="str">
        <f t="shared" si="6"/>
        <v>CEBANKNIFTY3800044707</v>
      </c>
      <c r="G31" s="49">
        <f t="shared" ref="G31:G47" si="7">IF(H31="IN",VALUE(IF(A31="FUT",mrigxl_getIndexFuturesQuote(B31,E31,"lastPrice"),mrigxl_getIndexOptionQuote(B31,E31,D31,A31,$H$1))),VALUE(IF(A31="FUT",mrigxl_getStockFuturesQuote(B31,E31,"lastPrice"),mrigxl_getStockOptionQuote(B31,E31,D31,A31,$H$1))))</f>
        <v>-1</v>
      </c>
      <c r="H31" t="s">
        <v>640</v>
      </c>
      <c r="I31" s="182">
        <f t="shared" si="2"/>
        <v>-1</v>
      </c>
      <c r="U31" t="s">
        <v>582</v>
      </c>
      <c r="AZ31" t="s">
        <v>713</v>
      </c>
      <c r="BA31" s="33" t="s">
        <v>738</v>
      </c>
      <c r="BB31">
        <v>150</v>
      </c>
      <c r="BC31">
        <v>16133.37</v>
      </c>
      <c r="BD31" s="33">
        <v>15941</v>
      </c>
      <c r="BE31">
        <v>-28855</v>
      </c>
      <c r="BF31">
        <v>-1.19</v>
      </c>
    </row>
    <row r="32" spans="1:58">
      <c r="A32" s="49" t="s">
        <v>632</v>
      </c>
      <c r="B32" s="49" t="s">
        <v>502</v>
      </c>
      <c r="C32" s="49">
        <f>IF(OR(B32="NIFTY",B32="BANKNIFTY"),mrigxl_getIndexQuote(VLOOKUP(B32,Lots!$B:$C,2,0)),_xlfn.NUMBERVALUE(mrigxl_getStockQuote(B32)))</f>
        <v>15938.65</v>
      </c>
      <c r="E32" s="122">
        <v>44707</v>
      </c>
      <c r="F32" s="49" t="str">
        <f t="shared" si="6"/>
        <v>FUTNIFTY44707</v>
      </c>
      <c r="G32" s="49" t="e">
        <f t="shared" si="7"/>
        <v>#VALUE!</v>
      </c>
      <c r="H32" t="s">
        <v>640</v>
      </c>
      <c r="I32" s="182" t="str">
        <f t="shared" si="2"/>
        <v>KeyError: 'lastPrice'
    quote = quote[id]
  File "f:\mrig analytics\development\mriganalytics\interface\pyxcel.py", line 141, in mrigxl_getIndexFuturesQuote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32" t="s">
        <v>582</v>
      </c>
      <c r="AZ32" t="s">
        <v>713</v>
      </c>
      <c r="BA32" s="33" t="s">
        <v>739</v>
      </c>
      <c r="BB32">
        <v>-750</v>
      </c>
      <c r="BC32">
        <v>31.35</v>
      </c>
      <c r="BD32" s="33">
        <v>31</v>
      </c>
      <c r="BE32">
        <v>262.5</v>
      </c>
      <c r="BF32">
        <v>-1.1200000000000001</v>
      </c>
    </row>
    <row r="33" spans="1:58">
      <c r="A33" s="49" t="s">
        <v>481</v>
      </c>
      <c r="B33" s="49" t="s">
        <v>502</v>
      </c>
      <c r="C33" s="49">
        <f>IF(OR(B33="NIFTY",B33="BANKNIFTY"),mrigxl_getIndexQuote(VLOOKUP(B33,Lots!$B:$C,2,0)),_xlfn.NUMBERVALUE(mrigxl_getStockQuote(B33)))</f>
        <v>15938.65</v>
      </c>
      <c r="D33" s="49">
        <v>18200</v>
      </c>
      <c r="E33" s="122">
        <v>44742</v>
      </c>
      <c r="F33" s="49" t="str">
        <f t="shared" si="6"/>
        <v>CENIFTY1820044742</v>
      </c>
      <c r="G33" s="49">
        <f t="shared" si="7"/>
        <v>-1</v>
      </c>
      <c r="H33" t="s">
        <v>640</v>
      </c>
      <c r="I33" s="182">
        <f t="shared" si="2"/>
        <v>-1</v>
      </c>
      <c r="U33" t="s">
        <v>582</v>
      </c>
      <c r="AZ33" t="s">
        <v>713</v>
      </c>
      <c r="BA33" s="33" t="s">
        <v>740</v>
      </c>
      <c r="BB33">
        <v>375</v>
      </c>
      <c r="BC33">
        <v>105.05</v>
      </c>
      <c r="BD33" s="33">
        <v>117</v>
      </c>
      <c r="BE33">
        <v>4481.25</v>
      </c>
      <c r="BF33">
        <v>11.38</v>
      </c>
    </row>
    <row r="34" spans="1:58">
      <c r="A34" s="49" t="s">
        <v>481</v>
      </c>
      <c r="B34" s="49" t="s">
        <v>502</v>
      </c>
      <c r="C34" s="49">
        <f>IF(OR(B34="NIFTY",B34="BANKNIFTY"),mrigxl_getIndexQuote(VLOOKUP(B34,Lots!$B:$C,2,0)),_xlfn.NUMBERVALUE(mrigxl_getStockQuote(B34)))</f>
        <v>15938.65</v>
      </c>
      <c r="D34" s="49">
        <v>18000</v>
      </c>
      <c r="E34" s="122">
        <v>44707</v>
      </c>
      <c r="F34" s="49" t="str">
        <f t="shared" si="6"/>
        <v>CENIFTY1800044707</v>
      </c>
      <c r="G34" s="49">
        <f t="shared" si="7"/>
        <v>-1</v>
      </c>
      <c r="H34" t="s">
        <v>640</v>
      </c>
      <c r="I34" s="182">
        <f t="shared" si="2"/>
        <v>-1</v>
      </c>
      <c r="U34" t="s">
        <v>582</v>
      </c>
      <c r="AZ34" t="s">
        <v>713</v>
      </c>
      <c r="BA34" s="33" t="s">
        <v>741</v>
      </c>
      <c r="BB34">
        <v>-375</v>
      </c>
      <c r="BC34">
        <v>50</v>
      </c>
      <c r="BD34" s="33">
        <v>11.45</v>
      </c>
      <c r="BE34">
        <v>14456.25</v>
      </c>
      <c r="BF34">
        <v>-77.099999999999994</v>
      </c>
    </row>
    <row r="35" spans="1:58">
      <c r="A35" s="49" t="s">
        <v>481</v>
      </c>
      <c r="B35" s="49" t="s">
        <v>502</v>
      </c>
      <c r="C35" s="49">
        <f>IF(OR(B35="NIFTY",B35="BANKNIFTY"),mrigxl_getIndexQuote(VLOOKUP(B35,Lots!$B:$C,2,0)),_xlfn.NUMBERVALUE(mrigxl_getStockQuote(B35)))</f>
        <v>15938.65</v>
      </c>
      <c r="D35" s="49">
        <v>17400</v>
      </c>
      <c r="E35" s="122">
        <v>44707</v>
      </c>
      <c r="F35" s="49" t="str">
        <f t="shared" si="6"/>
        <v>CENIFTY1740044707</v>
      </c>
      <c r="G35" s="49">
        <f t="shared" si="7"/>
        <v>-1</v>
      </c>
      <c r="H35" t="s">
        <v>640</v>
      </c>
      <c r="I35" s="182">
        <f t="shared" si="2"/>
        <v>-1</v>
      </c>
      <c r="U35" t="s">
        <v>568</v>
      </c>
      <c r="AZ35" t="s">
        <v>713</v>
      </c>
      <c r="BA35" s="33" t="s">
        <v>742</v>
      </c>
      <c r="BB35">
        <v>-375</v>
      </c>
      <c r="BC35">
        <v>35</v>
      </c>
      <c r="BD35" s="33">
        <v>4</v>
      </c>
      <c r="BE35">
        <v>11625</v>
      </c>
      <c r="BF35">
        <v>-88.57</v>
      </c>
    </row>
    <row r="36" spans="1:58">
      <c r="A36" s="49" t="s">
        <v>481</v>
      </c>
      <c r="B36" s="49" t="s">
        <v>130</v>
      </c>
      <c r="C36" s="49">
        <f>IF(OR(B36="NIFTY",B36="BANKNIFTY"),mrigxl_getIndexQuote(VLOOKUP(B36,Lots!$B:$C,2,0)),_xlfn.NUMBERVALUE(mrigxl_getStockQuote(B36)))</f>
        <v>221.6</v>
      </c>
      <c r="D36" s="49">
        <v>270</v>
      </c>
      <c r="E36" s="122">
        <v>44707</v>
      </c>
      <c r="F36" s="49" t="str">
        <f>TRIM(A36)&amp;TRIM(B36)&amp;TRIM(D36)&amp;TRIM(E36)</f>
        <v>CETATAPOWER27044707</v>
      </c>
      <c r="G36" s="49">
        <f t="shared" si="7"/>
        <v>-1</v>
      </c>
      <c r="H36" t="s">
        <v>641</v>
      </c>
      <c r="I36" s="182">
        <f t="shared" si="2"/>
        <v>-1</v>
      </c>
      <c r="U36" t="s">
        <v>585</v>
      </c>
      <c r="AZ36" t="s">
        <v>713</v>
      </c>
      <c r="BA36" s="33" t="s">
        <v>743</v>
      </c>
      <c r="BB36">
        <v>375</v>
      </c>
      <c r="BC36">
        <v>2470</v>
      </c>
      <c r="BD36" s="33">
        <v>2211</v>
      </c>
      <c r="BE36">
        <v>-97125</v>
      </c>
      <c r="BF36">
        <v>-10.49</v>
      </c>
    </row>
    <row r="37" spans="1:58">
      <c r="A37" s="49" t="s">
        <v>481</v>
      </c>
      <c r="B37" s="49" t="s">
        <v>284</v>
      </c>
      <c r="C37" s="49">
        <f>IF(OR(B37="NIFTY",B37="BANKNIFTY"),mrigxl_getIndexQuote(VLOOKUP(B37,Lots!$B:$C,2,0)),_xlfn.NUMBERVALUE(mrigxl_getStockQuote(B37)))</f>
        <v>428</v>
      </c>
      <c r="D37" s="49">
        <v>500</v>
      </c>
      <c r="E37" s="122">
        <v>44707</v>
      </c>
      <c r="F37" s="49" t="str">
        <f t="shared" ref="F37" si="8">TRIM(A37)&amp;TRIM(B37)&amp;TRIM(D37)&amp;TRIM(E37)</f>
        <v>CETATAMOTORS50044707</v>
      </c>
      <c r="G37" s="49">
        <f t="shared" si="7"/>
        <v>-1</v>
      </c>
      <c r="H37" t="s">
        <v>641</v>
      </c>
      <c r="I37" s="182">
        <f t="shared" ref="I37:I40" si="9">IF(H37="IN",IF(A37="FUT",mrigxl_getIndexFuturesQuote(B37,E37,"lastPrice"),mrigxl_getIndexOptionQuote(B37,E37,D37,A37,$H$1)),IF(A37="FUT",mrigxl_getStockFuturesQuote(B37,E37,"lastPrice"),mrigxl_getStockOptionQuote(B37,E37,D37,A37,$H$1)))</f>
        <v>-1</v>
      </c>
      <c r="U37" t="s">
        <v>582</v>
      </c>
      <c r="AZ37" t="s">
        <v>713</v>
      </c>
      <c r="BA37" s="33" t="s">
        <v>744</v>
      </c>
      <c r="BB37">
        <v>4275</v>
      </c>
      <c r="BC37">
        <v>440.6</v>
      </c>
      <c r="BD37" s="33">
        <v>430.1</v>
      </c>
      <c r="BE37">
        <v>-44887.5</v>
      </c>
      <c r="BF37">
        <v>-2.38</v>
      </c>
    </row>
    <row r="38" spans="1:58">
      <c r="A38" s="49" t="s">
        <v>481</v>
      </c>
      <c r="B38" s="49" t="s">
        <v>130</v>
      </c>
      <c r="C38" s="49">
        <f>IF(OR(B38="NIFTY",B38="BANKNIFTY"),mrigxl_getIndexQuote(VLOOKUP(B38,Lots!$B:$C,2,0)),_xlfn.NUMBERVALUE(mrigxl_getStockQuote(B38)))</f>
        <v>221.6</v>
      </c>
      <c r="D38" s="49">
        <v>255</v>
      </c>
      <c r="E38" s="122">
        <v>44707</v>
      </c>
      <c r="F38" s="49" t="str">
        <f>TRIM(A38)&amp;TRIM(B38)&amp;TRIM(D38)&amp;TRIM(E38)</f>
        <v>CETATAPOWER25544707</v>
      </c>
      <c r="G38" s="49">
        <f t="shared" si="7"/>
        <v>-1</v>
      </c>
      <c r="H38" t="s">
        <v>641</v>
      </c>
      <c r="I38" s="182">
        <f t="shared" si="9"/>
        <v>-1</v>
      </c>
      <c r="U38" t="s">
        <v>585</v>
      </c>
      <c r="AZ38" t="s">
        <v>713</v>
      </c>
      <c r="BA38" s="33" t="s">
        <v>745</v>
      </c>
      <c r="BB38">
        <v>4275</v>
      </c>
      <c r="BC38">
        <v>10.57</v>
      </c>
      <c r="BD38" s="33">
        <v>12.4</v>
      </c>
      <c r="BE38">
        <v>7837.5</v>
      </c>
      <c r="BF38">
        <v>17.350000000000001</v>
      </c>
    </row>
    <row r="39" spans="1:58">
      <c r="A39" s="49" t="s">
        <v>632</v>
      </c>
      <c r="B39" s="49" t="s">
        <v>506</v>
      </c>
      <c r="C39" s="49">
        <f>IF(OR(B39="NIFTY",B39="BANKNIFTY"),mrigxl_getIndexQuote(VLOOKUP(B39,Lots!$B:$C,2,0)),_xlfn.NUMBERVALUE(mrigxl_getStockQuote(B39)))</f>
        <v>34651.199999999997</v>
      </c>
      <c r="E39" s="122">
        <v>44707</v>
      </c>
      <c r="F39" s="49" t="str">
        <f t="shared" ref="F39:F41" si="10">TRIM(A39)&amp;TRIM(B39)&amp;TRIM(D39)&amp;TRIM(E39)</f>
        <v>FUTBANKNIFTY44707</v>
      </c>
      <c r="G39" s="49" t="e">
        <f t="shared" si="7"/>
        <v>#VALUE!</v>
      </c>
      <c r="H39" t="s">
        <v>640</v>
      </c>
      <c r="I39" s="182" t="str">
        <f t="shared" si="9"/>
        <v>KeyError: 'lastPrice'
    quote = quote[id]
  File "f:\mrig analytics\development\mriganalytics\interface\pyxcel.py", line 141, in mrigxl_getIndexFuturesQuote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39" t="s">
        <v>585</v>
      </c>
      <c r="AZ39" t="s">
        <v>713</v>
      </c>
      <c r="BA39" s="33" t="s">
        <v>746</v>
      </c>
      <c r="BB39">
        <v>-2850</v>
      </c>
      <c r="BC39">
        <v>6.28</v>
      </c>
      <c r="BD39" s="33">
        <v>4.75</v>
      </c>
      <c r="BE39">
        <v>4346.25</v>
      </c>
      <c r="BF39">
        <v>-24.3</v>
      </c>
    </row>
    <row r="40" spans="1:58">
      <c r="A40" s="49" t="s">
        <v>481</v>
      </c>
      <c r="B40" s="49" t="s">
        <v>506</v>
      </c>
      <c r="C40" s="49">
        <f>IF(OR(B40="NIFTY",B40="BANKNIFTY"),mrigxl_getIndexQuote(VLOOKUP(B40,Lots!$B:$C,2,0)),_xlfn.NUMBERVALUE(mrigxl_getStockQuote(B40)))</f>
        <v>35124.050000000003</v>
      </c>
      <c r="D40" s="49">
        <v>37500</v>
      </c>
      <c r="E40" s="122">
        <v>44707</v>
      </c>
      <c r="F40" s="49" t="str">
        <f t="shared" si="10"/>
        <v>CEBANKNIFTY3750044707</v>
      </c>
      <c r="G40" s="49">
        <f t="shared" si="7"/>
        <v>-1</v>
      </c>
      <c r="H40" t="s">
        <v>640</v>
      </c>
      <c r="I40" s="182">
        <f t="shared" si="9"/>
        <v>-1</v>
      </c>
      <c r="U40" t="s">
        <v>582</v>
      </c>
      <c r="AZ40" t="s">
        <v>713</v>
      </c>
      <c r="BA40" s="33" t="s">
        <v>747</v>
      </c>
      <c r="BB40">
        <v>-4275</v>
      </c>
      <c r="BC40">
        <v>6.18</v>
      </c>
      <c r="BD40" s="33">
        <v>3.05</v>
      </c>
      <c r="BE40">
        <v>13395</v>
      </c>
      <c r="BF40">
        <v>-50.67</v>
      </c>
    </row>
    <row r="41" spans="1:58">
      <c r="A41" s="49" t="s">
        <v>481</v>
      </c>
      <c r="B41" s="49" t="s">
        <v>284</v>
      </c>
      <c r="C41" s="49">
        <f>IF(OR(B41="NIFTY",B41="BANKNIFTY"),mrigxl_getIndexQuote(VLOOKUP(B41,Lots!$B:$C,2,0)),_xlfn.NUMBERVALUE(mrigxl_getStockQuote(B41)))</f>
        <v>428</v>
      </c>
      <c r="D41" s="49">
        <v>440</v>
      </c>
      <c r="E41" s="122">
        <v>44707</v>
      </c>
      <c r="F41" s="49" t="str">
        <f t="shared" si="10"/>
        <v>CETATAMOTORS44044707</v>
      </c>
      <c r="G41" s="49">
        <f t="shared" si="7"/>
        <v>-1</v>
      </c>
      <c r="H41" t="s">
        <v>641</v>
      </c>
      <c r="I41" s="182">
        <f t="shared" ref="I41" si="11">IF(H41="IN",IF(A41="FUT",mrigxl_getIndexFuturesQuote(B41,E41,"lastPrice"),mrigxl_getIndexOptionQuote(B41,E41,D41,A41,$H$1)),IF(A41="FUT",mrigxl_getStockFuturesQuote(B41,E41,"lastPrice"),mrigxl_getStockOptionQuote(B41,E41,D41,A41,$H$1)))</f>
        <v>-1</v>
      </c>
      <c r="U41" t="s">
        <v>582</v>
      </c>
      <c r="AZ41" t="s">
        <v>713</v>
      </c>
      <c r="BA41" s="33" t="s">
        <v>748</v>
      </c>
      <c r="BB41">
        <v>3375</v>
      </c>
      <c r="BC41">
        <v>10.3</v>
      </c>
      <c r="BD41" s="33">
        <v>2.2000000000000002</v>
      </c>
      <c r="BE41">
        <v>-27337.5</v>
      </c>
      <c r="BF41">
        <v>-78.64</v>
      </c>
    </row>
    <row r="42" spans="1:58">
      <c r="A42" s="49" t="s">
        <v>481</v>
      </c>
      <c r="B42" s="49" t="s">
        <v>284</v>
      </c>
      <c r="C42" s="49">
        <f>IF(OR(B42="NIFTY",B42="BANKNIFTY"),mrigxl_getIndexQuote(VLOOKUP(B42,Lots!$B:$C,2,0)),_xlfn.NUMBERVALUE(mrigxl_getStockQuote(B42)))</f>
        <v>428</v>
      </c>
      <c r="D42" s="49">
        <v>430</v>
      </c>
      <c r="E42" s="122">
        <v>44707</v>
      </c>
      <c r="F42" s="49" t="str">
        <f t="shared" ref="F42:F43" si="12">TRIM(A42)&amp;TRIM(B42)&amp;TRIM(D42)&amp;TRIM(E42)</f>
        <v>CETATAMOTORS43044707</v>
      </c>
      <c r="G42" s="49">
        <f t="shared" si="7"/>
        <v>-1</v>
      </c>
      <c r="H42" t="s">
        <v>641</v>
      </c>
      <c r="I42" s="182">
        <f t="shared" ref="I42:I43" si="13">IF(H42="IN",IF(A42="FUT",mrigxl_getIndexFuturesQuote(B42,E42,"lastPrice"),mrigxl_getIndexOptionQuote(B42,E42,D42,A42,$H$1)),IF(A42="FUT",mrigxl_getStockFuturesQuote(B42,E42,"lastPrice"),mrigxl_getStockOptionQuote(B42,E42,D42,A42,$H$1)))</f>
        <v>-1</v>
      </c>
      <c r="U42" t="s">
        <v>582</v>
      </c>
      <c r="AZ42" t="s">
        <v>713</v>
      </c>
      <c r="BA42" s="33" t="s">
        <v>749</v>
      </c>
      <c r="BB42">
        <v>-6750</v>
      </c>
      <c r="BC42">
        <v>2.7</v>
      </c>
      <c r="BD42" s="33">
        <v>3.5</v>
      </c>
      <c r="BE42">
        <v>-5400</v>
      </c>
      <c r="BF42">
        <v>29.63</v>
      </c>
    </row>
    <row r="43" spans="1:58">
      <c r="A43" s="49" t="s">
        <v>632</v>
      </c>
      <c r="B43" s="49" t="s">
        <v>126</v>
      </c>
      <c r="C43" s="49">
        <f>IF(OR(B43="NIFTY",B43="BANKNIFTY"),mrigxl_getIndexQuote(VLOOKUP(B43,Lots!$B:$C,2,0)),_xlfn.NUMBERVALUE(mrigxl_getStockQuote(B43)))</f>
        <v>162.15</v>
      </c>
      <c r="E43" s="122">
        <v>44707</v>
      </c>
      <c r="F43" s="49" t="str">
        <f t="shared" si="12"/>
        <v>FUTIEX44707</v>
      </c>
      <c r="G43" s="49" t="e">
        <f t="shared" si="7"/>
        <v>#VALUE!</v>
      </c>
      <c r="H43" t="s">
        <v>641</v>
      </c>
      <c r="I43" s="182" t="str">
        <f t="shared" si="13"/>
        <v>KeyError: 'lastPrice'
    quote = quote[id]
  File "f:\mrig analytics\development\mriganalytics\interface\pyxcel.py", line 149, in mrigxl_getStockFuturesQuote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43" t="s">
        <v>584</v>
      </c>
      <c r="AZ43" t="s">
        <v>713</v>
      </c>
      <c r="BA43" s="33" t="s">
        <v>750</v>
      </c>
      <c r="BB43">
        <v>-6750</v>
      </c>
      <c r="BC43">
        <v>2.58</v>
      </c>
      <c r="BD43" s="33">
        <v>2.2000000000000002</v>
      </c>
      <c r="BE43">
        <v>2531.25</v>
      </c>
      <c r="BF43">
        <v>-14.56</v>
      </c>
    </row>
    <row r="44" spans="1:58">
      <c r="A44" s="49" t="s">
        <v>632</v>
      </c>
      <c r="B44" s="49" t="s">
        <v>284</v>
      </c>
      <c r="C44" s="49">
        <f>IF(OR(B44="NIFTY",B44="BANKNIFTY"),mrigxl_getIndexQuote(VLOOKUP(B44,Lots!$B:$C,2,0)),_xlfn.NUMBERVALUE(mrigxl_getStockQuote(B44)))</f>
        <v>428</v>
      </c>
      <c r="E44" s="122">
        <v>44707</v>
      </c>
      <c r="F44" s="49" t="str">
        <f t="shared" ref="F44:F47" si="14">TRIM(A44)&amp;TRIM(B44)&amp;TRIM(D44)&amp;TRIM(E44)</f>
        <v>FUTTATAMOTORS44707</v>
      </c>
      <c r="G44" s="49" t="e">
        <f t="shared" si="7"/>
        <v>#VALUE!</v>
      </c>
      <c r="H44" t="s">
        <v>641</v>
      </c>
      <c r="I44" s="182" t="str">
        <f t="shared" ref="I44:I47" si="15">IF(H44="IN",IF(A44="FUT",mrigxl_getIndexFuturesQuote(B44,E44,"lastPrice"),mrigxl_getIndexOptionQuote(B44,E44,D44,A44,$H$1)),IF(A44="FUT",mrigxl_getStockFuturesQuote(B44,E44,"lastPrice"),mrigxl_getStockOptionQuote(B44,E44,D44,A44,$H$1)))</f>
        <v>KeyError: 'lastPrice'
    quote = quote[id]
  File "f:\mrig analytics\development\mriganalytics\interface\pyxcel.py", line 149, in mrigxl_getStockFuturesQuote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44" t="s">
        <v>584</v>
      </c>
      <c r="AZ44" t="s">
        <v>713</v>
      </c>
      <c r="BA44" s="33" t="s">
        <v>751</v>
      </c>
      <c r="BB44">
        <v>3375</v>
      </c>
      <c r="BC44">
        <v>235.4</v>
      </c>
      <c r="BD44" s="33">
        <v>222.15</v>
      </c>
      <c r="BE44">
        <v>-44718.75</v>
      </c>
      <c r="BF44">
        <v>-5.63</v>
      </c>
    </row>
    <row r="45" spans="1:58">
      <c r="A45" s="49" t="s">
        <v>481</v>
      </c>
      <c r="B45" s="49" t="s">
        <v>506</v>
      </c>
      <c r="C45" s="49" t="e">
        <f>IF(OR(B45="NIFTY",B45="BANKNIFTY"),mrigxl_getIndexQuote(VLOOKUP(B45,Lots!$B:$C,2,0)),_xlfn.NUMBERVALUE(mrigxl_getStockQuote(B45)))</f>
        <v>#VALUE!</v>
      </c>
      <c r="D45" s="49">
        <v>39000</v>
      </c>
      <c r="E45" s="122">
        <v>44707</v>
      </c>
      <c r="F45" s="49" t="str">
        <f t="shared" si="14"/>
        <v>CEBANKNIFTY3900044707</v>
      </c>
      <c r="G45" s="49">
        <f t="shared" si="7"/>
        <v>-1</v>
      </c>
      <c r="H45" t="s">
        <v>640</v>
      </c>
      <c r="I45" s="182">
        <f t="shared" si="15"/>
        <v>-1</v>
      </c>
      <c r="U45" t="s">
        <v>582</v>
      </c>
      <c r="AZ45" t="s">
        <v>713</v>
      </c>
      <c r="BA45" s="33" t="s">
        <v>752</v>
      </c>
      <c r="BB45">
        <v>300</v>
      </c>
      <c r="BC45">
        <v>96.55</v>
      </c>
      <c r="BD45" s="33">
        <v>196.4</v>
      </c>
      <c r="BE45">
        <v>29955</v>
      </c>
      <c r="BF45">
        <v>103.42</v>
      </c>
    </row>
    <row r="46" spans="1:58">
      <c r="A46" s="49" t="s">
        <v>481</v>
      </c>
      <c r="B46" s="49" t="s">
        <v>506</v>
      </c>
      <c r="C46" s="49">
        <f>IF(OR(B46="NIFTY",B46="BANKNIFTY"),mrigxl_getIndexQuote(VLOOKUP(B46,Lots!$B:$C,2,0)),_xlfn.NUMBERVALUE(mrigxl_getStockQuote(B46)))</f>
        <v>34651.199999999997</v>
      </c>
      <c r="D46" s="49">
        <v>39500</v>
      </c>
      <c r="E46" s="122">
        <v>44707</v>
      </c>
      <c r="F46" s="49" t="str">
        <f t="shared" si="14"/>
        <v>CEBANKNIFTY3950044707</v>
      </c>
      <c r="G46" s="49">
        <f t="shared" si="7"/>
        <v>-1</v>
      </c>
      <c r="H46" t="s">
        <v>640</v>
      </c>
      <c r="I46" s="182">
        <f t="shared" si="15"/>
        <v>-1</v>
      </c>
      <c r="U46" t="s">
        <v>582</v>
      </c>
      <c r="AZ46" t="s">
        <v>713</v>
      </c>
      <c r="BA46" s="33" t="s">
        <v>753</v>
      </c>
      <c r="BB46">
        <v>-150</v>
      </c>
      <c r="BC46">
        <v>50.15</v>
      </c>
      <c r="BD46" s="33">
        <v>2.95</v>
      </c>
      <c r="BE46">
        <v>7080</v>
      </c>
      <c r="BF46">
        <v>-94.12</v>
      </c>
    </row>
    <row r="47" spans="1:58">
      <c r="A47" s="49" t="s">
        <v>481</v>
      </c>
      <c r="B47" s="49" t="s">
        <v>502</v>
      </c>
      <c r="C47" s="49">
        <f>IF(OR(B47="NIFTY",B47="BANKNIFTY"),mrigxl_getIndexQuote(VLOOKUP(B47,Lots!$B:$C,2,0)),_xlfn.NUMBERVALUE(mrigxl_getStockQuote(B47)))</f>
        <v>16220.6</v>
      </c>
      <c r="D47" s="49">
        <v>17000</v>
      </c>
      <c r="E47" s="122">
        <v>44707</v>
      </c>
      <c r="F47" s="49" t="str">
        <f t="shared" si="14"/>
        <v>CENIFTY1700044707</v>
      </c>
      <c r="G47" s="49">
        <f t="shared" si="7"/>
        <v>-1</v>
      </c>
      <c r="H47" t="s">
        <v>640</v>
      </c>
      <c r="I47" s="182">
        <f t="shared" si="15"/>
        <v>-1</v>
      </c>
      <c r="U47" t="s">
        <v>568</v>
      </c>
      <c r="AZ47" t="s">
        <v>713</v>
      </c>
      <c r="BA47" s="33" t="s">
        <v>754</v>
      </c>
      <c r="BB47">
        <v>-300</v>
      </c>
      <c r="BC47">
        <v>33.03</v>
      </c>
      <c r="BD47" s="33">
        <v>2.1</v>
      </c>
      <c r="BE47">
        <v>9277.5</v>
      </c>
      <c r="BF47">
        <v>-93.64</v>
      </c>
    </row>
    <row r="48" spans="1:58">
      <c r="A48" s="49" t="s">
        <v>481</v>
      </c>
      <c r="B48" s="49" t="s">
        <v>502</v>
      </c>
      <c r="C48" s="49">
        <f>IF(OR(B48="NIFTY",B48="BANKNIFTY"),mrigxl_getIndexQuote(VLOOKUP(B48,Lots!$B:$C,2,0)),_xlfn.NUMBERVALUE(mrigxl_getStockQuote(B48)))</f>
        <v>15938.65</v>
      </c>
      <c r="D48" s="49">
        <v>17500</v>
      </c>
      <c r="E48" s="122">
        <v>44707</v>
      </c>
      <c r="F48" s="49" t="str">
        <f t="shared" ref="F48:F50" si="16">TRIM(A48)&amp;TRIM(B48)&amp;TRIM(D48)&amp;TRIM(E48)</f>
        <v>CENIFTY1750044707</v>
      </c>
      <c r="G48" s="49">
        <f t="shared" si="1"/>
        <v>-1</v>
      </c>
      <c r="H48" t="s">
        <v>640</v>
      </c>
      <c r="I48" s="182">
        <f t="shared" ref="I48:I59" si="17">IF(H48="IN",IF(A48="FUT",mrigxl_getIndexFuturesQuote(B48,E48,"lastPrice"),mrigxl_getIndexOptionQuote(B48,E48,D48,A48,$H$1)),IF(A48="FUT",mrigxl_getStockFuturesQuote(B48,E48,"lastPrice"),mrigxl_getStockOptionQuote(B48,E48,D48,A48,$H$1)))</f>
        <v>-1</v>
      </c>
      <c r="U48" t="s">
        <v>568</v>
      </c>
      <c r="AZ48" t="s">
        <v>713</v>
      </c>
      <c r="BA48" s="33" t="s">
        <v>755</v>
      </c>
      <c r="BB48">
        <v>300</v>
      </c>
      <c r="BC48">
        <v>3338.63</v>
      </c>
      <c r="BD48" s="33">
        <v>3010.55</v>
      </c>
      <c r="BE48">
        <v>-98422.5</v>
      </c>
      <c r="BF48">
        <v>-9.83</v>
      </c>
    </row>
    <row r="49" spans="1:58">
      <c r="A49" s="49" t="s">
        <v>481</v>
      </c>
      <c r="B49" s="49" t="s">
        <v>502</v>
      </c>
      <c r="C49" s="49">
        <f>IF(OR(B49="NIFTY",B49="BANKNIFTY"),mrigxl_getIndexQuote(VLOOKUP(B49,Lots!$B:$C,2,0)),_xlfn.NUMBERVALUE(mrigxl_getStockQuote(B49)))</f>
        <v>15938.65</v>
      </c>
      <c r="D49" s="49">
        <v>17400</v>
      </c>
      <c r="E49" s="122">
        <v>44707</v>
      </c>
      <c r="F49" s="49" t="str">
        <f t="shared" si="16"/>
        <v>CENIFTY1740044707</v>
      </c>
      <c r="G49" s="49">
        <f t="shared" si="1"/>
        <v>-1</v>
      </c>
      <c r="H49" t="s">
        <v>640</v>
      </c>
      <c r="I49" s="182">
        <f t="shared" si="17"/>
        <v>-1</v>
      </c>
      <c r="U49" t="s">
        <v>568</v>
      </c>
      <c r="AZ49" t="s">
        <v>763</v>
      </c>
      <c r="BA49" s="33" t="s">
        <v>425</v>
      </c>
      <c r="BB49">
        <v>1</v>
      </c>
      <c r="BC49">
        <v>3753.75</v>
      </c>
      <c r="BD49" s="33">
        <v>3774.15</v>
      </c>
      <c r="BE49">
        <v>20.399999999999999</v>
      </c>
      <c r="BF49">
        <v>0.54</v>
      </c>
    </row>
    <row r="50" spans="1:58">
      <c r="A50" s="49" t="s">
        <v>481</v>
      </c>
      <c r="B50" s="49" t="s">
        <v>502</v>
      </c>
      <c r="C50" s="49">
        <f>IF(OR(B50="NIFTY",B50="BANKNIFTY"),mrigxl_getIndexQuote(VLOOKUP(B50,Lots!$B:$C,2,0)),_xlfn.NUMBERVALUE(mrigxl_getStockQuote(B50)))</f>
        <v>15938.65</v>
      </c>
      <c r="D50" s="49">
        <v>17300</v>
      </c>
      <c r="E50" s="122">
        <v>44707</v>
      </c>
      <c r="F50" s="49" t="str">
        <f t="shared" si="16"/>
        <v>CENIFTY1730044707</v>
      </c>
      <c r="G50" s="49">
        <f t="shared" si="1"/>
        <v>-1</v>
      </c>
      <c r="H50" t="s">
        <v>640</v>
      </c>
      <c r="I50" s="182">
        <f t="shared" si="17"/>
        <v>-1</v>
      </c>
      <c r="U50" t="s">
        <v>568</v>
      </c>
      <c r="AZ50" t="s">
        <v>763</v>
      </c>
      <c r="BA50" s="33" t="s">
        <v>101</v>
      </c>
      <c r="BB50">
        <v>10</v>
      </c>
      <c r="BC50">
        <v>192.4</v>
      </c>
      <c r="BD50" s="33">
        <v>192</v>
      </c>
      <c r="BE50">
        <v>-4</v>
      </c>
      <c r="BF50">
        <v>-0.21</v>
      </c>
    </row>
    <row r="51" spans="1:58">
      <c r="A51" s="49" t="s">
        <v>481</v>
      </c>
      <c r="B51" s="49" t="s">
        <v>126</v>
      </c>
      <c r="C51" s="49">
        <f>IF(OR(B51="NIFTY",B51="BANKNIFTY"),mrigxl_getIndexQuote(VLOOKUP(B51,Lots!$B:$C,2,0)),_xlfn.NUMBERVALUE(mrigxl_getStockQuote(B51)))</f>
        <v>162.15</v>
      </c>
      <c r="D51" s="49">
        <v>260</v>
      </c>
      <c r="E51" s="122">
        <v>44707</v>
      </c>
      <c r="F51" s="49" t="str">
        <f>TRIM(A51)&amp;TRIM(B51)&amp;TRIM(D51)&amp;TRIM(E51)</f>
        <v>CEIEX26044707</v>
      </c>
      <c r="G51" s="49">
        <f t="shared" ref="G51:G65" si="18">IF(H51="IN",VALUE(IF(A51="FUT",mrigxl_getIndexFuturesQuote(B51,E51,"lastPrice"),mrigxl_getIndexOptionQuote(B51,E51,D51,A51,$H$1))),VALUE(IF(A51="FUT",mrigxl_getStockFuturesQuote(B51,E51,"lastPrice"),mrigxl_getStockOptionQuote(B51,E51,D51,A51,$H$1))))</f>
        <v>-1</v>
      </c>
      <c r="H51" t="s">
        <v>641</v>
      </c>
      <c r="I51" s="182">
        <f t="shared" si="17"/>
        <v>-1</v>
      </c>
      <c r="U51" t="s">
        <v>586</v>
      </c>
      <c r="AZ51" t="s">
        <v>763</v>
      </c>
      <c r="BA51" s="33" t="s">
        <v>7</v>
      </c>
      <c r="BB51">
        <v>-4</v>
      </c>
      <c r="BC51">
        <v>1085.8</v>
      </c>
      <c r="BD51" s="33">
        <v>1089.8499999999999</v>
      </c>
      <c r="BE51">
        <v>-16.2</v>
      </c>
      <c r="BF51">
        <v>0.37</v>
      </c>
    </row>
    <row r="52" spans="1:58">
      <c r="A52" s="49" t="s">
        <v>481</v>
      </c>
      <c r="B52" s="49" t="s">
        <v>506</v>
      </c>
      <c r="C52" s="49">
        <f>IF(OR(B52="NIFTY",B52="BANKNIFTY"),mrigxl_getIndexQuote(VLOOKUP(B52,Lots!$B:$C,2,0)),_xlfn.NUMBERVALUE(mrigxl_getStockQuote(B52)))</f>
        <v>34651.199999999997</v>
      </c>
      <c r="D52" s="49">
        <v>40000</v>
      </c>
      <c r="E52" s="122">
        <v>44707</v>
      </c>
      <c r="F52" s="49" t="str">
        <f>TRIM(A52)&amp;TRIM(B52)&amp;TRIM(D52)&amp;TRIM(E52)</f>
        <v>CEBANKNIFTY4000044707</v>
      </c>
      <c r="G52" s="49">
        <f t="shared" si="18"/>
        <v>-1</v>
      </c>
      <c r="H52" t="s">
        <v>640</v>
      </c>
      <c r="I52" s="182">
        <f t="shared" si="17"/>
        <v>-1</v>
      </c>
      <c r="U52" t="s">
        <v>582</v>
      </c>
      <c r="AZ52" t="s">
        <v>763</v>
      </c>
      <c r="BA52" s="33" t="s">
        <v>366</v>
      </c>
      <c r="BB52">
        <v>2</v>
      </c>
      <c r="BC52">
        <v>548</v>
      </c>
      <c r="BD52" s="33">
        <v>549.25</v>
      </c>
      <c r="BE52">
        <v>2.5</v>
      </c>
      <c r="BF52">
        <v>0.23</v>
      </c>
    </row>
    <row r="53" spans="1:58">
      <c r="A53" s="49" t="s">
        <v>481</v>
      </c>
      <c r="B53" s="49" t="s">
        <v>506</v>
      </c>
      <c r="C53" s="49">
        <f>IF(OR(B53="NIFTY",B53="BANKNIFTY"),mrigxl_getIndexQuote(VLOOKUP(B53,Lots!$B:$C,2,0)),_xlfn.NUMBERVALUE(mrigxl_getStockQuote(B53)))</f>
        <v>34651.199999999997</v>
      </c>
      <c r="D53" s="49">
        <v>38000</v>
      </c>
      <c r="E53" s="122">
        <v>44707</v>
      </c>
      <c r="F53" s="49" t="str">
        <f t="shared" ref="F53:F55" si="19">TRIM(A53)&amp;TRIM(B53)&amp;TRIM(D53)&amp;TRIM(E53)</f>
        <v>CEBANKNIFTY3800044707</v>
      </c>
      <c r="G53" s="49">
        <f t="shared" si="18"/>
        <v>-1</v>
      </c>
      <c r="H53" t="s">
        <v>640</v>
      </c>
      <c r="I53" s="182">
        <f t="shared" si="17"/>
        <v>-1</v>
      </c>
      <c r="U53" t="s">
        <v>582</v>
      </c>
      <c r="AZ53" t="s">
        <v>763</v>
      </c>
      <c r="BA53" s="33" t="s">
        <v>104</v>
      </c>
      <c r="BB53">
        <v>1</v>
      </c>
      <c r="BC53">
        <v>2483.25</v>
      </c>
      <c r="BD53" s="33">
        <v>2497.8000000000002</v>
      </c>
      <c r="BE53">
        <v>14.55</v>
      </c>
      <c r="BF53">
        <v>0.59</v>
      </c>
    </row>
    <row r="54" spans="1:58">
      <c r="A54" s="49" t="s">
        <v>481</v>
      </c>
      <c r="B54" s="49" t="s">
        <v>126</v>
      </c>
      <c r="C54" s="49">
        <f>IF(OR(B54="NIFTY",B54="BANKNIFTY"),mrigxl_getIndexQuote(VLOOKUP(B54,Lots!$B:$C,2,0)),_xlfn.NUMBERVALUE(mrigxl_getStockQuote(B54)))</f>
        <v>163.85</v>
      </c>
      <c r="D54" s="49">
        <v>240</v>
      </c>
      <c r="E54" s="122">
        <v>44707</v>
      </c>
      <c r="F54" s="49" t="str">
        <f>TRIM(A54)&amp;TRIM(B54)&amp;TRIM(D54)&amp;TRIM(E54)</f>
        <v>CEIEX24044707</v>
      </c>
      <c r="G54" s="49">
        <f>IF(H54="IN",VALUE(IF(A54="FUT",mrigxl_getIndexFuturesQuote(B54,E54,"lastPrice"),mrigxl_getIndexOptionQuote(B54,E54,D54,A54,$H$1))),VALUE(IF(A54="FUT",mrigxl_getStockFuturesQuote(B54,E54,"lastPrice"),mrigxl_getStockOptionQuote(B54,E54,D54,A54,$H$1))))</f>
        <v>-1</v>
      </c>
      <c r="H54" t="s">
        <v>641</v>
      </c>
      <c r="I54" s="182">
        <f t="shared" si="17"/>
        <v>-1</v>
      </c>
      <c r="U54" t="s">
        <v>587</v>
      </c>
      <c r="AZ54" t="s">
        <v>763</v>
      </c>
      <c r="BA54" s="33" t="s">
        <v>396</v>
      </c>
      <c r="BB54">
        <v>5</v>
      </c>
      <c r="BC54">
        <v>292.95</v>
      </c>
      <c r="BD54" s="33">
        <v>290.85000000000002</v>
      </c>
      <c r="BE54">
        <v>-10.5</v>
      </c>
      <c r="BF54">
        <v>-0.72</v>
      </c>
    </row>
    <row r="55" spans="1:58">
      <c r="A55" s="49" t="s">
        <v>481</v>
      </c>
      <c r="B55" s="49" t="s">
        <v>90</v>
      </c>
      <c r="C55" s="49">
        <f>IF(OR(B55="NIFTY",B55="BANKNIFTY"),mrigxl_getIndexQuote(VLOOKUP(B55,Lots!$B:$C,2,0)),_xlfn.NUMBERVALUE(mrigxl_getStockQuote(B55)))</f>
        <v>3266</v>
      </c>
      <c r="D55" s="49">
        <v>4040</v>
      </c>
      <c r="E55" s="122">
        <v>44679</v>
      </c>
      <c r="F55" s="49" t="str">
        <f t="shared" si="19"/>
        <v>CETCS404044679</v>
      </c>
      <c r="G55" s="49">
        <f t="shared" si="18"/>
        <v>-1</v>
      </c>
      <c r="H55" t="s">
        <v>641</v>
      </c>
      <c r="I55" s="182">
        <f t="shared" si="17"/>
        <v>-1</v>
      </c>
      <c r="U55" t="s">
        <v>582</v>
      </c>
      <c r="AZ55" t="s">
        <v>763</v>
      </c>
      <c r="BA55" s="33" t="s">
        <v>764</v>
      </c>
      <c r="BB55">
        <v>5</v>
      </c>
      <c r="BC55">
        <v>166.9</v>
      </c>
      <c r="BD55" s="33">
        <v>165.1</v>
      </c>
      <c r="BE55">
        <v>-9</v>
      </c>
      <c r="BF55">
        <v>-1.08</v>
      </c>
    </row>
    <row r="56" spans="1:58">
      <c r="A56" s="49" t="s">
        <v>632</v>
      </c>
      <c r="B56" s="49" t="s">
        <v>90</v>
      </c>
      <c r="C56" s="49">
        <f>IF(OR(B56="NIFTY",B56="BANKNIFTY"),mrigxl_getIndexQuote(VLOOKUP(B56,Lots!$B:$C,2,0)),_xlfn.NUMBERVALUE(mrigxl_getStockQuote(B56)))</f>
        <v>3266</v>
      </c>
      <c r="E56" s="122">
        <v>44707</v>
      </c>
      <c r="F56" s="49" t="str">
        <f>TRIM(A56)&amp;TRIM(B56)&amp;TRIM(D56)&amp;TRIM(E56)</f>
        <v>FUTTCS44707</v>
      </c>
      <c r="G56" s="49" t="e">
        <f>IF(H56="IN",VALUE(IF(A56="FUT",mrigxl_getIndexFuturesQuote(B56,E56,"lastPrice"),mrigxl_getIndexOptionQuote(B56,E56,D56,A56,$H$1))),VALUE(IF(A56="FUT",mrigxl_getStockFuturesQuote(B56,E56,"lastPrice"),mrigxl_getStockOptionQuote(B56,E56,D56,A56,$H$1))))</f>
        <v>#VALUE!</v>
      </c>
      <c r="H56" t="s">
        <v>641</v>
      </c>
      <c r="I56" s="182" t="str">
        <f t="shared" si="17"/>
        <v>KeyError: 'lastPrice'
    quote = quote[id]
  File "f:\mrig analytics\development\mriganalytics\interface\pyxcel.py", line 149, in mrigxl_getStockFuturesQuote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56" t="s">
        <v>584</v>
      </c>
      <c r="AZ56" t="s">
        <v>763</v>
      </c>
      <c r="BA56" s="33" t="s">
        <v>410</v>
      </c>
      <c r="BB56">
        <v>20</v>
      </c>
      <c r="BC56">
        <v>102.9</v>
      </c>
      <c r="BD56" s="33">
        <v>101.65</v>
      </c>
      <c r="BE56">
        <v>-25</v>
      </c>
      <c r="BF56">
        <v>-1.21</v>
      </c>
    </row>
    <row r="57" spans="1:58">
      <c r="A57" s="49" t="s">
        <v>482</v>
      </c>
      <c r="B57" s="49" t="s">
        <v>284</v>
      </c>
      <c r="C57" s="49">
        <f>IF(OR(B57="NIFTY",B57="BANKNIFTY"),mrigxl_getIndexQuote(VLOOKUP(B57,Lots!$B:$C,2,0)),_xlfn.NUMBERVALUE(mrigxl_getStockQuote(B57)))</f>
        <v>440.5</v>
      </c>
      <c r="D57" s="49">
        <v>400</v>
      </c>
      <c r="E57" s="122">
        <v>44707</v>
      </c>
      <c r="F57" s="49" t="str">
        <f>TRIM(A57)&amp;TRIM(B57)&amp;TRIM(D57)&amp;TRIM(E57)</f>
        <v>PETATAMOTORS40044707</v>
      </c>
      <c r="G57" s="49">
        <f t="shared" si="18"/>
        <v>-1</v>
      </c>
      <c r="H57" t="s">
        <v>641</v>
      </c>
      <c r="I57" s="182">
        <f t="shared" si="17"/>
        <v>-1</v>
      </c>
      <c r="U57" t="s">
        <v>582</v>
      </c>
      <c r="AZ57" t="s">
        <v>763</v>
      </c>
      <c r="BA57" s="33" t="s">
        <v>433</v>
      </c>
      <c r="BB57">
        <v>10</v>
      </c>
      <c r="BC57">
        <v>121.05</v>
      </c>
      <c r="BD57" s="33">
        <v>121.3</v>
      </c>
      <c r="BE57">
        <v>2.5</v>
      </c>
      <c r="BF57">
        <v>0.21</v>
      </c>
    </row>
    <row r="58" spans="1:58">
      <c r="A58" s="49" t="s">
        <v>632</v>
      </c>
      <c r="B58" s="49" t="s">
        <v>284</v>
      </c>
      <c r="C58" s="49">
        <f>IF(OR(B58="NIFTY",B58="BANKNIFTY"),mrigxl_getIndexQuote(VLOOKUP(B58,Lots!$B:$C,2,0)),_xlfn.NUMBERVALUE(mrigxl_getStockQuote(B58)))</f>
        <v>428</v>
      </c>
      <c r="E58" s="122">
        <v>44707</v>
      </c>
      <c r="F58" s="49" t="str">
        <f t="shared" ref="F58" si="20">TRIM(A58)&amp;TRIM(B58)&amp;TRIM(D58)&amp;TRIM(E58)</f>
        <v>FUTTATAMOTORS44707</v>
      </c>
      <c r="G58" s="49" t="e">
        <f t="shared" si="18"/>
        <v>#VALUE!</v>
      </c>
      <c r="H58" t="s">
        <v>641</v>
      </c>
      <c r="I58" s="182" t="str">
        <f t="shared" si="17"/>
        <v>KeyError: 'lastPrice'
    quote = quote[id]
  File "f:\mrig analytics\development\mriganalytics\interface\pyxcel.py", line 149, in mrigxl_getStockFuturesQuote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58" t="s">
        <v>584</v>
      </c>
      <c r="AZ58" t="s">
        <v>763</v>
      </c>
      <c r="BA58" s="33" t="s">
        <v>765</v>
      </c>
      <c r="BB58">
        <v>1</v>
      </c>
      <c r="BC58">
        <v>850.1</v>
      </c>
      <c r="BD58" s="33">
        <v>834.8</v>
      </c>
      <c r="BE58">
        <v>-15.3</v>
      </c>
      <c r="BF58">
        <v>-1.8</v>
      </c>
    </row>
    <row r="59" spans="1:58">
      <c r="A59" s="49" t="s">
        <v>482</v>
      </c>
      <c r="B59" s="49" t="s">
        <v>130</v>
      </c>
      <c r="C59" s="49">
        <f>IF(OR(B59="NIFTY",B59="BANKNIFTY"),mrigxl_getIndexQuote(VLOOKUP(B59,Lots!$B:$C,2,0)),_xlfn.NUMBERVALUE(mrigxl_getStockQuote(B59)))</f>
        <v>221.6</v>
      </c>
      <c r="D59" s="49">
        <v>230</v>
      </c>
      <c r="E59" s="122">
        <v>44707</v>
      </c>
      <c r="F59" s="49" t="str">
        <f>TRIM(A59)&amp;TRIM(B59)&amp;TRIM(D59)&amp;TRIM(E59)</f>
        <v>PETATAPOWER23044707</v>
      </c>
      <c r="G59" s="49">
        <f t="shared" si="18"/>
        <v>-1</v>
      </c>
      <c r="H59" t="s">
        <v>641</v>
      </c>
      <c r="I59" s="182">
        <f t="shared" si="17"/>
        <v>-1</v>
      </c>
      <c r="U59" t="s">
        <v>584</v>
      </c>
    </row>
    <row r="60" spans="1:58">
      <c r="A60" s="49" t="s">
        <v>632</v>
      </c>
      <c r="B60" s="49" t="s">
        <v>399</v>
      </c>
      <c r="C60" s="49">
        <f>IF(OR(B60="NIFTY",B60="BANKNIFTY"),mrigxl_getIndexQuote(VLOOKUP(B60,Lots!$B:$C,2,0)),_xlfn.NUMBERVALUE(mrigxl_getStockQuote(B60)))</f>
        <v>1646</v>
      </c>
      <c r="E60" s="122">
        <v>44707</v>
      </c>
      <c r="F60" s="49" t="str">
        <f t="shared" ref="F60:F61" si="21">TRIM(A60)&amp;TRIM(B60)&amp;TRIM(D60)&amp;TRIM(E60)</f>
        <v>FUTLT44707</v>
      </c>
      <c r="G60" s="49" t="e">
        <f t="shared" si="18"/>
        <v>#VALUE!</v>
      </c>
      <c r="H60" t="s">
        <v>641</v>
      </c>
      <c r="I60" s="182" t="str">
        <f t="shared" ref="I60:I64" si="22">IF(H60="IN",IF(A60="FUT",mrigxl_getIndexFuturesQuote(B60,E60,"lastPrice"),mrigxl_getIndexOptionQuote(B60,E60,D60,A60,$H$1)),IF(A60="FUT",mrigxl_getStockFuturesQuote(B60,E60,"lastPrice"),mrigxl_getStockOptionQuote(B60,E60,D60,A60,$H$1)))</f>
        <v>KeyError: 'lastPrice'
    quote = quote[id]
  File "f:\mrig analytics\development\mriganalytics\interface\pyxcel.py", line 149, in mrigxl_getStockFuturesQuote
    ret = func(*args)
  File "F:\Programs\lib\site-packages\xlwings\udfs.py", line 519, in call_udf
    res = call_udf(script, fname, args, this_workbook, FromVariant(caller))
  File "F:\Programs\lib\site-packages\xlwings\server.py", line 198, in CallUDF
    return func(*args)
  File "F:\Programs\lib\site-packages\win32com\server\policy.py", line 586, in _invokeex_
    return S_OK, -1, self._invokeex_(dispid, lcid, wFlags, args, None, None)
  File "F:\Programs\lib\site-packages\win32com\server\policy.py", line 283, in _invoke_
    return self._invoke_(dispid, lcid, wFlags, args)
  File "F:\Programs\lib\site-packages\win32com\server\policy.py", line 278, in _Invoke_</v>
      </c>
      <c r="U60" t="s">
        <v>584</v>
      </c>
    </row>
    <row r="61" spans="1:58">
      <c r="A61" s="49" t="s">
        <v>481</v>
      </c>
      <c r="B61" s="49" t="s">
        <v>399</v>
      </c>
      <c r="C61" s="49">
        <f>IF(OR(B61="NIFTY",B61="BANKNIFTY"),mrigxl_getIndexQuote(VLOOKUP(B61,Lots!$B:$C,2,0)),_xlfn.NUMBERVALUE(mrigxl_getStockQuote(B61)))</f>
        <v>1646</v>
      </c>
      <c r="D61" s="49">
        <v>1800</v>
      </c>
      <c r="E61" s="122">
        <v>44707</v>
      </c>
      <c r="F61" s="49" t="str">
        <f t="shared" si="21"/>
        <v>CELT180044707</v>
      </c>
      <c r="G61" s="49">
        <f t="shared" si="18"/>
        <v>-1</v>
      </c>
      <c r="H61" t="s">
        <v>641</v>
      </c>
      <c r="I61" s="182">
        <f t="shared" si="22"/>
        <v>-1</v>
      </c>
      <c r="U61" t="s">
        <v>582</v>
      </c>
    </row>
    <row r="62" spans="1:58">
      <c r="A62" s="49" t="s">
        <v>481</v>
      </c>
      <c r="B62" s="49" t="s">
        <v>130</v>
      </c>
      <c r="C62" s="49">
        <f>IF(OR(B62="NIFTY",B62="BANKNIFTY"),mrigxl_getIndexQuote(VLOOKUP(B62,Lots!$B:$C,2,0)),_xlfn.NUMBERVALUE(mrigxl_getStockQuote(B62)))</f>
        <v>219.55</v>
      </c>
      <c r="D62" s="49">
        <v>310</v>
      </c>
      <c r="E62" s="122">
        <v>44707</v>
      </c>
      <c r="F62" s="49" t="str">
        <f>TRIM(A62)&amp;TRIM(B62)&amp;TRIM(D62)&amp;TRIM(E62)</f>
        <v>CETATAPOWER31044707</v>
      </c>
      <c r="G62" s="49">
        <f t="shared" si="18"/>
        <v>-1</v>
      </c>
      <c r="H62" t="s">
        <v>641</v>
      </c>
      <c r="I62" s="182">
        <f t="shared" si="22"/>
        <v>-1</v>
      </c>
      <c r="U62" t="s">
        <v>584</v>
      </c>
    </row>
    <row r="63" spans="1:58">
      <c r="A63" s="49" t="s">
        <v>481</v>
      </c>
      <c r="B63" s="49" t="s">
        <v>130</v>
      </c>
      <c r="C63" s="49">
        <f>IF(OR(B63="NIFTY",B63="BANKNIFTY"),mrigxl_getIndexQuote(VLOOKUP(B63,Lots!$B:$C,2,0)),_xlfn.NUMBERVALUE(mrigxl_getStockQuote(B63)))</f>
        <v>221.6</v>
      </c>
      <c r="D63" s="49">
        <v>315</v>
      </c>
      <c r="E63" s="122">
        <v>44707</v>
      </c>
      <c r="F63" s="49" t="str">
        <f>TRIM(A63)&amp;TRIM(B63)&amp;TRIM(D63)&amp;TRIM(E63)</f>
        <v>CETATAPOWER31544707</v>
      </c>
      <c r="G63" s="49">
        <f t="shared" si="18"/>
        <v>-1</v>
      </c>
      <c r="H63" t="s">
        <v>641</v>
      </c>
      <c r="I63" s="182">
        <f t="shared" si="22"/>
        <v>-1</v>
      </c>
      <c r="U63" t="s">
        <v>584</v>
      </c>
    </row>
    <row r="64" spans="1:58">
      <c r="A64" s="49" t="s">
        <v>481</v>
      </c>
      <c r="B64" s="49" t="s">
        <v>130</v>
      </c>
      <c r="C64" s="49">
        <f>IF(OR(B64="NIFTY",B64="BANKNIFTY"),mrigxl_getIndexQuote(VLOOKUP(B64,Lots!$B:$C,2,0)),_xlfn.NUMBERVALUE(mrigxl_getStockQuote(B64)))</f>
        <v>221.6</v>
      </c>
      <c r="D64" s="49">
        <v>320</v>
      </c>
      <c r="E64" s="122">
        <v>44707</v>
      </c>
      <c r="F64" s="49" t="str">
        <f>TRIM(A64)&amp;TRIM(B64)&amp;TRIM(D64)&amp;TRIM(E64)</f>
        <v>CETATAPOWER32044707</v>
      </c>
      <c r="G64" s="49">
        <f t="shared" si="18"/>
        <v>-1</v>
      </c>
      <c r="H64" t="s">
        <v>641</v>
      </c>
      <c r="I64" s="182">
        <f t="shared" si="22"/>
        <v>-1</v>
      </c>
      <c r="U64" t="s">
        <v>584</v>
      </c>
    </row>
    <row r="65" spans="1:21">
      <c r="A65" s="49" t="s">
        <v>481</v>
      </c>
      <c r="B65" s="49" t="s">
        <v>130</v>
      </c>
      <c r="C65" s="49">
        <f>IF(OR(B65="NIFTY",B65="BANKNIFTY"),mrigxl_getIndexQuote(VLOOKUP(B65,Lots!$B:$C,2,0)),_xlfn.NUMBERVALUE(mrigxl_getStockQuote(B65)))</f>
        <v>221.6</v>
      </c>
      <c r="D65" s="49">
        <v>295</v>
      </c>
      <c r="E65" s="122">
        <v>44707</v>
      </c>
      <c r="F65" s="49" t="str">
        <f>TRIM(A65)&amp;TRIM(B65)&amp;TRIM(D65)&amp;TRIM(E65)</f>
        <v>CETATAPOWER29544707</v>
      </c>
      <c r="G65" s="49">
        <f t="shared" si="18"/>
        <v>-1</v>
      </c>
      <c r="H65" t="s">
        <v>641</v>
      </c>
      <c r="I65" s="182">
        <f t="shared" ref="I65" si="23">IF(H65="IN",IF(A65="FUT",mrigxl_getIndexFuturesQuote(B65,E65,"lastPrice"),mrigxl_getIndexOptionQuote(B65,E65,D65,A65,$H$1)),IF(A65="FUT",mrigxl_getStockFuturesQuote(B65,E65,"lastPrice"),mrigxl_getStockOptionQuote(B65,E65,D65,A65,$H$1)))</f>
        <v>-1</v>
      </c>
      <c r="U65" t="s">
        <v>584</v>
      </c>
    </row>
    <row r="66" spans="1:21">
      <c r="A66" s="49" t="s">
        <v>482</v>
      </c>
      <c r="B66" s="49" t="s">
        <v>284</v>
      </c>
      <c r="C66" s="49">
        <f>IF(OR(B66="NIFTY",B66="BANKNIFTY"),mrigxl_getIndexQuote(VLOOKUP(B66,Lots!$B:$C,2,0)),_xlfn.NUMBERVALUE(mrigxl_getStockQuote(B66)))</f>
        <v>428</v>
      </c>
      <c r="D66" s="49">
        <v>410</v>
      </c>
      <c r="E66" s="122">
        <v>44707</v>
      </c>
      <c r="F66" s="49" t="str">
        <f>TRIM(A66)&amp;TRIM(B66)&amp;TRIM(D66)&amp;TRIM(E66)</f>
        <v>PETATAMOTORS41044707</v>
      </c>
      <c r="G66" s="49">
        <f t="shared" ref="G66" si="24">IF(H66="IN",VALUE(IF(A66="FUT",mrigxl_getIndexFuturesQuote(B66,E66,"lastPrice"),mrigxl_getIndexOptionQuote(B66,E66,D66,A66,$H$1))),VALUE(IF(A66="FUT",mrigxl_getStockFuturesQuote(B66,E66,"lastPrice"),mrigxl_getStockOptionQuote(B66,E66,D66,A66,$H$1))))</f>
        <v>-1</v>
      </c>
    </row>
    <row r="67" spans="1:21">
      <c r="A67" s="49" t="s">
        <v>481</v>
      </c>
      <c r="B67" s="49" t="s">
        <v>284</v>
      </c>
      <c r="C67" s="49">
        <f>IF(OR(B67="NIFTY",B67="BANKNIFTY"),mrigxl_getIndexQuote(VLOOKUP(B67,Lots!$B:$C,2,0)),_xlfn.NUMBERVALUE(mrigxl_getStockQuote(B67)))</f>
        <v>428</v>
      </c>
      <c r="D67" s="49">
        <v>460</v>
      </c>
      <c r="E67" s="122">
        <v>44707</v>
      </c>
      <c r="F67" s="49" t="str">
        <f t="shared" ref="F67:F70" si="25">TRIM(A67)&amp;TRIM(B67)&amp;TRIM(D67)&amp;TRIM(E67)</f>
        <v>CETATAMOTORS46044707</v>
      </c>
      <c r="G67" s="49">
        <f t="shared" ref="G67:G69" si="26">IF(H67="IN",VALUE(IF(A67="FUT",mrigxl_getIndexFuturesQuote(B67,E67,"lastPrice"),mrigxl_getIndexOptionQuote(B67,E67,D67,A67,$H$1))),VALUE(IF(A67="FUT",mrigxl_getStockFuturesQuote(B67,E67,"lastPrice"),mrigxl_getStockOptionQuote(B67,E67,D67,A67,$H$1))))</f>
        <v>-1</v>
      </c>
    </row>
    <row r="68" spans="1:21">
      <c r="A68" s="49" t="s">
        <v>481</v>
      </c>
      <c r="B68" s="49" t="s">
        <v>284</v>
      </c>
      <c r="C68" s="49">
        <f>IF(OR(B68="NIFTY",B68="BANKNIFTY"),mrigxl_getIndexQuote(VLOOKUP(B68,Lots!$B:$C,2,0)),_xlfn.NUMBERVALUE(mrigxl_getStockQuote(B68)))</f>
        <v>428</v>
      </c>
      <c r="D68" s="49">
        <v>470</v>
      </c>
      <c r="E68" s="122">
        <v>44707</v>
      </c>
      <c r="F68" s="49" t="str">
        <f t="shared" si="25"/>
        <v>CETATAMOTORS47044707</v>
      </c>
      <c r="G68" s="49">
        <f t="shared" si="26"/>
        <v>-1</v>
      </c>
    </row>
    <row r="69" spans="1:21">
      <c r="A69" s="49" t="s">
        <v>482</v>
      </c>
      <c r="B69" s="49" t="s">
        <v>126</v>
      </c>
      <c r="C69" s="49">
        <f>IF(OR(B69="NIFTY",B69="BANKNIFTY"),mrigxl_getIndexQuote(VLOOKUP(B69,Lots!$B:$C,2,0)),_xlfn.NUMBERVALUE(mrigxl_getStockQuote(B69)))</f>
        <v>162.15</v>
      </c>
      <c r="D69" s="49">
        <v>220</v>
      </c>
      <c r="E69" s="122">
        <v>44707</v>
      </c>
      <c r="F69" s="49" t="str">
        <f t="shared" si="25"/>
        <v>PEIEX22044707</v>
      </c>
      <c r="G69" s="49">
        <f t="shared" si="26"/>
        <v>-1</v>
      </c>
    </row>
    <row r="70" spans="1:21">
      <c r="A70" s="49" t="s">
        <v>481</v>
      </c>
      <c r="B70" s="49" t="s">
        <v>284</v>
      </c>
      <c r="C70" s="49">
        <f>IF(OR(B70="NIFTY",B70="BANKNIFTY"),mrigxl_getIndexQuote(VLOOKUP(B70,Lots!$B:$C,2,0)),_xlfn.NUMBERVALUE(mrigxl_getStockQuote(B70)))</f>
        <v>428</v>
      </c>
      <c r="D70" s="49">
        <v>500</v>
      </c>
      <c r="E70" s="122">
        <v>44707</v>
      </c>
      <c r="F70" s="49" t="str">
        <f t="shared" si="25"/>
        <v>CETATAMOTORS50044707</v>
      </c>
      <c r="G70" s="49">
        <f>IF(H70="IN",VALUE(IF(A70="FUT",mrigxl_getIndexFuturesQuote(B70,E70,"lastPrice"),mrigxl_getIndexOptionQuote(B70,E70,D70,A70,$H$1))),VALUE(IF(A70="FUT",mrigxl_getStockFuturesQuote(B70,E70,"lastPrice"),mrigxl_getStockOptionQuote(B70,E70,D70,A70,$H$1))))</f>
        <v>-1</v>
      </c>
    </row>
    <row r="71" spans="1:21">
      <c r="A71" s="49" t="s">
        <v>482</v>
      </c>
      <c r="B71" s="49" t="s">
        <v>506</v>
      </c>
      <c r="C71" s="49">
        <f>IF(OR(B71="NIFTY",B71="BANKNIFTY"),mrigxl_getIndexQuote(VLOOKUP(B71,Lots!$B:$C,2,0)),_xlfn.NUMBERVALUE(mrigxl_getStockQuote(B71)))</f>
        <v>34651.199999999997</v>
      </c>
      <c r="D71" s="49">
        <v>35000</v>
      </c>
      <c r="E71" s="122">
        <v>44707</v>
      </c>
      <c r="F71" s="49" t="str">
        <f t="shared" ref="F71" si="27">TRIM(A71)&amp;TRIM(B71)&amp;TRIM(D71)&amp;TRIM(E71)</f>
        <v>PEBANKNIFTY3500044707</v>
      </c>
      <c r="G71" s="49">
        <f t="shared" ref="G71:G73" si="28">IF(H71="IN",VALUE(IF(A71="FUT",mrigxl_getIndexFuturesQuote(B71,E71,"lastPrice"),mrigxl_getIndexOptionQuote(B71,E71,D71,A71,$H$1))),VALUE(IF(A71="FUT",mrigxl_getStockFuturesQuote(B71,E71,"lastPrice"),mrigxl_getStockOptionQuote(B71,E71,D71,A71,$H$1))))</f>
        <v>-1</v>
      </c>
    </row>
    <row r="72" spans="1:21">
      <c r="A72" s="49" t="s">
        <v>632</v>
      </c>
      <c r="B72" s="49" t="s">
        <v>130</v>
      </c>
      <c r="C72" s="49">
        <f>IF(OR(B72="NIFTY",B72="BANKNIFTY"),mrigxl_getIndexQuote(VLOOKUP(B72,Lots!$B:$C,2,0)),_xlfn.NUMBERVALUE(mrigxl_getStockQuote(B72)))</f>
        <v>221.6</v>
      </c>
      <c r="E72" s="122">
        <v>44707</v>
      </c>
      <c r="F72" s="49" t="str">
        <f>TRIM(A72)&amp;TRIM(B72)&amp;TRIM(D72)&amp;TRIM(E72)</f>
        <v>FUTTATAPOWER44707</v>
      </c>
      <c r="G72" s="49" t="e">
        <f t="shared" si="28"/>
        <v>#VALUE!</v>
      </c>
    </row>
    <row r="73" spans="1:21">
      <c r="A73" s="49" t="s">
        <v>632</v>
      </c>
      <c r="B73" s="49" t="s">
        <v>506</v>
      </c>
      <c r="C73" s="49">
        <f>IF(OR(B73="NIFTY",B73="BANKNIFTY"),mrigxl_getIndexQuote(VLOOKUP(B73,Lots!$B:$C,2,0)),_xlfn.NUMBERVALUE(mrigxl_getStockQuote(B73)))</f>
        <v>34651.199999999997</v>
      </c>
      <c r="E73" s="122">
        <v>44742</v>
      </c>
      <c r="F73" s="49" t="str">
        <f t="shared" ref="F73" si="29">TRIM(A73)&amp;TRIM(B73)&amp;TRIM(D73)&amp;TRIM(E73)</f>
        <v>FUTBANKNIFTY44742</v>
      </c>
      <c r="G73" s="49" t="e">
        <f t="shared" si="28"/>
        <v>#VALUE!</v>
      </c>
      <c r="H73" t="s">
        <v>640</v>
      </c>
    </row>
    <row r="74" spans="1:21">
      <c r="A74" s="49" t="s">
        <v>632</v>
      </c>
      <c r="B74" s="49" t="s">
        <v>381</v>
      </c>
      <c r="C74" s="49">
        <f>IF(OR(B74="NIFTY",B74="BANKNIFTY"),mrigxl_getIndexQuote(VLOOKUP(B74,Lots!$B:$C,2,0)),_xlfn.NUMBERVALUE(mrigxl_getStockQuote(B74)))</f>
        <v>2788</v>
      </c>
      <c r="E74" s="122">
        <v>44707</v>
      </c>
      <c r="F74" s="49" t="str">
        <f>TRIM(A74)&amp;TRIM(B74)&amp;TRIM(D74)&amp;TRIM(E74)</f>
        <v>FUTMINDTREE44707</v>
      </c>
      <c r="G74" s="49" t="e">
        <f t="shared" ref="G74" si="30">IF(H74="IN",VALUE(IF(A74="FUT",mrigxl_getIndexFuturesQuote(B74,E74,"lastPrice"),mrigxl_getIndexOptionQuote(B74,E74,D74,A74,$H$1))),VALUE(IF(A74="FUT",mrigxl_getStockFuturesQuote(B74,E74,"lastPrice"),mrigxl_getStockOptionQuote(B74,E74,D74,A74,$H$1))))</f>
        <v>#VALUE!</v>
      </c>
    </row>
    <row r="75" spans="1:21">
      <c r="A75" s="49" t="s">
        <v>481</v>
      </c>
      <c r="B75" s="49" t="s">
        <v>381</v>
      </c>
      <c r="C75" s="49">
        <f>IF(OR(B75="NIFTY",B75="BANKNIFTY"),mrigxl_getIndexQuote(VLOOKUP(B75,Lots!$B:$C,2,0)),_xlfn.NUMBERVALUE(mrigxl_getStockQuote(B75)))</f>
        <v>2885.25</v>
      </c>
      <c r="D75" s="49">
        <v>3900</v>
      </c>
      <c r="E75" s="122">
        <v>44707</v>
      </c>
      <c r="F75" s="49" t="str">
        <f t="shared" ref="F75" si="31">TRIM(A75)&amp;TRIM(B75)&amp;TRIM(D75)&amp;TRIM(E75)</f>
        <v>CEMINDTREE390044707</v>
      </c>
      <c r="G75" s="49">
        <f>IF(H75="IN",VALUE(IF(A75="FUT",mrigxl_getIndexFuturesQuote(B75,E75,"lastPrice"),mrigxl_getIndexOptionQuote(B75,E75,D75,A75,$H$1))),VALUE(IF(A75="FUT",mrigxl_getStockFuturesQuote(B75,E75,"lastPrice"),mrigxl_getStockOptionQuote(B75,E75,D75,A75,$H$1))))</f>
        <v>-1</v>
      </c>
    </row>
    <row r="76" spans="1:21">
      <c r="A76" s="49" t="s">
        <v>482</v>
      </c>
      <c r="B76" s="49" t="s">
        <v>381</v>
      </c>
      <c r="C76" s="49">
        <f>IF(OR(B76="NIFTY",B76="BANKNIFTY"),mrigxl_getIndexQuote(VLOOKUP(B76,Lots!$B:$C,2,0)),_xlfn.NUMBERVALUE(mrigxl_getStockQuote(B76)))</f>
        <v>2788</v>
      </c>
      <c r="D76" s="49">
        <v>3200</v>
      </c>
      <c r="E76" s="122">
        <v>44742</v>
      </c>
      <c r="F76" s="49" t="str">
        <f t="shared" ref="F76" si="32">TRIM(A76)&amp;TRIM(B76)&amp;TRIM(D76)&amp;TRIM(E76)</f>
        <v>PEMINDTREE320044742</v>
      </c>
      <c r="G76" s="49">
        <f>IF(H76="IN",VALUE(IF(A76="FUT",mrigxl_getIndexFuturesQuote(B76,E76,"lastPrice"),mrigxl_getIndexOptionQuote(B76,E76,D76,A76,$H$1))),VALUE(IF(A76="FUT",mrigxl_getStockFuturesQuote(B76,E76,"lastPrice"),mrigxl_getStockOptionQuote(B76,E76,D76,A76,$H$1))))</f>
        <v>-1</v>
      </c>
    </row>
    <row r="77" spans="1:21">
      <c r="B77" s="49" t="s">
        <v>104</v>
      </c>
      <c r="C77" s="49">
        <f>IF(OR(B77="NIFTY",B77="BANKNIFTY"),mrigxl_getIndexQuote(VLOOKUP(B77,Lots!$B:$C,2,0)),_xlfn.NUMBERVALUE(mrigxl_getStockQuote(B77)))</f>
        <v>2495.85</v>
      </c>
    </row>
    <row r="78" spans="1:21">
      <c r="B78" s="49" t="s">
        <v>682</v>
      </c>
      <c r="C78" s="49">
        <f>IF(OR(B78="NIFTY",B78="BANKNIFTY"),mrigxl_getIndexQuote(VLOOKUP(B78,Lots!$B:$C,2,0)),_xlfn.NUMBERVALUE(mrigxl_getStockQuote(B78)))</f>
        <v>359.3</v>
      </c>
    </row>
  </sheetData>
  <autoFilter ref="A14:H76"/>
  <sortState ref="A15:E53">
    <sortCondition descending="1" ref="E15:E53"/>
  </sortState>
  <mergeCells count="1">
    <mergeCell ref="A1:G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Q21"/>
  <sheetViews>
    <sheetView workbookViewId="0">
      <selection activeCell="C3" sqref="C3"/>
    </sheetView>
  </sheetViews>
  <sheetFormatPr defaultRowHeight="15"/>
  <cols>
    <col min="2" max="3" width="12.28515625" customWidth="1"/>
    <col min="4" max="5" width="12.28515625" style="37" customWidth="1"/>
    <col min="6" max="12" width="12.28515625" customWidth="1"/>
    <col min="14" max="16" width="12.28515625" customWidth="1"/>
  </cols>
  <sheetData>
    <row r="1" spans="2:17">
      <c r="B1" s="173"/>
      <c r="C1" s="49"/>
      <c r="D1" s="173"/>
      <c r="E1" s="173"/>
      <c r="F1" s="208" t="s">
        <v>671</v>
      </c>
      <c r="G1" s="208"/>
      <c r="H1" s="192"/>
      <c r="I1" s="207" t="s">
        <v>669</v>
      </c>
      <c r="J1" s="207"/>
      <c r="K1" s="207" t="s">
        <v>665</v>
      </c>
      <c r="L1" s="207"/>
      <c r="M1" s="49"/>
      <c r="N1" s="209" t="s">
        <v>673</v>
      </c>
      <c r="O1" s="210"/>
      <c r="P1" s="210"/>
      <c r="Q1" s="211"/>
    </row>
    <row r="2" spans="2:17" ht="32.25" customHeight="1">
      <c r="B2" s="190" t="s">
        <v>21</v>
      </c>
      <c r="C2" s="191" t="s">
        <v>659</v>
      </c>
      <c r="D2" s="190" t="s">
        <v>660</v>
      </c>
      <c r="E2" s="190" t="s">
        <v>668</v>
      </c>
      <c r="F2" s="191" t="s">
        <v>672</v>
      </c>
      <c r="G2" s="190" t="s">
        <v>661</v>
      </c>
      <c r="H2" s="190" t="s">
        <v>661</v>
      </c>
      <c r="I2" s="190" t="s">
        <v>663</v>
      </c>
      <c r="J2" s="191" t="s">
        <v>664</v>
      </c>
      <c r="K2" s="190" t="s">
        <v>670</v>
      </c>
      <c r="L2" s="191" t="s">
        <v>664</v>
      </c>
      <c r="M2" s="191" t="s">
        <v>117</v>
      </c>
      <c r="N2" s="191" t="s">
        <v>674</v>
      </c>
      <c r="O2" s="191" t="s">
        <v>662</v>
      </c>
      <c r="P2" s="190" t="s">
        <v>666</v>
      </c>
      <c r="Q2" s="191" t="s">
        <v>667</v>
      </c>
    </row>
    <row r="3" spans="2:17">
      <c r="B3" t="s">
        <v>130</v>
      </c>
      <c r="C3">
        <v>6750</v>
      </c>
      <c r="D3" s="34">
        <v>293.5</v>
      </c>
      <c r="F3">
        <v>3.65</v>
      </c>
      <c r="G3">
        <v>280</v>
      </c>
      <c r="H3" s="35">
        <f>G3/D3-1</f>
        <v>-4.5996592844974482E-2</v>
      </c>
      <c r="N3">
        <f>F3-J3+L3</f>
        <v>3.65</v>
      </c>
      <c r="O3" s="35" t="e">
        <f t="shared" ref="O3:O9" si="0">F3*C3/M3</f>
        <v>#DIV/0!</v>
      </c>
      <c r="P3" s="35" t="e">
        <f t="shared" ref="P3:P9" si="1">N3*C3/M3</f>
        <v>#DIV/0!</v>
      </c>
      <c r="Q3" s="35" t="e">
        <f t="shared" ref="Q3:Q9" si="2">(E3-D3)*C3/M3</f>
        <v>#DIV/0!</v>
      </c>
    </row>
    <row r="4" spans="2:17">
      <c r="B4" t="s">
        <v>130</v>
      </c>
      <c r="C4">
        <v>6750</v>
      </c>
      <c r="D4" s="34">
        <v>258</v>
      </c>
      <c r="F4">
        <v>5.4</v>
      </c>
      <c r="G4">
        <v>270</v>
      </c>
      <c r="H4" s="35">
        <f t="shared" ref="H4:H21" si="3">G4/D4-1</f>
        <v>4.6511627906976827E-2</v>
      </c>
      <c r="N4">
        <f t="shared" ref="N4:N21" si="4">F4-J4+L4</f>
        <v>5.4</v>
      </c>
      <c r="O4" s="35" t="e">
        <f t="shared" si="0"/>
        <v>#DIV/0!</v>
      </c>
      <c r="P4" s="35" t="e">
        <f t="shared" si="1"/>
        <v>#DIV/0!</v>
      </c>
      <c r="Q4" s="35" t="e">
        <f t="shared" si="2"/>
        <v>#DIV/0!</v>
      </c>
    </row>
    <row r="5" spans="2:17">
      <c r="B5" t="s">
        <v>284</v>
      </c>
      <c r="C5">
        <v>2850</v>
      </c>
      <c r="D5" s="34">
        <v>459.45</v>
      </c>
      <c r="F5">
        <v>5.6</v>
      </c>
      <c r="G5">
        <v>500</v>
      </c>
      <c r="H5" s="35">
        <f t="shared" si="3"/>
        <v>8.8257699423223368E-2</v>
      </c>
      <c r="N5">
        <f t="shared" si="4"/>
        <v>5.6</v>
      </c>
      <c r="O5" s="35" t="e">
        <f t="shared" si="0"/>
        <v>#DIV/0!</v>
      </c>
      <c r="P5" s="35" t="e">
        <f t="shared" si="1"/>
        <v>#DIV/0!</v>
      </c>
      <c r="Q5" s="35" t="e">
        <f t="shared" si="2"/>
        <v>#DIV/0!</v>
      </c>
    </row>
    <row r="6" spans="2:17">
      <c r="B6" t="s">
        <v>284</v>
      </c>
      <c r="C6">
        <v>2850</v>
      </c>
      <c r="D6" s="34">
        <v>459.3</v>
      </c>
      <c r="H6" s="35">
        <f t="shared" si="3"/>
        <v>-1</v>
      </c>
      <c r="K6">
        <v>410</v>
      </c>
      <c r="L6">
        <v>10.35</v>
      </c>
      <c r="N6">
        <f t="shared" si="4"/>
        <v>10.35</v>
      </c>
      <c r="O6" s="35" t="e">
        <f t="shared" si="0"/>
        <v>#DIV/0!</v>
      </c>
      <c r="P6" s="35" t="e">
        <f t="shared" si="1"/>
        <v>#DIV/0!</v>
      </c>
      <c r="Q6" s="35" t="e">
        <f t="shared" si="2"/>
        <v>#DIV/0!</v>
      </c>
    </row>
    <row r="7" spans="2:17">
      <c r="B7" t="s">
        <v>126</v>
      </c>
      <c r="C7">
        <v>3750</v>
      </c>
      <c r="D7" s="34">
        <v>246.3</v>
      </c>
      <c r="F7">
        <v>3.9</v>
      </c>
      <c r="G7">
        <v>240</v>
      </c>
      <c r="H7" s="35">
        <f t="shared" si="3"/>
        <v>-2.5578562728380105E-2</v>
      </c>
      <c r="N7">
        <f t="shared" si="4"/>
        <v>3.9</v>
      </c>
      <c r="O7" s="35" t="e">
        <f t="shared" si="0"/>
        <v>#DIV/0!</v>
      </c>
      <c r="P7" s="35" t="e">
        <f t="shared" si="1"/>
        <v>#DIV/0!</v>
      </c>
      <c r="Q7" s="35" t="e">
        <f t="shared" si="2"/>
        <v>#DIV/0!</v>
      </c>
    </row>
    <row r="8" spans="2:17">
      <c r="B8" t="s">
        <v>126</v>
      </c>
      <c r="C8">
        <v>3750</v>
      </c>
      <c r="D8" s="34">
        <v>234.9</v>
      </c>
      <c r="H8" s="35">
        <f t="shared" si="3"/>
        <v>-1</v>
      </c>
      <c r="K8">
        <v>205</v>
      </c>
      <c r="L8">
        <v>7</v>
      </c>
      <c r="N8">
        <f t="shared" si="4"/>
        <v>7</v>
      </c>
      <c r="O8" s="35" t="e">
        <f t="shared" si="0"/>
        <v>#DIV/0!</v>
      </c>
      <c r="P8" s="35" t="e">
        <f t="shared" si="1"/>
        <v>#DIV/0!</v>
      </c>
      <c r="Q8" s="35" t="e">
        <f t="shared" si="2"/>
        <v>#DIV/0!</v>
      </c>
    </row>
    <row r="9" spans="2:17">
      <c r="B9" s="34" t="s">
        <v>399</v>
      </c>
      <c r="C9">
        <v>575</v>
      </c>
      <c r="D9" s="34">
        <v>1780.35</v>
      </c>
      <c r="E9" s="34"/>
      <c r="F9" s="34">
        <v>20.8</v>
      </c>
      <c r="G9" s="34">
        <v>1800</v>
      </c>
      <c r="H9" s="35">
        <f t="shared" si="3"/>
        <v>1.1037155615468919E-2</v>
      </c>
      <c r="N9">
        <f t="shared" si="4"/>
        <v>20.8</v>
      </c>
      <c r="O9" s="35" t="e">
        <f t="shared" si="0"/>
        <v>#DIV/0!</v>
      </c>
      <c r="P9" s="35" t="e">
        <f t="shared" si="1"/>
        <v>#DIV/0!</v>
      </c>
      <c r="Q9" s="35" t="e">
        <f t="shared" si="2"/>
        <v>#DIV/0!</v>
      </c>
    </row>
    <row r="10" spans="2:17">
      <c r="B10" s="34" t="s">
        <v>90</v>
      </c>
      <c r="C10">
        <v>150</v>
      </c>
      <c r="D10" s="34">
        <v>3692.8</v>
      </c>
      <c r="E10" s="34"/>
      <c r="F10" s="34">
        <v>36</v>
      </c>
      <c r="G10" s="34">
        <v>3800</v>
      </c>
      <c r="H10" s="35">
        <f>G10/D10-1</f>
        <v>2.9029462738301426E-2</v>
      </c>
      <c r="M10">
        <v>147000</v>
      </c>
      <c r="N10">
        <f t="shared" si="4"/>
        <v>36</v>
      </c>
      <c r="O10" s="35">
        <f>F10*C10/M10</f>
        <v>3.6734693877551024E-2</v>
      </c>
      <c r="P10" s="35">
        <f>N10*C10/M10</f>
        <v>3.6734693877551024E-2</v>
      </c>
      <c r="Q10" s="35">
        <f>(E10-D10)*C10/M10</f>
        <v>-3.7681632653061223</v>
      </c>
    </row>
    <row r="11" spans="2:17">
      <c r="B11" s="34" t="s">
        <v>90</v>
      </c>
      <c r="C11">
        <v>150</v>
      </c>
      <c r="D11" s="34">
        <v>3736.25</v>
      </c>
      <c r="E11" s="34"/>
      <c r="F11" s="34"/>
      <c r="G11" s="34"/>
      <c r="H11" s="35">
        <f t="shared" si="3"/>
        <v>-1</v>
      </c>
      <c r="N11">
        <f t="shared" si="4"/>
        <v>0</v>
      </c>
      <c r="O11" s="35" t="e">
        <f t="shared" ref="O11:O21" si="5">F11*C11/M11</f>
        <v>#DIV/0!</v>
      </c>
      <c r="P11" s="35" t="e">
        <f t="shared" ref="P11:P21" si="6">N11*C11/M11</f>
        <v>#DIV/0!</v>
      </c>
      <c r="Q11" s="35" t="e">
        <f t="shared" ref="Q11:Q21" si="7">(E11-D11)*C11/M11</f>
        <v>#DIV/0!</v>
      </c>
    </row>
    <row r="12" spans="2:17">
      <c r="B12" s="34" t="s">
        <v>381</v>
      </c>
      <c r="C12">
        <v>200</v>
      </c>
      <c r="D12" s="34">
        <v>3565</v>
      </c>
      <c r="E12" s="34"/>
      <c r="F12" s="34">
        <v>77</v>
      </c>
      <c r="G12" s="34">
        <v>3900</v>
      </c>
      <c r="H12" s="35">
        <f t="shared" si="3"/>
        <v>9.3969144460028131E-2</v>
      </c>
      <c r="M12">
        <v>323336</v>
      </c>
      <c r="N12">
        <f t="shared" si="4"/>
        <v>77</v>
      </c>
      <c r="O12" s="35">
        <f t="shared" si="5"/>
        <v>4.7628473167231608E-2</v>
      </c>
      <c r="P12" s="35">
        <f t="shared" si="6"/>
        <v>4.7628473167231608E-2</v>
      </c>
      <c r="Q12" s="35">
        <f t="shared" si="7"/>
        <v>-2.2051364524828663</v>
      </c>
    </row>
    <row r="13" spans="2:17">
      <c r="B13" s="34"/>
      <c r="D13" s="34"/>
      <c r="E13" s="34"/>
      <c r="F13" s="34"/>
      <c r="G13" s="34"/>
      <c r="H13" s="35" t="e">
        <f t="shared" si="3"/>
        <v>#DIV/0!</v>
      </c>
      <c r="N13">
        <f t="shared" si="4"/>
        <v>0</v>
      </c>
      <c r="O13" s="35" t="e">
        <f t="shared" si="5"/>
        <v>#DIV/0!</v>
      </c>
      <c r="P13" s="35" t="e">
        <f t="shared" si="6"/>
        <v>#DIV/0!</v>
      </c>
      <c r="Q13" s="35" t="e">
        <f t="shared" si="7"/>
        <v>#DIV/0!</v>
      </c>
    </row>
    <row r="14" spans="2:17">
      <c r="B14" s="34"/>
      <c r="D14" s="34"/>
      <c r="E14" s="34"/>
      <c r="F14" s="34"/>
      <c r="G14" s="34"/>
      <c r="H14" s="35" t="e">
        <f t="shared" si="3"/>
        <v>#DIV/0!</v>
      </c>
      <c r="N14">
        <f t="shared" si="4"/>
        <v>0</v>
      </c>
      <c r="O14" s="35" t="e">
        <f t="shared" si="5"/>
        <v>#DIV/0!</v>
      </c>
      <c r="P14" s="35" t="e">
        <f t="shared" si="6"/>
        <v>#DIV/0!</v>
      </c>
      <c r="Q14" s="35" t="e">
        <f t="shared" si="7"/>
        <v>#DIV/0!</v>
      </c>
    </row>
    <row r="15" spans="2:17">
      <c r="B15" s="34"/>
      <c r="D15" s="34"/>
      <c r="E15" s="34"/>
      <c r="F15" s="34"/>
      <c r="G15" s="34"/>
      <c r="H15" s="35" t="e">
        <f t="shared" si="3"/>
        <v>#DIV/0!</v>
      </c>
      <c r="N15">
        <f t="shared" si="4"/>
        <v>0</v>
      </c>
      <c r="O15" s="35" t="e">
        <f t="shared" si="5"/>
        <v>#DIV/0!</v>
      </c>
      <c r="P15" s="35" t="e">
        <f t="shared" si="6"/>
        <v>#DIV/0!</v>
      </c>
      <c r="Q15" s="35" t="e">
        <f t="shared" si="7"/>
        <v>#DIV/0!</v>
      </c>
    </row>
    <row r="16" spans="2:17">
      <c r="D16" s="34"/>
      <c r="H16" s="35" t="e">
        <f t="shared" si="3"/>
        <v>#DIV/0!</v>
      </c>
      <c r="N16">
        <f t="shared" si="4"/>
        <v>0</v>
      </c>
      <c r="O16" s="35" t="e">
        <f t="shared" si="5"/>
        <v>#DIV/0!</v>
      </c>
      <c r="P16" s="35" t="e">
        <f t="shared" si="6"/>
        <v>#DIV/0!</v>
      </c>
      <c r="Q16" s="35" t="e">
        <f t="shared" si="7"/>
        <v>#DIV/0!</v>
      </c>
    </row>
    <row r="17" spans="4:17">
      <c r="D17" s="34"/>
      <c r="H17" s="35" t="e">
        <f t="shared" si="3"/>
        <v>#DIV/0!</v>
      </c>
      <c r="N17">
        <f t="shared" si="4"/>
        <v>0</v>
      </c>
      <c r="O17" s="35" t="e">
        <f t="shared" si="5"/>
        <v>#DIV/0!</v>
      </c>
      <c r="P17" s="35" t="e">
        <f t="shared" si="6"/>
        <v>#DIV/0!</v>
      </c>
      <c r="Q17" s="35" t="e">
        <f t="shared" si="7"/>
        <v>#DIV/0!</v>
      </c>
    </row>
    <row r="18" spans="4:17">
      <c r="D18" s="34"/>
      <c r="H18" s="35" t="e">
        <f t="shared" si="3"/>
        <v>#DIV/0!</v>
      </c>
      <c r="N18">
        <f t="shared" si="4"/>
        <v>0</v>
      </c>
      <c r="O18" s="35" t="e">
        <f t="shared" si="5"/>
        <v>#DIV/0!</v>
      </c>
      <c r="P18" s="35" t="e">
        <f t="shared" si="6"/>
        <v>#DIV/0!</v>
      </c>
      <c r="Q18" s="35" t="e">
        <f t="shared" si="7"/>
        <v>#DIV/0!</v>
      </c>
    </row>
    <row r="19" spans="4:17">
      <c r="D19" s="34"/>
      <c r="H19" s="35" t="e">
        <f t="shared" si="3"/>
        <v>#DIV/0!</v>
      </c>
      <c r="N19">
        <f t="shared" si="4"/>
        <v>0</v>
      </c>
      <c r="O19" s="35" t="e">
        <f t="shared" si="5"/>
        <v>#DIV/0!</v>
      </c>
      <c r="P19" s="35" t="e">
        <f t="shared" si="6"/>
        <v>#DIV/0!</v>
      </c>
      <c r="Q19" s="35" t="e">
        <f t="shared" si="7"/>
        <v>#DIV/0!</v>
      </c>
    </row>
    <row r="20" spans="4:17">
      <c r="H20" s="35" t="e">
        <f t="shared" si="3"/>
        <v>#DIV/0!</v>
      </c>
      <c r="N20">
        <f t="shared" si="4"/>
        <v>0</v>
      </c>
      <c r="O20" s="35" t="e">
        <f t="shared" si="5"/>
        <v>#DIV/0!</v>
      </c>
      <c r="P20" s="35" t="e">
        <f t="shared" si="6"/>
        <v>#DIV/0!</v>
      </c>
      <c r="Q20" s="35" t="e">
        <f t="shared" si="7"/>
        <v>#DIV/0!</v>
      </c>
    </row>
    <row r="21" spans="4:17">
      <c r="H21" s="35" t="e">
        <f t="shared" si="3"/>
        <v>#DIV/0!</v>
      </c>
      <c r="N21">
        <f t="shared" si="4"/>
        <v>0</v>
      </c>
      <c r="O21" s="35" t="e">
        <f t="shared" si="5"/>
        <v>#DIV/0!</v>
      </c>
      <c r="P21" s="35" t="e">
        <f t="shared" si="6"/>
        <v>#DIV/0!</v>
      </c>
      <c r="Q21" s="35" t="e">
        <f t="shared" si="7"/>
        <v>#DIV/0!</v>
      </c>
    </row>
  </sheetData>
  <mergeCells count="4">
    <mergeCell ref="I1:J1"/>
    <mergeCell ref="K1:L1"/>
    <mergeCell ref="F1:G1"/>
    <mergeCell ref="N1:Q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Trade</vt:lpstr>
      <vt:lpstr>ZeroDha Ledger</vt:lpstr>
      <vt:lpstr>Market</vt:lpstr>
      <vt:lpstr>Punting -&gt;&gt;</vt:lpstr>
      <vt:lpstr>Option_Traders</vt:lpstr>
      <vt:lpstr>Option Wheel -&gt;&gt;</vt:lpstr>
      <vt:lpstr>Stock Fundamentals</vt:lpstr>
      <vt:lpstr>Option_Wheel Analysis</vt:lpstr>
      <vt:lpstr>Iron Butterfly Condor -&gt;&gt;</vt:lpstr>
      <vt:lpstr>Iron ButterflyCondor Analysis</vt:lpstr>
      <vt:lpstr>Sheet1</vt:lpstr>
      <vt:lpstr>Swing Futures</vt:lpstr>
      <vt:lpstr>Lots</vt:lpstr>
      <vt:lpstr>Reference</vt:lpstr>
      <vt:lpstr>Rough Analysis</vt:lpstr>
      <vt:lpstr>NIFTY_DIVYLD</vt:lpstr>
      <vt:lpstr>RISKFREE_RATE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Santosh Bag</dc:creator>
  <cp:lastModifiedBy>Santosh Bag</cp:lastModifiedBy>
  <dcterms:created xsi:type="dcterms:W3CDTF">2019-01-10T01:37:15Z</dcterms:created>
  <dcterms:modified xsi:type="dcterms:W3CDTF">2022-07-15T10:09:38Z</dcterms:modified>
</cp:coreProperties>
</file>