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803\Desktop\Santosh Desk\Private\"/>
    </mc:Choice>
  </mc:AlternateContent>
  <xr:revisionPtr revIDLastSave="0" documentId="13_ncr:1_{2D3B0237-8330-4DDE-91A3-1A05CD09085D}" xr6:coauthVersionLast="47" xr6:coauthVersionMax="47" xr10:uidLastSave="{00000000-0000-0000-0000-000000000000}"/>
  <bookViews>
    <workbookView xWindow="-108" yWindow="-108" windowWidth="23256" windowHeight="12576" xr2:uid="{DB75C171-C3CF-4801-B889-286DC7EFAA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16" i="1"/>
  <c r="N21" i="1" s="1"/>
  <c r="N7" i="1"/>
  <c r="M20" i="1"/>
  <c r="O20" i="1" s="1"/>
  <c r="B23" i="1" s="1"/>
  <c r="N19" i="1"/>
  <c r="O19" i="1" s="1"/>
  <c r="B22" i="1" s="1"/>
  <c r="L11" i="1"/>
  <c r="L21" i="1"/>
  <c r="N11" i="1"/>
  <c r="M6" i="1"/>
  <c r="M7" i="1"/>
  <c r="N8" i="1"/>
  <c r="N9" i="1"/>
  <c r="N15" i="1"/>
  <c r="O7" i="1"/>
  <c r="B10" i="1" s="1"/>
  <c r="N35" i="1"/>
  <c r="M11" i="1"/>
  <c r="N51" i="1"/>
  <c r="M35" i="1"/>
  <c r="M4" i="1"/>
  <c r="O4" i="1"/>
  <c r="M16" i="1"/>
  <c r="M19" i="1"/>
  <c r="M15" i="1"/>
  <c r="O5" i="1"/>
  <c r="B8" i="1" s="1"/>
  <c r="O8" i="1"/>
  <c r="B11" i="1" s="1"/>
  <c r="O9" i="1"/>
  <c r="O10" i="1"/>
  <c r="B13" i="1" s="1"/>
  <c r="O12" i="1"/>
  <c r="B15" i="1" s="1"/>
  <c r="O13" i="1"/>
  <c r="B16" i="1" s="1"/>
  <c r="O14" i="1"/>
  <c r="B17" i="1" s="1"/>
  <c r="O15" i="1"/>
  <c r="B18" i="1" s="1"/>
  <c r="O17" i="1"/>
  <c r="B20" i="1" s="1"/>
  <c r="O18" i="1"/>
  <c r="K21" i="1"/>
  <c r="L9" i="1"/>
  <c r="L15" i="1"/>
  <c r="L19" i="1"/>
  <c r="K29" i="1"/>
  <c r="P35" i="1"/>
  <c r="L35" i="1"/>
  <c r="O35" i="1"/>
  <c r="K35" i="1"/>
  <c r="N34" i="1"/>
  <c r="O34" i="1" s="1"/>
  <c r="P34" i="1" s="1"/>
  <c r="K34" i="1"/>
  <c r="K33" i="1"/>
  <c r="O33" i="1" s="1"/>
  <c r="P33" i="1" s="1"/>
  <c r="K32" i="1"/>
  <c r="K31" i="1"/>
  <c r="O31" i="1" s="1"/>
  <c r="P31" i="1" s="1"/>
  <c r="N30" i="1"/>
  <c r="K24" i="1"/>
  <c r="K30" i="1"/>
  <c r="K28" i="1"/>
  <c r="O29" i="1"/>
  <c r="P29" i="1" s="1"/>
  <c r="O28" i="1"/>
  <c r="P28" i="1" s="1"/>
  <c r="K27" i="1"/>
  <c r="M26" i="1"/>
  <c r="O26" i="1" s="1"/>
  <c r="P26" i="1" s="1"/>
  <c r="K26" i="1"/>
  <c r="P24" i="1"/>
  <c r="P23" i="1"/>
  <c r="O24" i="1"/>
  <c r="O25" i="1"/>
  <c r="P25" i="1" s="1"/>
  <c r="O27" i="1"/>
  <c r="P27" i="1" s="1"/>
  <c r="O32" i="1"/>
  <c r="P32" i="1" s="1"/>
  <c r="O23" i="1"/>
  <c r="N24" i="1"/>
  <c r="N23" i="1"/>
  <c r="L24" i="1"/>
  <c r="L23" i="1"/>
  <c r="B21" i="1"/>
  <c r="O3" i="1"/>
  <c r="B6" i="1" s="1"/>
  <c r="K3" i="1"/>
  <c r="K4" i="1"/>
  <c r="K6" i="1"/>
  <c r="K9" i="1"/>
  <c r="K16" i="1"/>
  <c r="F15" i="1"/>
  <c r="F14" i="1"/>
  <c r="F13" i="1"/>
  <c r="F12" i="1"/>
  <c r="F11" i="1"/>
  <c r="F10" i="1"/>
  <c r="F9" i="1"/>
  <c r="F8" i="1"/>
  <c r="F7" i="1"/>
  <c r="E16" i="1"/>
  <c r="G4" i="1"/>
  <c r="G5" i="1" s="1"/>
  <c r="G6" i="1" s="1"/>
  <c r="L36" i="1" l="1"/>
  <c r="O11" i="1"/>
  <c r="B14" i="1" s="1"/>
  <c r="O16" i="1"/>
  <c r="B19" i="1" s="1"/>
  <c r="N36" i="1"/>
  <c r="O6" i="1"/>
  <c r="B9" i="1" s="1"/>
  <c r="M21" i="1"/>
  <c r="M36" i="1" s="1"/>
  <c r="B12" i="1"/>
  <c r="O30" i="1"/>
  <c r="P30" i="1" s="1"/>
  <c r="B7" i="1"/>
  <c r="F16" i="1"/>
  <c r="G7" i="1"/>
  <c r="G8" i="1" s="1"/>
  <c r="G9" i="1" s="1"/>
  <c r="G10" i="1" s="1"/>
  <c r="G11" i="1" s="1"/>
  <c r="G12" i="1" s="1"/>
  <c r="G13" i="1" s="1"/>
  <c r="G14" i="1" s="1"/>
  <c r="G15" i="1" s="1"/>
  <c r="O21" i="1" l="1"/>
  <c r="B24" i="1"/>
  <c r="B28" i="1" l="1"/>
  <c r="B26" i="1"/>
</calcChain>
</file>

<file path=xl/sharedStrings.xml><?xml version="1.0" encoding="utf-8"?>
<sst xmlns="http://schemas.openxmlformats.org/spreadsheetml/2006/main" count="76" uniqueCount="51">
  <si>
    <t>April</t>
  </si>
  <si>
    <t>May</t>
  </si>
  <si>
    <t>Jun</t>
  </si>
  <si>
    <t>July</t>
  </si>
  <si>
    <t>August</t>
  </si>
  <si>
    <t>Sep</t>
  </si>
  <si>
    <t>Oct</t>
  </si>
  <si>
    <t>Nov</t>
  </si>
  <si>
    <t>Dec</t>
  </si>
  <si>
    <t>Expenses</t>
  </si>
  <si>
    <t>Beginning Balance</t>
  </si>
  <si>
    <t>Travel</t>
  </si>
  <si>
    <t>Bills &amp; Utilities</t>
  </si>
  <si>
    <t>Automotive</t>
  </si>
  <si>
    <t>Entertainment</t>
  </si>
  <si>
    <t>Food &amp; Drinks</t>
  </si>
  <si>
    <t>Gas</t>
  </si>
  <si>
    <t>Health &amp; Wellness</t>
  </si>
  <si>
    <t>Office Equipment</t>
  </si>
  <si>
    <t>Office Furnitures</t>
  </si>
  <si>
    <t>Merchandise &amp; Inventory</t>
  </si>
  <si>
    <t>Miscellaneous</t>
  </si>
  <si>
    <t>Shipping</t>
  </si>
  <si>
    <t>Professional Services</t>
  </si>
  <si>
    <t>Repair &amp; Maintenance</t>
  </si>
  <si>
    <t>Education</t>
  </si>
  <si>
    <t>Dress &amp; Uniform</t>
  </si>
  <si>
    <t>American Express</t>
  </si>
  <si>
    <t>Bank of America</t>
  </si>
  <si>
    <t>Office Expenses</t>
  </si>
  <si>
    <t xml:space="preserve">Office Security </t>
  </si>
  <si>
    <t>SGN &amp; SUBEDI, LLC Income &amp; Expenditure Statements</t>
  </si>
  <si>
    <t xml:space="preserve">Revenue </t>
  </si>
  <si>
    <t>Deposits</t>
  </si>
  <si>
    <t>Withdrawls</t>
  </si>
  <si>
    <t>Months</t>
  </si>
  <si>
    <t>June</t>
  </si>
  <si>
    <t>January</t>
  </si>
  <si>
    <t>February</t>
  </si>
  <si>
    <t>March</t>
  </si>
  <si>
    <t>Expenses Details</t>
  </si>
  <si>
    <t>Chase Checking</t>
  </si>
  <si>
    <t>Chase Credit</t>
  </si>
  <si>
    <t>Items</t>
  </si>
  <si>
    <t>Jan</t>
  </si>
  <si>
    <t>Feb</t>
  </si>
  <si>
    <t>Aug</t>
  </si>
  <si>
    <t>Sept</t>
  </si>
  <si>
    <t>Total Expenses</t>
  </si>
  <si>
    <t>Net Profit or Loss</t>
  </si>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</sst>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2" fillId="0" borderId="0" xfId="1" applyFont="1"/>
    <xf numFmtId="43" fontId="3" fillId="0" borderId="0" xfId="0" applyNumberFormat="1" applyFont="1"/>
    <xf numFmtId="0" fontId="4" fillId="0" borderId="0" xfId="0" applyFont="1" applyAlignment="1">
      <alignment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" xfId="0" applyFont="1" applyBorder="1"/>
    <xf numFmtId="0" fontId="7" fillId="0" borderId="2" xfId="0" applyFont="1" applyBorder="1"/>
    <xf numFmtId="0" fontId="6" fillId="0" borderId="3" xfId="0" applyFont="1" applyBorder="1"/>
    <xf numFmtId="43" fontId="7" fillId="0" borderId="4" xfId="0" applyNumberFormat="1" applyFont="1" applyBorder="1"/>
    <xf numFmtId="0" fontId="7" fillId="0" borderId="3" xfId="0" applyFont="1" applyBorder="1"/>
    <xf numFmtId="0" fontId="7" fillId="0" borderId="4" xfId="0" applyFont="1" applyBorder="1"/>
    <xf numFmtId="43" fontId="7" fillId="0" borderId="4" xfId="1" applyFont="1" applyBorder="1"/>
    <xf numFmtId="0" fontId="7" fillId="0" borderId="5" xfId="0" applyFont="1" applyBorder="1"/>
    <xf numFmtId="0" fontId="7" fillId="0" borderId="6" xfId="0" applyFont="1" applyBorder="1"/>
    <xf numFmtId="0" fontId="6" fillId="0" borderId="7" xfId="0" applyFont="1" applyBorder="1"/>
    <xf numFmtId="43" fontId="7" fillId="0" borderId="8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E5B7-1DEE-4D86-B58F-E8B1A3FD5404}">
  <sheetPr>
    <pageSetUpPr fitToPage="1"/>
  </sheetPr>
  <dimension ref="A1:P51"/>
  <sheetViews>
    <sheetView tabSelected="1" workbookViewId="0">
      <selection activeCell="D12" sqref="D12"/>
    </sheetView>
  </sheetViews>
  <sheetFormatPr defaultRowHeight="14.4" x14ac:dyDescent="0.3"/>
  <cols>
    <col min="1" max="1" width="52" bestFit="1" customWidth="1"/>
    <col min="2" max="2" width="14.109375" bestFit="1" customWidth="1"/>
    <col min="5" max="5" width="10.109375" style="1" bestFit="1" customWidth="1"/>
    <col min="6" max="6" width="11.77734375" style="1" bestFit="1" customWidth="1"/>
    <col min="7" max="7" width="15.77734375" bestFit="1" customWidth="1"/>
    <col min="8" max="8" width="12.6640625" bestFit="1" customWidth="1"/>
    <col min="10" max="10" width="21.77734375" bestFit="1" customWidth="1"/>
    <col min="11" max="11" width="14.21875" bestFit="1" customWidth="1"/>
    <col min="12" max="12" width="12.77734375" style="1" bestFit="1" customWidth="1"/>
    <col min="13" max="13" width="15.77734375" bestFit="1" customWidth="1"/>
    <col min="14" max="14" width="14.44140625" bestFit="1" customWidth="1"/>
    <col min="15" max="15" width="10.21875" style="1" bestFit="1" customWidth="1"/>
    <col min="16" max="16" width="10.6640625" bestFit="1" customWidth="1"/>
  </cols>
  <sheetData>
    <row r="1" spans="1:15" ht="18.600000000000001" thickBot="1" x14ac:dyDescent="0.4">
      <c r="A1" s="7" t="s">
        <v>31</v>
      </c>
      <c r="B1" s="8"/>
      <c r="C1" s="6"/>
      <c r="J1" s="3" t="s">
        <v>40</v>
      </c>
    </row>
    <row r="2" spans="1:15" ht="18" x14ac:dyDescent="0.35">
      <c r="A2" s="9"/>
      <c r="B2" s="10"/>
      <c r="D2" s="3" t="s">
        <v>35</v>
      </c>
      <c r="E2" s="4" t="s">
        <v>33</v>
      </c>
      <c r="F2" s="4" t="s">
        <v>34</v>
      </c>
      <c r="G2" s="3" t="s">
        <v>10</v>
      </c>
      <c r="J2" s="3" t="s">
        <v>43</v>
      </c>
      <c r="K2" s="3" t="s">
        <v>41</v>
      </c>
      <c r="L2" s="4" t="s">
        <v>42</v>
      </c>
      <c r="M2" s="3" t="s">
        <v>27</v>
      </c>
      <c r="N2" s="3" t="s">
        <v>28</v>
      </c>
    </row>
    <row r="3" spans="1:15" ht="18" x14ac:dyDescent="0.35">
      <c r="A3" s="11" t="s">
        <v>32</v>
      </c>
      <c r="B3" s="12">
        <v>0</v>
      </c>
      <c r="G3" s="2">
        <v>2014.9</v>
      </c>
      <c r="J3" t="s">
        <v>13</v>
      </c>
      <c r="K3" s="1">
        <f>901.18+107.17+901.18+901.18+901.18+901.18+901.18+901.18+901.18+901.18+901.18+901.18+901.18</f>
        <v>10921.330000000002</v>
      </c>
      <c r="L3" s="1">
        <v>1131.33</v>
      </c>
      <c r="O3" s="1">
        <f>K3+L3+M3+N3</f>
        <v>12052.660000000002</v>
      </c>
    </row>
    <row r="4" spans="1:15" ht="18" x14ac:dyDescent="0.35">
      <c r="A4" s="13"/>
      <c r="B4" s="14"/>
      <c r="D4" t="s">
        <v>37</v>
      </c>
      <c r="E4" s="1">
        <v>3500</v>
      </c>
      <c r="F4" s="1">
        <v>815.11</v>
      </c>
      <c r="G4" s="2">
        <f>G3+E4-F4</f>
        <v>4699.79</v>
      </c>
      <c r="J4" t="s">
        <v>12</v>
      </c>
      <c r="K4" s="1">
        <f>119.72+104.23+119.72+135.21+119.72+135.21+200.16+179.16+196.35+171.22</f>
        <v>1480.7</v>
      </c>
      <c r="L4" s="1">
        <v>9102.84</v>
      </c>
      <c r="M4">
        <f>125.59+119.11+98.42+121.25+112.49+138.46+230.84+271.43+307.6+262.23+190.74+138.41</f>
        <v>2116.5700000000002</v>
      </c>
      <c r="O4" s="1">
        <f t="shared" ref="O4:O20" si="0">K4+L4+M4+N4</f>
        <v>12700.11</v>
      </c>
    </row>
    <row r="5" spans="1:15" ht="18" x14ac:dyDescent="0.35">
      <c r="A5" s="11" t="s">
        <v>9</v>
      </c>
      <c r="B5" s="14"/>
      <c r="D5" t="s">
        <v>38</v>
      </c>
      <c r="E5" s="1">
        <v>7000</v>
      </c>
      <c r="F5" s="1">
        <v>7003.24</v>
      </c>
      <c r="G5" s="2">
        <f t="shared" ref="G5:G15" si="1">G4+E5-F5</f>
        <v>4696.5500000000011</v>
      </c>
      <c r="J5" t="s">
        <v>14</v>
      </c>
      <c r="K5" s="1"/>
      <c r="L5" s="1">
        <v>264.66000000000003</v>
      </c>
      <c r="O5" s="1">
        <f t="shared" si="0"/>
        <v>264.66000000000003</v>
      </c>
    </row>
    <row r="6" spans="1:15" ht="18" x14ac:dyDescent="0.35">
      <c r="A6" s="13" t="s">
        <v>13</v>
      </c>
      <c r="B6" s="15">
        <f>O3</f>
        <v>12052.660000000002</v>
      </c>
      <c r="D6" t="s">
        <v>39</v>
      </c>
      <c r="E6" s="1">
        <v>3500</v>
      </c>
      <c r="F6" s="1">
        <v>4050.51</v>
      </c>
      <c r="G6" s="2">
        <f t="shared" si="1"/>
        <v>4146.0400000000009</v>
      </c>
      <c r="H6">
        <v>3222.58</v>
      </c>
      <c r="J6" t="s">
        <v>15</v>
      </c>
      <c r="K6" s="1">
        <f>18.11+2.98</f>
        <v>21.09</v>
      </c>
      <c r="L6" s="1">
        <v>17501.64</v>
      </c>
      <c r="M6">
        <f>66.05+213.25+7.26+64.09+20.95+21.7+43.08+7.96+2.5+40.19+9.61+11.9+41.09+9.73</f>
        <v>559.3599999999999</v>
      </c>
      <c r="N6">
        <f>10.81+30.02+14.06+17.4+9.99+21.63+24.87+17.04+21.63+32.44+12.98+31.36+31.36+434.35+108.21+20.17+17.04+923.99</f>
        <v>1779.35</v>
      </c>
      <c r="O6" s="1">
        <f t="shared" si="0"/>
        <v>19861.439999999999</v>
      </c>
    </row>
    <row r="7" spans="1:15" ht="18" x14ac:dyDescent="0.35">
      <c r="A7" s="13" t="s">
        <v>12</v>
      </c>
      <c r="B7" s="15">
        <f t="shared" ref="B7:B23" si="2">O4</f>
        <v>12700.11</v>
      </c>
      <c r="D7" t="s">
        <v>0</v>
      </c>
      <c r="E7" s="1">
        <v>10500</v>
      </c>
      <c r="F7" s="1">
        <f>6340.67+104.23</f>
        <v>6444.9</v>
      </c>
      <c r="G7" s="2">
        <f t="shared" si="1"/>
        <v>8201.1400000000012</v>
      </c>
      <c r="H7">
        <v>258.14999999999998</v>
      </c>
      <c r="J7" t="s">
        <v>16</v>
      </c>
      <c r="K7" s="1"/>
      <c r="L7" s="1">
        <v>1802.74</v>
      </c>
      <c r="M7">
        <f>37.53+32.49</f>
        <v>70.02000000000001</v>
      </c>
      <c r="N7">
        <f>21.54+6.14-0.22</f>
        <v>27.46</v>
      </c>
      <c r="O7" s="1">
        <f t="shared" si="0"/>
        <v>1900.22</v>
      </c>
    </row>
    <row r="8" spans="1:15" ht="18" x14ac:dyDescent="0.35">
      <c r="A8" s="13" t="s">
        <v>14</v>
      </c>
      <c r="B8" s="15">
        <f t="shared" si="2"/>
        <v>264.66000000000003</v>
      </c>
      <c r="D8" t="s">
        <v>1</v>
      </c>
      <c r="E8" s="1">
        <v>14000</v>
      </c>
      <c r="F8" s="1">
        <f>119.72+13033.83</f>
        <v>13153.55</v>
      </c>
      <c r="G8" s="2">
        <f t="shared" si="1"/>
        <v>9047.59</v>
      </c>
      <c r="H8">
        <v>125.71</v>
      </c>
      <c r="I8" s="2">
        <v>439.41</v>
      </c>
      <c r="J8" t="s">
        <v>17</v>
      </c>
      <c r="K8" s="1"/>
      <c r="L8" s="1">
        <v>523.55999999999995</v>
      </c>
      <c r="N8">
        <f>33.74+260+60</f>
        <v>353.74</v>
      </c>
      <c r="O8" s="1">
        <f t="shared" si="0"/>
        <v>877.3</v>
      </c>
    </row>
    <row r="9" spans="1:15" ht="18" x14ac:dyDescent="0.35">
      <c r="A9" s="13" t="s">
        <v>15</v>
      </c>
      <c r="B9" s="15">
        <f t="shared" si="2"/>
        <v>19861.439999999999</v>
      </c>
      <c r="D9" t="s">
        <v>2</v>
      </c>
      <c r="E9" s="1">
        <v>10500</v>
      </c>
      <c r="F9" s="1">
        <f>135.21+9929.4</f>
        <v>10064.609999999999</v>
      </c>
      <c r="G9" s="2">
        <f t="shared" si="1"/>
        <v>9482.9800000000014</v>
      </c>
      <c r="H9">
        <v>138.1</v>
      </c>
      <c r="I9">
        <v>1966.72</v>
      </c>
      <c r="J9" t="s">
        <v>18</v>
      </c>
      <c r="K9" s="1">
        <f>41.14</f>
        <v>41.14</v>
      </c>
      <c r="L9" s="1">
        <f>1134.46+1839.17+701.46</f>
        <v>3675.09</v>
      </c>
      <c r="N9">
        <f>377.79</f>
        <v>377.79</v>
      </c>
      <c r="O9" s="1">
        <f t="shared" si="0"/>
        <v>4094.02</v>
      </c>
    </row>
    <row r="10" spans="1:15" ht="18" x14ac:dyDescent="0.35">
      <c r="A10" s="13" t="s">
        <v>16</v>
      </c>
      <c r="B10" s="15">
        <f t="shared" si="2"/>
        <v>1900.22</v>
      </c>
      <c r="D10" t="s">
        <v>3</v>
      </c>
      <c r="E10" s="1">
        <v>7000</v>
      </c>
      <c r="F10" s="1">
        <f>119.72+6481.57</f>
        <v>6601.29</v>
      </c>
      <c r="G10" s="2">
        <f t="shared" si="1"/>
        <v>9881.6900000000023</v>
      </c>
      <c r="J10" t="s">
        <v>19</v>
      </c>
      <c r="K10" s="1"/>
      <c r="N10">
        <v>97.41</v>
      </c>
      <c r="O10" s="1">
        <f t="shared" si="0"/>
        <v>97.41</v>
      </c>
    </row>
    <row r="11" spans="1:15" ht="18" x14ac:dyDescent="0.35">
      <c r="A11" s="13" t="s">
        <v>17</v>
      </c>
      <c r="B11" s="15">
        <f t="shared" si="2"/>
        <v>877.3</v>
      </c>
      <c r="D11" t="s">
        <v>4</v>
      </c>
      <c r="E11" s="1">
        <v>10500</v>
      </c>
      <c r="F11" s="1">
        <f>135.21+8968.37</f>
        <v>9103.58</v>
      </c>
      <c r="G11" s="2">
        <f t="shared" si="1"/>
        <v>11278.110000000002</v>
      </c>
      <c r="J11" t="s">
        <v>20</v>
      </c>
      <c r="K11" s="1"/>
      <c r="L11" s="1">
        <f>7261.78-2849.8-763.59</f>
        <v>3648.3899999999994</v>
      </c>
      <c r="M11">
        <f>29.22+166.83+107.17+113.66+205.6+80.06+66+126.57+128.82+70.08+205.64+108.24+90.93-98.03-723.26</f>
        <v>677.52999999999975</v>
      </c>
      <c r="N11">
        <f>4.95+48.39-5.85-6.72-4.53+34.9+35.16+59.92+67.04+27.05+46.54-32.32+140.82+191.92-27.6</f>
        <v>579.66999999999996</v>
      </c>
      <c r="O11" s="1">
        <f t="shared" si="0"/>
        <v>4905.5899999999992</v>
      </c>
    </row>
    <row r="12" spans="1:15" ht="18" x14ac:dyDescent="0.35">
      <c r="A12" s="13" t="s">
        <v>18</v>
      </c>
      <c r="B12" s="15">
        <f t="shared" si="2"/>
        <v>4094.02</v>
      </c>
      <c r="D12" t="s">
        <v>5</v>
      </c>
      <c r="E12" s="1">
        <v>10500</v>
      </c>
      <c r="F12" s="1">
        <f>200.16+13113.35</f>
        <v>13313.51</v>
      </c>
      <c r="G12" s="2">
        <f t="shared" si="1"/>
        <v>8464.6</v>
      </c>
      <c r="J12" t="s">
        <v>22</v>
      </c>
      <c r="K12" s="1"/>
      <c r="L12" s="1">
        <v>0</v>
      </c>
      <c r="O12" s="1">
        <f t="shared" si="0"/>
        <v>0</v>
      </c>
    </row>
    <row r="13" spans="1:15" ht="18" x14ac:dyDescent="0.35">
      <c r="A13" s="13" t="s">
        <v>19</v>
      </c>
      <c r="B13" s="15">
        <f t="shared" si="2"/>
        <v>97.41</v>
      </c>
      <c r="D13" t="s">
        <v>6</v>
      </c>
      <c r="E13" s="1">
        <v>7000</v>
      </c>
      <c r="F13" s="1">
        <f>205.81+9418.78</f>
        <v>9624.59</v>
      </c>
      <c r="G13" s="2">
        <f t="shared" si="1"/>
        <v>5840.01</v>
      </c>
      <c r="J13" t="s">
        <v>23</v>
      </c>
      <c r="K13" s="1"/>
      <c r="L13" s="1">
        <v>875.3</v>
      </c>
      <c r="O13" s="1">
        <f t="shared" si="0"/>
        <v>875.3</v>
      </c>
    </row>
    <row r="14" spans="1:15" ht="18" x14ac:dyDescent="0.35">
      <c r="A14" s="13" t="s">
        <v>20</v>
      </c>
      <c r="B14" s="15">
        <f t="shared" si="2"/>
        <v>4905.5899999999992</v>
      </c>
      <c r="D14" t="s">
        <v>7</v>
      </c>
      <c r="E14" s="1">
        <v>0</v>
      </c>
      <c r="F14" s="1">
        <f>255.6+2933.82</f>
        <v>3189.42</v>
      </c>
      <c r="G14" s="2">
        <f t="shared" si="1"/>
        <v>2650.59</v>
      </c>
      <c r="J14" t="s">
        <v>25</v>
      </c>
      <c r="K14" s="1"/>
      <c r="L14" s="1">
        <v>4816.8500000000004</v>
      </c>
      <c r="O14" s="1">
        <f t="shared" si="0"/>
        <v>4816.8500000000004</v>
      </c>
    </row>
    <row r="15" spans="1:15" ht="18" x14ac:dyDescent="0.35">
      <c r="A15" s="13" t="s">
        <v>22</v>
      </c>
      <c r="B15" s="15">
        <f t="shared" si="2"/>
        <v>0</v>
      </c>
      <c r="D15" t="s">
        <v>8</v>
      </c>
      <c r="E15" s="1">
        <v>7000</v>
      </c>
      <c r="F15" s="1">
        <f>199.18+4627.87</f>
        <v>4827.05</v>
      </c>
      <c r="G15" s="2">
        <f t="shared" si="1"/>
        <v>4823.54</v>
      </c>
      <c r="J15" t="s">
        <v>24</v>
      </c>
      <c r="K15" s="1"/>
      <c r="L15" s="1">
        <f>4963.1-701.46</f>
        <v>4261.6400000000003</v>
      </c>
      <c r="M15">
        <f>500</f>
        <v>500</v>
      </c>
      <c r="N15">
        <f>1537.5+500</f>
        <v>2037.5</v>
      </c>
      <c r="O15" s="1">
        <f t="shared" si="0"/>
        <v>6799.14</v>
      </c>
    </row>
    <row r="16" spans="1:15" ht="18" x14ac:dyDescent="0.35">
      <c r="A16" s="13" t="s">
        <v>23</v>
      </c>
      <c r="B16" s="15">
        <f t="shared" si="2"/>
        <v>875.3</v>
      </c>
      <c r="E16" s="1">
        <f>SUM(E4:E15)</f>
        <v>91000</v>
      </c>
      <c r="F16" s="1">
        <f>SUM(F4:F15)</f>
        <v>88191.360000000001</v>
      </c>
      <c r="G16" s="2"/>
      <c r="J16" t="s">
        <v>11</v>
      </c>
      <c r="K16" s="1">
        <f>26.65+13.99+10.99</f>
        <v>51.63</v>
      </c>
      <c r="L16" s="1">
        <v>3625.44</v>
      </c>
      <c r="M16">
        <f>669.8</f>
        <v>669.8</v>
      </c>
      <c r="N16">
        <f>61.5-74.84+39.15-39.03+92.4+585.3+17.94+64.05+383+2196+2196+561.18+48.76+61.5-148.8+16.82+1119.46+119.74+283.08+68.97+67.79+31.05+1003.02+670.85+33.29+155.48+155.48+1599.57+280.11+9.34+6.59+10+4.95-136+73.95+37.05+37.05</f>
        <v>11691.750000000002</v>
      </c>
      <c r="O16" s="1">
        <f t="shared" si="0"/>
        <v>16038.620000000003</v>
      </c>
    </row>
    <row r="17" spans="1:16" ht="18" x14ac:dyDescent="0.35">
      <c r="A17" s="13" t="s">
        <v>25</v>
      </c>
      <c r="B17" s="15">
        <f t="shared" si="2"/>
        <v>4816.8500000000004</v>
      </c>
      <c r="J17" t="s">
        <v>26</v>
      </c>
      <c r="K17" s="1"/>
      <c r="O17" s="1">
        <f t="shared" si="0"/>
        <v>0</v>
      </c>
    </row>
    <row r="18" spans="1:16" ht="18" x14ac:dyDescent="0.35">
      <c r="A18" s="13" t="s">
        <v>24</v>
      </c>
      <c r="B18" s="15">
        <f t="shared" si="2"/>
        <v>6799.14</v>
      </c>
      <c r="J18" t="s">
        <v>30</v>
      </c>
      <c r="K18" s="1"/>
      <c r="O18" s="1">
        <f t="shared" si="0"/>
        <v>0</v>
      </c>
    </row>
    <row r="19" spans="1:16" ht="18" x14ac:dyDescent="0.35">
      <c r="A19" s="13" t="s">
        <v>11</v>
      </c>
      <c r="B19" s="15">
        <f t="shared" si="2"/>
        <v>16038.620000000003</v>
      </c>
      <c r="J19" t="s">
        <v>29</v>
      </c>
      <c r="K19" s="1"/>
      <c r="L19" s="1">
        <f>3.22+3213.78-2973.63</f>
        <v>243.36999999999989</v>
      </c>
      <c r="M19">
        <f>15+15+15+15+15</f>
        <v>75</v>
      </c>
      <c r="N19">
        <f>26.13+28.25+28.25+28.25+19.85+28.25+31.64+35.03+39.55+44.07+48.59+54.24+17.04+1.69+59.89+66.67+73.45+81.36+41.48+1.66+90.4+99.44+99.6+1.68+109.61+120.91+93.96+1.67+133.34+146.9+1.63+61.29+106.05+2+1.56</f>
        <v>1825.38</v>
      </c>
      <c r="O19" s="1">
        <f t="shared" si="0"/>
        <v>2143.75</v>
      </c>
    </row>
    <row r="20" spans="1:16" ht="18" x14ac:dyDescent="0.35">
      <c r="A20" s="13" t="s">
        <v>26</v>
      </c>
      <c r="B20" s="15">
        <f t="shared" si="2"/>
        <v>0</v>
      </c>
      <c r="J20" t="s">
        <v>21</v>
      </c>
      <c r="K20" s="1"/>
      <c r="L20" s="1">
        <v>762.99</v>
      </c>
      <c r="M20">
        <f>73.63-72.33</f>
        <v>1.2999999999999972</v>
      </c>
      <c r="O20" s="1">
        <f t="shared" si="0"/>
        <v>764.29</v>
      </c>
    </row>
    <row r="21" spans="1:16" ht="18" x14ac:dyDescent="0.35">
      <c r="A21" s="13" t="s">
        <v>30</v>
      </c>
      <c r="B21" s="15">
        <f t="shared" si="2"/>
        <v>0</v>
      </c>
      <c r="K21" s="1">
        <f>SUM(K3:K20)</f>
        <v>12515.890000000001</v>
      </c>
      <c r="L21" s="1">
        <f t="shared" ref="L21:M21" si="3">SUM(L3:L20)</f>
        <v>52235.840000000004</v>
      </c>
      <c r="M21" s="1">
        <f t="shared" si="3"/>
        <v>4669.58</v>
      </c>
      <c r="N21" s="1">
        <f>SUM(N3:N20)</f>
        <v>18770.050000000003</v>
      </c>
      <c r="O21" s="1">
        <f>K21+L21+M21+N21</f>
        <v>88191.360000000001</v>
      </c>
    </row>
    <row r="22" spans="1:16" ht="18" x14ac:dyDescent="0.35">
      <c r="A22" s="13" t="s">
        <v>29</v>
      </c>
      <c r="B22" s="15">
        <f t="shared" si="2"/>
        <v>2143.75</v>
      </c>
      <c r="M22" s="1"/>
      <c r="N22" s="1"/>
    </row>
    <row r="23" spans="1:16" ht="18" x14ac:dyDescent="0.35">
      <c r="A23" s="13" t="s">
        <v>21</v>
      </c>
      <c r="B23" s="15">
        <f t="shared" si="2"/>
        <v>764.29</v>
      </c>
      <c r="J23" t="s">
        <v>44</v>
      </c>
      <c r="K23">
        <v>0</v>
      </c>
      <c r="L23" s="1">
        <f>784.06</f>
        <v>784.06</v>
      </c>
      <c r="M23">
        <v>0</v>
      </c>
      <c r="N23">
        <f>31.05</f>
        <v>31.05</v>
      </c>
      <c r="O23" s="1">
        <f>K23+L23+M23+N23</f>
        <v>815.1099999999999</v>
      </c>
      <c r="P23" s="2">
        <f>O23-F4</f>
        <v>0</v>
      </c>
    </row>
    <row r="24" spans="1:16" ht="18" x14ac:dyDescent="0.35">
      <c r="A24" s="13" t="s">
        <v>48</v>
      </c>
      <c r="B24" s="15">
        <f>SUM(B6:B23)</f>
        <v>88191.360000000001</v>
      </c>
      <c r="J24" t="s">
        <v>45</v>
      </c>
      <c r="K24">
        <f>119.72+901.18+107.17+901.18</f>
        <v>2029.25</v>
      </c>
      <c r="L24" s="1">
        <f>4834.99</f>
        <v>4834.99</v>
      </c>
      <c r="M24">
        <v>35</v>
      </c>
      <c r="N24">
        <f>79+25</f>
        <v>104</v>
      </c>
      <c r="O24" s="1">
        <f t="shared" ref="O24:O34" si="4">K24+L24+M24+N24</f>
        <v>7003.24</v>
      </c>
      <c r="P24" s="2">
        <f t="shared" ref="P24:P35" si="5">O24-F5</f>
        <v>0</v>
      </c>
    </row>
    <row r="25" spans="1:16" ht="18.600000000000001" thickBot="1" x14ac:dyDescent="0.4">
      <c r="A25" s="16"/>
      <c r="B25" s="17"/>
      <c r="J25" t="s">
        <v>39</v>
      </c>
      <c r="K25">
        <v>901.18</v>
      </c>
      <c r="L25" s="1">
        <v>3057.33</v>
      </c>
      <c r="M25">
        <v>35</v>
      </c>
      <c r="N25">
        <v>57</v>
      </c>
      <c r="O25" s="1">
        <f t="shared" si="4"/>
        <v>4050.5099999999998</v>
      </c>
      <c r="P25" s="2">
        <f t="shared" si="5"/>
        <v>0</v>
      </c>
    </row>
    <row r="26" spans="1:16" ht="18.600000000000001" thickBot="1" x14ac:dyDescent="0.4">
      <c r="A26" s="18" t="s">
        <v>49</v>
      </c>
      <c r="B26" s="19">
        <f>B3-B24</f>
        <v>-88191.360000000001</v>
      </c>
      <c r="J26" t="s">
        <v>0</v>
      </c>
      <c r="K26">
        <f>104.23+901.18</f>
        <v>1005.41</v>
      </c>
      <c r="L26" s="1">
        <v>4329.62</v>
      </c>
      <c r="M26">
        <f>35+274.87</f>
        <v>309.87</v>
      </c>
      <c r="N26">
        <v>800</v>
      </c>
      <c r="O26" s="1">
        <f t="shared" si="4"/>
        <v>6444.9</v>
      </c>
      <c r="P26" s="2">
        <f t="shared" si="5"/>
        <v>0</v>
      </c>
    </row>
    <row r="27" spans="1:16" x14ac:dyDescent="0.3">
      <c r="J27" t="s">
        <v>1</v>
      </c>
      <c r="K27">
        <f>119.72+901.18</f>
        <v>1020.9</v>
      </c>
      <c r="L27" s="1">
        <v>8313.67</v>
      </c>
      <c r="M27">
        <v>633.98</v>
      </c>
      <c r="N27">
        <v>3185</v>
      </c>
      <c r="O27" s="1">
        <f t="shared" si="4"/>
        <v>13153.55</v>
      </c>
      <c r="P27" s="2">
        <f t="shared" si="5"/>
        <v>0</v>
      </c>
    </row>
    <row r="28" spans="1:16" ht="15.6" x14ac:dyDescent="0.3">
      <c r="B28" s="5">
        <f>F16-B24</f>
        <v>0</v>
      </c>
      <c r="J28" t="s">
        <v>36</v>
      </c>
      <c r="K28">
        <f>135.21+901.18</f>
        <v>1036.3899999999999</v>
      </c>
      <c r="L28" s="1">
        <v>3339.46</v>
      </c>
      <c r="M28" s="1">
        <v>114.76</v>
      </c>
      <c r="N28">
        <v>5574</v>
      </c>
      <c r="O28" s="1">
        <f t="shared" si="4"/>
        <v>10064.61</v>
      </c>
      <c r="P28" s="2">
        <f t="shared" si="5"/>
        <v>0</v>
      </c>
    </row>
    <row r="29" spans="1:16" x14ac:dyDescent="0.3">
      <c r="J29" t="s">
        <v>3</v>
      </c>
      <c r="K29">
        <f>119.72+901.18</f>
        <v>1020.9</v>
      </c>
      <c r="L29" s="1">
        <v>5444.48</v>
      </c>
      <c r="M29">
        <v>135.91</v>
      </c>
      <c r="N29">
        <v>0</v>
      </c>
      <c r="O29" s="1">
        <f t="shared" si="4"/>
        <v>6601.2899999999991</v>
      </c>
      <c r="P29" s="2">
        <f t="shared" si="5"/>
        <v>0</v>
      </c>
    </row>
    <row r="30" spans="1:16" x14ac:dyDescent="0.3">
      <c r="J30" t="s">
        <v>46</v>
      </c>
      <c r="K30">
        <f>135.21+901.18</f>
        <v>1036.3899999999999</v>
      </c>
      <c r="L30" s="1">
        <v>4703.12</v>
      </c>
      <c r="M30">
        <v>228.07</v>
      </c>
      <c r="N30">
        <f>751+2385</f>
        <v>3136</v>
      </c>
      <c r="O30" s="1">
        <f t="shared" si="4"/>
        <v>9103.58</v>
      </c>
      <c r="P30" s="2">
        <f t="shared" si="5"/>
        <v>0</v>
      </c>
    </row>
    <row r="31" spans="1:16" x14ac:dyDescent="0.3">
      <c r="J31" t="s">
        <v>47</v>
      </c>
      <c r="K31">
        <f>200.16+901.18</f>
        <v>1101.3399999999999</v>
      </c>
      <c r="L31" s="1">
        <v>8712.36</v>
      </c>
      <c r="M31">
        <v>266.81</v>
      </c>
      <c r="N31">
        <v>3233</v>
      </c>
      <c r="O31" s="1">
        <f t="shared" si="4"/>
        <v>13313.51</v>
      </c>
      <c r="P31" s="2">
        <f t="shared" si="5"/>
        <v>0</v>
      </c>
    </row>
    <row r="32" spans="1:16" x14ac:dyDescent="0.3">
      <c r="J32" t="s">
        <v>6</v>
      </c>
      <c r="K32">
        <f>26.65+179.16+901.18</f>
        <v>1106.99</v>
      </c>
      <c r="L32" s="1">
        <v>4411.26</v>
      </c>
      <c r="M32">
        <v>2171.34</v>
      </c>
      <c r="N32">
        <v>1935</v>
      </c>
      <c r="O32" s="1">
        <f t="shared" si="4"/>
        <v>9624.59</v>
      </c>
      <c r="P32" s="2">
        <f t="shared" si="5"/>
        <v>0</v>
      </c>
    </row>
    <row r="33" spans="10:16" x14ac:dyDescent="0.3">
      <c r="J33" t="s">
        <v>7</v>
      </c>
      <c r="K33">
        <f>196.35+18.11+41.14+901.18</f>
        <v>1156.78</v>
      </c>
      <c r="L33" s="1">
        <v>1475.02</v>
      </c>
      <c r="M33">
        <v>557.62</v>
      </c>
      <c r="N33">
        <v>0</v>
      </c>
      <c r="O33" s="1">
        <f t="shared" si="4"/>
        <v>3189.42</v>
      </c>
      <c r="P33" s="2">
        <f t="shared" si="5"/>
        <v>0</v>
      </c>
    </row>
    <row r="34" spans="10:16" x14ac:dyDescent="0.3">
      <c r="J34" t="s">
        <v>8</v>
      </c>
      <c r="K34">
        <f>171.22+2.98+13.99+10.99+901.18</f>
        <v>1100.3599999999999</v>
      </c>
      <c r="L34" s="1">
        <v>2830.47</v>
      </c>
      <c r="M34">
        <v>181.22</v>
      </c>
      <c r="N34">
        <f>580+135</f>
        <v>715</v>
      </c>
      <c r="O34" s="1">
        <f t="shared" si="4"/>
        <v>4827.05</v>
      </c>
      <c r="P34" s="2">
        <f t="shared" si="5"/>
        <v>0</v>
      </c>
    </row>
    <row r="35" spans="10:16" x14ac:dyDescent="0.3">
      <c r="K35">
        <f>SUM(K23:K34)</f>
        <v>12515.89</v>
      </c>
      <c r="L35">
        <f t="shared" ref="L35:O35" si="6">SUM(L23:L34)</f>
        <v>52235.839999999997</v>
      </c>
      <c r="M35">
        <f>SUM(M23:M34)</f>
        <v>4669.5800000000008</v>
      </c>
      <c r="N35">
        <f>SUM(N23:N34)</f>
        <v>18770.05</v>
      </c>
      <c r="O35">
        <f t="shared" si="6"/>
        <v>88191.360000000001</v>
      </c>
      <c r="P35" s="2">
        <f t="shared" si="5"/>
        <v>0</v>
      </c>
    </row>
    <row r="36" spans="10:16" x14ac:dyDescent="0.3">
      <c r="L36" s="1">
        <f>L21-L35</f>
        <v>0</v>
      </c>
      <c r="M36" s="2">
        <f>M21-M35</f>
        <v>0</v>
      </c>
      <c r="N36" s="2">
        <f>N21-N35</f>
        <v>0</v>
      </c>
    </row>
    <row r="38" spans="10:16" x14ac:dyDescent="0.3">
      <c r="N38" t="s">
        <v>50</v>
      </c>
    </row>
    <row r="39" spans="10:16" x14ac:dyDescent="0.3">
      <c r="N39">
        <v>2.76</v>
      </c>
    </row>
    <row r="40" spans="10:16" x14ac:dyDescent="0.3">
      <c r="N40">
        <v>2.81</v>
      </c>
    </row>
    <row r="41" spans="10:16" x14ac:dyDescent="0.3">
      <c r="N41">
        <v>2.68</v>
      </c>
    </row>
    <row r="42" spans="10:16" x14ac:dyDescent="0.3">
      <c r="N42">
        <v>2.27</v>
      </c>
    </row>
    <row r="43" spans="10:16" x14ac:dyDescent="0.3">
      <c r="N43">
        <v>12.73</v>
      </c>
    </row>
    <row r="44" spans="10:16" x14ac:dyDescent="0.3">
      <c r="N44">
        <v>2.5499999999999998</v>
      </c>
    </row>
    <row r="45" spans="10:16" x14ac:dyDescent="0.3">
      <c r="N45">
        <v>2.77</v>
      </c>
    </row>
    <row r="46" spans="10:16" x14ac:dyDescent="0.3">
      <c r="N46">
        <v>4.62</v>
      </c>
    </row>
    <row r="47" spans="10:16" x14ac:dyDescent="0.3">
      <c r="N47">
        <v>5.43</v>
      </c>
    </row>
    <row r="48" spans="10:16" x14ac:dyDescent="0.3">
      <c r="N48">
        <v>43.53</v>
      </c>
    </row>
    <row r="49" spans="14:14" x14ac:dyDescent="0.3">
      <c r="N49">
        <v>12.02</v>
      </c>
    </row>
    <row r="50" spans="14:14" x14ac:dyDescent="0.3">
      <c r="N50">
        <v>3.86</v>
      </c>
    </row>
    <row r="51" spans="14:14" x14ac:dyDescent="0.3">
      <c r="N51">
        <f>SUM(N39:N50)</f>
        <v>98.03</v>
      </c>
    </row>
  </sheetData>
  <mergeCells count="1">
    <mergeCell ref="A1:B1"/>
  </mergeCells>
  <phoneticPr fontId="5" type="noConversion"/>
  <pageMargins left="1.75" right="1" top="1" bottom="1" header="0.5" footer="0.5"/>
  <pageSetup scale="30" fitToHeight="0" orientation="portrait" r:id="rId1"/>
  <ignoredErrors>
    <ignoredError sqref="K28:K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Subedi, Santosh (US)</dc:creator>
  <cp:lastModifiedBy>Subedi, Santosh (US)</cp:lastModifiedBy>
  <cp:lastPrinted>2025-03-11T14:12:09Z</cp:lastPrinted>
  <dcterms:created xsi:type="dcterms:W3CDTF">2024-03-14T18:36:49Z</dcterms:created>
  <dcterms:modified xsi:type="dcterms:W3CDTF">2025-03-11T14:12:13Z</dcterms:modified>
</cp:coreProperties>
</file>