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lmi Rose\#BOM all article\"/>
    </mc:Choice>
  </mc:AlternateContent>
  <bookViews>
    <workbookView xWindow="240" yWindow="45" windowWidth="6540" windowHeight="2400" tabRatio="597" firstSheet="10" activeTab="11"/>
  </bookViews>
  <sheets>
    <sheet name="114x76x31 " sheetId="20" state="hidden" r:id="rId1"/>
    <sheet name="114x38x23 " sheetId="13" state="hidden" r:id="rId2"/>
    <sheet name="38x38x31 " sheetId="11" state="hidden" r:id="rId3"/>
    <sheet name="detail klappar  " sheetId="8" state="hidden" r:id="rId4"/>
    <sheet name="76x57x96" sheetId="6" state="hidden" r:id="rId5"/>
    <sheet name="76x57x31" sheetId="1" state="hidden" r:id="rId6"/>
    <sheet name="detail klappar" sheetId="17" state="hidden" r:id="rId7"/>
    <sheet name="Lk. Cirkus Playmat (AP &amp; NA)" sheetId="19" state="hidden" r:id="rId8"/>
    <sheet name="Poang OKE" sheetId="71" r:id="rId9"/>
    <sheet name="Poang article" sheetId="70" r:id="rId10"/>
    <sheet name="New 2024" sheetId="68" r:id="rId11"/>
    <sheet name="Running artcl JUN 2025 " sheetId="73" r:id="rId12"/>
    <sheet name="Running artcl jan 2025" sheetId="72" r:id="rId13"/>
    <sheet name="Running artcl jan 2024" sheetId="69" r:id="rId14"/>
    <sheet name="Running artcl Sept 2023 " sheetId="67" r:id="rId15"/>
    <sheet name="Running artcl Agust 2023" sheetId="66" r:id="rId16"/>
    <sheet name="Running artcl juli 2022" sheetId="61" r:id="rId17"/>
    <sheet name="Sactbs 22" sheetId="65" r:id="rId18"/>
    <sheet name="SACTBAS 21" sheetId="63" r:id="rId19"/>
    <sheet name="Bertile&amp;Padruf" sheetId="62" r:id="rId20"/>
    <sheet name="Running artcl juli 2019" sheetId="59" r:id="rId21"/>
    <sheet name="JATTELIK" sheetId="60" r:id="rId22"/>
    <sheet name="SACTBS 2018" sheetId="57" r:id="rId23"/>
    <sheet name="Running artcl (OKTBER 2018)" sheetId="58" r:id="rId24"/>
    <sheet name="SACTBS 2017" sheetId="54" r:id="rId25"/>
    <sheet name="SACTBS 2016" sheetId="42" r:id="rId26"/>
    <sheet name="SACTBS 2015 " sheetId="53" r:id="rId27"/>
    <sheet name="SACTBS 2014 " sheetId="36" r:id="rId28"/>
    <sheet name="Running artcl (SEPTEMBER 17 (2)" sheetId="56" r:id="rId29"/>
    <sheet name="Running artcl (OKTBER 2017 )" sheetId="43" r:id="rId30"/>
    <sheet name="ALL ITEM SIZE CTN( RUNNING )" sheetId="34" r:id="rId31"/>
    <sheet name="Gosig range" sheetId="29" r:id="rId32"/>
    <sheet name="POLYBAG SIZE" sheetId="24" r:id="rId33"/>
    <sheet name="SACBTAS &amp;  SBAS 2013" sheetId="27" r:id="rId34"/>
    <sheet name="KAKI PALLET" sheetId="28" r:id="rId35"/>
    <sheet name="Sheet2" sheetId="64" r:id="rId36"/>
  </sheets>
  <definedNames>
    <definedName name="_xlnm.Print_Area" localSheetId="5">'76x57x31'!$1:$65</definedName>
    <definedName name="_xlnm.Print_Area" localSheetId="30">'ALL ITEM SIZE CTN( RUNNING )'!$A$1:$I$55</definedName>
    <definedName name="_xlnm.Print_Area" localSheetId="3">'detail klappar  '!#REF!</definedName>
    <definedName name="_xlnm.Print_Area" localSheetId="31">'Gosig range'!$A$1:$H$21</definedName>
    <definedName name="_xlnm.Print_Area" localSheetId="34">'KAKI PALLET'!$A$1:$I$38</definedName>
    <definedName name="_xlnm.Print_Area" localSheetId="7">'Lk. Cirkus Playmat (AP &amp; NA)'!$A$1:$F$14</definedName>
    <definedName name="_xlnm.Print_Area" localSheetId="9">'Poang article'!$A$16:$E$29</definedName>
    <definedName name="_xlnm.Print_Area" localSheetId="32">'POLYBAG SIZE'!$A$1:$G$38</definedName>
    <definedName name="_xlnm.Print_Area" localSheetId="29">'Running artcl (OKTBER 2017 )'!$A$1:$I$93</definedName>
    <definedName name="_xlnm.Print_Area" localSheetId="23">'Running artcl (OKTBER 2018)'!$A$1:$I$54</definedName>
    <definedName name="_xlnm.Print_Area" localSheetId="28">'Running artcl (SEPTEMBER 17 (2)'!#REF!</definedName>
    <definedName name="_xlnm.Print_Area" localSheetId="15">'Running artcl Agust 2023'!$A$1:$H$56</definedName>
    <definedName name="_xlnm.Print_Area" localSheetId="13">'Running artcl jan 2024'!$A$1:$G$118</definedName>
    <definedName name="_xlnm.Print_Area" localSheetId="14">'Running artcl Sept 2023 '!$A$1:$G$61</definedName>
    <definedName name="_xlnm.Print_Area" localSheetId="33">'SACBTAS &amp;  SBAS 2013'!$A$27:$H$38</definedName>
    <definedName name="_xlnm.Print_Area" localSheetId="18">'SACTBAS 21'!$A$2:$E$13</definedName>
    <definedName name="_xlnm.Print_Area" localSheetId="27">'SACTBS 2014 '!$A$1:$I$20</definedName>
    <definedName name="_xlnm.Print_Area" localSheetId="26">'SACTBS 2015 '!$A$14:$G$22</definedName>
    <definedName name="_xlnm.Print_Area" localSheetId="25">'SACTBS 2016'!$A$34:$F$41</definedName>
    <definedName name="_xlnm.Print_Area" localSheetId="24">'SACTBS 2017'!$A$12:$G$17</definedName>
    <definedName name="_xlnm.Print_Area" localSheetId="22">'SACTBS 2018'!#REF!</definedName>
    <definedName name="_xlnm.Print_Area" localSheetId="17">'Sactbs 22'!$A$2:$C$15</definedName>
    <definedName name="_xlnm.Print_Area" localSheetId="35">Sheet2!$A$4:$I$38</definedName>
    <definedName name="_xlnm.Print_Titles" localSheetId="5">'76x57x31'!$3:$3</definedName>
    <definedName name="_xlnm.Print_Titles" localSheetId="30">'ALL ITEM SIZE CTN( RUNNING )'!$1:$3</definedName>
    <definedName name="_xlnm.Print_Titles" localSheetId="3">'detail klappar  '!#REF!</definedName>
    <definedName name="_xlnm.Print_Titles" localSheetId="32">'POLYBAG SIZE'!$3:$3</definedName>
    <definedName name="_xlnm.Print_Titles" localSheetId="29">'Running artcl (OKTBER 2017 )'!$1:$4</definedName>
    <definedName name="_xlnm.Print_Titles" localSheetId="23">'Running artcl (OKTBER 2018)'!$1:$4</definedName>
    <definedName name="_xlnm.Print_Titles" localSheetId="28">'Running artcl (SEPTEMBER 17 (2)'!#REF!</definedName>
    <definedName name="_xlnm.Print_Titles" localSheetId="15">'Running artcl Agust 2023'!$1:$4</definedName>
    <definedName name="_xlnm.Print_Titles" localSheetId="13">'Running artcl jan 2024'!$1:$4</definedName>
    <definedName name="_xlnm.Print_Titles" localSheetId="12">'Running artcl jan 2025'!$1:$4</definedName>
    <definedName name="_xlnm.Print_Titles" localSheetId="20">'Running artcl juli 2019'!$1:$4</definedName>
    <definedName name="_xlnm.Print_Titles" localSheetId="16">'Running artcl juli 2022'!$1:$4</definedName>
    <definedName name="_xlnm.Print_Titles" localSheetId="11">'Running artcl JUN 2025 '!$1:$4</definedName>
    <definedName name="_xlnm.Print_Titles" localSheetId="14">'Running artcl Sept 2023 '!$1:$4</definedName>
  </definedNames>
  <calcPr calcId="162913"/>
</workbook>
</file>

<file path=xl/calcChain.xml><?xml version="1.0" encoding="utf-8"?>
<calcChain xmlns="http://schemas.openxmlformats.org/spreadsheetml/2006/main">
  <c r="D86" i="73" l="1"/>
  <c r="D85" i="73"/>
  <c r="D84" i="73"/>
  <c r="D83" i="73"/>
  <c r="D82" i="73"/>
  <c r="D81" i="73"/>
  <c r="D80" i="73"/>
  <c r="D79" i="73"/>
  <c r="D78" i="73"/>
  <c r="D77" i="73"/>
  <c r="D76" i="73"/>
  <c r="D75" i="73"/>
  <c r="D74" i="73"/>
  <c r="D73" i="73"/>
  <c r="D72" i="73"/>
  <c r="D71" i="73"/>
  <c r="D70" i="73"/>
  <c r="D52" i="73"/>
  <c r="D51" i="73"/>
  <c r="D50" i="73"/>
  <c r="D49" i="73"/>
  <c r="D48" i="73"/>
  <c r="D47" i="73"/>
  <c r="D46" i="73"/>
  <c r="D45" i="73"/>
  <c r="D44" i="73"/>
  <c r="D43" i="73"/>
  <c r="D42" i="73"/>
  <c r="D38" i="73"/>
  <c r="D37" i="73"/>
  <c r="D36" i="73"/>
  <c r="D35" i="73"/>
  <c r="D34" i="73"/>
  <c r="D33" i="73"/>
  <c r="D32" i="73"/>
  <c r="D31" i="73"/>
  <c r="D30" i="73"/>
  <c r="D29" i="73"/>
  <c r="D28" i="73"/>
  <c r="D27" i="73"/>
  <c r="D22" i="73"/>
  <c r="D21" i="73"/>
  <c r="D20" i="73"/>
  <c r="D19" i="73"/>
  <c r="D18" i="73"/>
  <c r="D17" i="73"/>
  <c r="D16" i="73"/>
  <c r="D13" i="73"/>
  <c r="D12" i="73"/>
  <c r="D10" i="73"/>
  <c r="D9" i="73"/>
  <c r="D8" i="73"/>
  <c r="D7" i="73"/>
  <c r="D6" i="73"/>
  <c r="D5" i="73"/>
  <c r="D94" i="72" l="1"/>
  <c r="D59" i="72"/>
  <c r="D87" i="72" l="1"/>
  <c r="D98" i="72" l="1"/>
  <c r="D97" i="72"/>
  <c r="D96" i="72"/>
  <c r="D95" i="72"/>
  <c r="D93" i="72"/>
  <c r="D92" i="72"/>
  <c r="D91" i="72"/>
  <c r="D90" i="72"/>
  <c r="D89" i="72"/>
  <c r="D88" i="72"/>
  <c r="D86" i="72"/>
  <c r="D85" i="72"/>
  <c r="D84" i="72"/>
  <c r="D83" i="72"/>
  <c r="D82" i="72"/>
  <c r="D61" i="72"/>
  <c r="D60" i="72"/>
  <c r="D58" i="72"/>
  <c r="D57" i="72"/>
  <c r="D56" i="72"/>
  <c r="D55" i="72"/>
  <c r="D54" i="72"/>
  <c r="D53" i="72"/>
  <c r="D52" i="72"/>
  <c r="D51" i="72"/>
  <c r="D50" i="72"/>
  <c r="D49" i="72"/>
  <c r="D43" i="72"/>
  <c r="D42" i="72"/>
  <c r="D41" i="72"/>
  <c r="D40" i="72"/>
  <c r="D39" i="72"/>
  <c r="D38" i="72"/>
  <c r="D37" i="72"/>
  <c r="D36" i="72"/>
  <c r="D35" i="72"/>
  <c r="D34" i="72"/>
  <c r="D33" i="72"/>
  <c r="D32" i="72"/>
  <c r="D27" i="72"/>
  <c r="D26" i="72"/>
  <c r="D25" i="72"/>
  <c r="D24" i="72"/>
  <c r="D23" i="72"/>
  <c r="D22" i="72"/>
  <c r="D21" i="72"/>
  <c r="D16" i="72"/>
  <c r="D15" i="72"/>
  <c r="D14" i="72"/>
  <c r="D13" i="72"/>
  <c r="D12" i="72"/>
  <c r="D10" i="72"/>
  <c r="D9" i="72"/>
  <c r="D8" i="72"/>
  <c r="D7" i="72"/>
  <c r="D6" i="72"/>
  <c r="D5" i="72"/>
  <c r="D8" i="69"/>
  <c r="D103" i="69"/>
  <c r="D102" i="69"/>
  <c r="D101" i="69"/>
  <c r="D111" i="69" l="1"/>
  <c r="D107" i="69"/>
  <c r="D106" i="69"/>
  <c r="D110" i="69"/>
  <c r="D105" i="69"/>
  <c r="D113" i="69"/>
  <c r="D114" i="69"/>
  <c r="D104" i="69"/>
  <c r="D109" i="69"/>
  <c r="D96" i="69" l="1"/>
  <c r="D86" i="69" l="1"/>
  <c r="D85" i="69"/>
  <c r="D84" i="69"/>
  <c r="D83" i="69"/>
  <c r="D82" i="69"/>
  <c r="D27" i="69" l="1"/>
  <c r="H19" i="71" l="1"/>
  <c r="H18" i="71"/>
  <c r="H17" i="71"/>
  <c r="H16" i="71"/>
  <c r="H13" i="71"/>
  <c r="H12" i="71"/>
  <c r="H11" i="71"/>
  <c r="H10" i="71"/>
  <c r="H7" i="71"/>
  <c r="H6" i="71"/>
  <c r="H5" i="71"/>
  <c r="H4" i="71"/>
  <c r="D95" i="69" l="1"/>
  <c r="D93" i="69"/>
  <c r="D26" i="69" l="1"/>
  <c r="D25" i="69"/>
  <c r="D24" i="69" l="1"/>
  <c r="D22" i="69" l="1"/>
  <c r="D23" i="69"/>
  <c r="D21" i="69"/>
  <c r="D19" i="67"/>
  <c r="D18" i="67"/>
  <c r="D17" i="67"/>
  <c r="D7" i="69" l="1"/>
  <c r="D92" i="69"/>
  <c r="D91" i="69"/>
  <c r="D90" i="69"/>
  <c r="D89" i="69"/>
  <c r="D88" i="69"/>
  <c r="D87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4" i="69"/>
  <c r="D43" i="69"/>
  <c r="D42" i="69"/>
  <c r="D41" i="69"/>
  <c r="D40" i="69"/>
  <c r="D39" i="69"/>
  <c r="D38" i="69"/>
  <c r="D37" i="69"/>
  <c r="D36" i="69"/>
  <c r="D35" i="69"/>
  <c r="D34" i="69"/>
  <c r="D33" i="69"/>
  <c r="D32" i="69"/>
  <c r="D16" i="69"/>
  <c r="D15" i="69"/>
  <c r="D14" i="69"/>
  <c r="D13" i="69"/>
  <c r="D12" i="69"/>
  <c r="D10" i="69"/>
  <c r="D9" i="69"/>
  <c r="D6" i="69"/>
  <c r="D5" i="69"/>
  <c r="E5" i="68" l="1"/>
  <c r="E19" i="68" l="1"/>
  <c r="E18" i="68"/>
  <c r="E17" i="68"/>
  <c r="E16" i="68"/>
  <c r="E15" i="68"/>
  <c r="E14" i="68"/>
  <c r="E13" i="68"/>
  <c r="E12" i="68"/>
  <c r="E11" i="68"/>
  <c r="E10" i="68"/>
  <c r="E9" i="68"/>
  <c r="E8" i="68"/>
  <c r="E7" i="68"/>
  <c r="E6" i="68"/>
  <c r="E4" i="68"/>
  <c r="E3" i="68"/>
  <c r="E2" i="68"/>
  <c r="D53" i="67" l="1"/>
  <c r="D52" i="67"/>
  <c r="D51" i="67"/>
  <c r="D59" i="67" l="1"/>
  <c r="D58" i="67"/>
  <c r="D57" i="67"/>
  <c r="D56" i="67"/>
  <c r="D55" i="67"/>
  <c r="D54" i="67" l="1"/>
  <c r="D50" i="67"/>
  <c r="D49" i="67"/>
  <c r="D48" i="67"/>
  <c r="D47" i="67"/>
  <c r="D46" i="67"/>
  <c r="D45" i="67"/>
  <c r="D44" i="67"/>
  <c r="D43" i="67"/>
  <c r="D42" i="67"/>
  <c r="D41" i="67"/>
  <c r="D40" i="67"/>
  <c r="D39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6" i="67"/>
  <c r="D15" i="67"/>
  <c r="D14" i="67"/>
  <c r="D13" i="67"/>
  <c r="D12" i="67"/>
  <c r="D11" i="67"/>
  <c r="D9" i="67"/>
  <c r="D8" i="67"/>
  <c r="E7" i="67"/>
  <c r="D6" i="67"/>
  <c r="D5" i="67"/>
  <c r="D22" i="66" l="1"/>
  <c r="D53" i="66" l="1"/>
  <c r="D52" i="66"/>
  <c r="D51" i="66"/>
  <c r="D50" i="66" l="1"/>
  <c r="D21" i="66" l="1"/>
  <c r="D20" i="66"/>
  <c r="D13" i="66" l="1"/>
  <c r="D18" i="66" l="1"/>
  <c r="D19" i="66"/>
  <c r="D17" i="66"/>
  <c r="D54" i="66"/>
  <c r="D49" i="66"/>
  <c r="D48" i="66"/>
  <c r="D47" i="66"/>
  <c r="D46" i="66"/>
  <c r="D45" i="66"/>
  <c r="D44" i="66"/>
  <c r="D43" i="66"/>
  <c r="D42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16" i="66"/>
  <c r="D15" i="66"/>
  <c r="D14" i="66"/>
  <c r="D12" i="66"/>
  <c r="D11" i="66"/>
  <c r="D9" i="66"/>
  <c r="D8" i="66"/>
  <c r="E7" i="66"/>
  <c r="D6" i="66"/>
  <c r="D5" i="66"/>
  <c r="D39" i="54" l="1"/>
  <c r="D38" i="54"/>
  <c r="D37" i="54"/>
  <c r="D40" i="54" l="1"/>
  <c r="D43" i="54"/>
  <c r="D42" i="54"/>
  <c r="D41" i="54"/>
  <c r="D52" i="61" l="1"/>
  <c r="C56" i="61"/>
  <c r="D56" i="61" s="1"/>
  <c r="D54" i="61"/>
  <c r="D53" i="61"/>
  <c r="D55" i="61"/>
  <c r="D49" i="61"/>
  <c r="D17" i="61"/>
  <c r="D18" i="61"/>
  <c r="D8" i="61"/>
  <c r="D14" i="61"/>
  <c r="D51" i="61"/>
  <c r="D50" i="61"/>
  <c r="D48" i="61" l="1"/>
  <c r="D47" i="61"/>
  <c r="D14" i="63" l="1"/>
  <c r="D13" i="63"/>
  <c r="E45" i="61" l="1"/>
  <c r="E44" i="61"/>
  <c r="E43" i="61"/>
  <c r="D5" i="61"/>
  <c r="D42" i="61"/>
  <c r="E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6" i="61"/>
  <c r="D13" i="61"/>
  <c r="D11" i="61"/>
  <c r="D10" i="61"/>
  <c r="D9" i="61"/>
  <c r="E7" i="61"/>
  <c r="D6" i="61"/>
  <c r="E40" i="59" l="1"/>
  <c r="B51" i="60" l="1"/>
  <c r="B50" i="60"/>
  <c r="B49" i="60"/>
  <c r="B48" i="60"/>
  <c r="B47" i="60"/>
  <c r="E7" i="59" l="1"/>
  <c r="E35" i="59"/>
  <c r="E47" i="59" l="1"/>
  <c r="E43" i="59" l="1"/>
  <c r="E38" i="59" l="1"/>
  <c r="E37" i="59"/>
  <c r="E36" i="59"/>
  <c r="E34" i="59"/>
  <c r="E33" i="59"/>
  <c r="E32" i="59"/>
  <c r="E31" i="59"/>
  <c r="E30" i="59"/>
  <c r="E29" i="59"/>
  <c r="E28" i="59"/>
  <c r="E27" i="59"/>
  <c r="E26" i="59"/>
  <c r="E25" i="59"/>
  <c r="E21" i="59"/>
  <c r="E39" i="59"/>
  <c r="E51" i="59"/>
  <c r="E50" i="59"/>
  <c r="E49" i="59"/>
  <c r="C48" i="59"/>
  <c r="E48" i="59" s="1"/>
  <c r="F44" i="59"/>
  <c r="E42" i="59"/>
  <c r="E41" i="59"/>
  <c r="E20" i="59"/>
  <c r="E18" i="59"/>
  <c r="E17" i="59"/>
  <c r="E16" i="59"/>
  <c r="E15" i="59"/>
  <c r="E13" i="59"/>
  <c r="E12" i="59"/>
  <c r="E11" i="59"/>
  <c r="F10" i="59"/>
  <c r="E9" i="59"/>
  <c r="F8" i="59"/>
  <c r="E6" i="59"/>
  <c r="E5" i="59"/>
  <c r="E42" i="58"/>
  <c r="E41" i="58"/>
  <c r="D18" i="57"/>
  <c r="D17" i="57"/>
  <c r="D14" i="57"/>
  <c r="D15" i="57"/>
  <c r="D16" i="57"/>
  <c r="D13" i="57"/>
  <c r="E15" i="58" l="1"/>
  <c r="E49" i="58"/>
  <c r="E48" i="58"/>
  <c r="E47" i="58"/>
  <c r="C46" i="58"/>
  <c r="E46" i="58" s="1"/>
  <c r="F43" i="58"/>
  <c r="E36" i="58"/>
  <c r="E35" i="58"/>
  <c r="E34" i="58"/>
  <c r="E33" i="58"/>
  <c r="E32" i="58"/>
  <c r="E31" i="58"/>
  <c r="E30" i="58"/>
  <c r="E29" i="58"/>
  <c r="E28" i="58"/>
  <c r="E27" i="58"/>
  <c r="F26" i="58"/>
  <c r="F25" i="58"/>
  <c r="F24" i="58"/>
  <c r="E20" i="58"/>
  <c r="E19" i="58"/>
  <c r="E18" i="58"/>
  <c r="E17" i="58"/>
  <c r="E16" i="58"/>
  <c r="E14" i="58"/>
  <c r="E13" i="58"/>
  <c r="F12" i="58"/>
  <c r="E11" i="58"/>
  <c r="E10" i="58"/>
  <c r="E9" i="58"/>
  <c r="E8" i="58"/>
  <c r="F7" i="58"/>
  <c r="E6" i="58"/>
  <c r="E5" i="58"/>
  <c r="E77" i="43"/>
  <c r="E76" i="43"/>
  <c r="E49" i="43"/>
  <c r="F82" i="43"/>
  <c r="E67" i="43"/>
  <c r="E68" i="43"/>
  <c r="E75" i="43"/>
  <c r="E47" i="43" l="1"/>
  <c r="E88" i="43"/>
  <c r="E66" i="43"/>
  <c r="E69" i="43"/>
  <c r="E70" i="43"/>
  <c r="E71" i="43"/>
  <c r="E72" i="43"/>
  <c r="E73" i="43"/>
  <c r="E74" i="43"/>
  <c r="E65" i="43"/>
  <c r="E50" i="43"/>
  <c r="E51" i="43"/>
  <c r="E48" i="43"/>
  <c r="F34" i="43"/>
  <c r="E31" i="43"/>
  <c r="E30" i="43"/>
  <c r="E18" i="43"/>
  <c r="E17" i="43"/>
  <c r="E16" i="43"/>
  <c r="E27" i="56" l="1"/>
  <c r="E26" i="56"/>
  <c r="E29" i="56"/>
  <c r="E28" i="56"/>
  <c r="E25" i="56"/>
  <c r="E24" i="56"/>
  <c r="E23" i="56"/>
  <c r="E22" i="56"/>
  <c r="E21" i="56"/>
  <c r="E19" i="56"/>
  <c r="F18" i="56"/>
  <c r="F17" i="56"/>
  <c r="E16" i="56"/>
  <c r="E15" i="56"/>
  <c r="E14" i="56"/>
  <c r="E13" i="56"/>
  <c r="E12" i="56"/>
  <c r="F11" i="56"/>
  <c r="E10" i="56"/>
  <c r="E9" i="56"/>
  <c r="E8" i="56"/>
  <c r="E7" i="56"/>
  <c r="E6" i="56"/>
  <c r="E5" i="56"/>
  <c r="D27" i="54" l="1"/>
  <c r="D26" i="54"/>
  <c r="D24" i="54"/>
  <c r="D23" i="54"/>
  <c r="D22" i="54"/>
  <c r="C85" i="43"/>
  <c r="E85" i="43" s="1"/>
  <c r="E25" i="43" l="1"/>
  <c r="E24" i="43"/>
  <c r="D9" i="54" l="1"/>
  <c r="D7" i="54"/>
  <c r="E6" i="54"/>
  <c r="D6" i="54" s="1"/>
  <c r="D11" i="54"/>
  <c r="D10" i="54"/>
  <c r="D5" i="54"/>
  <c r="L12" i="42" l="1"/>
  <c r="L8" i="42"/>
  <c r="L7" i="42"/>
  <c r="L6" i="42"/>
  <c r="E29" i="43" l="1"/>
  <c r="E53" i="43"/>
  <c r="E52" i="43"/>
  <c r="D37" i="42"/>
  <c r="D38" i="42"/>
  <c r="D39" i="42"/>
  <c r="C40" i="42"/>
  <c r="E87" i="43"/>
  <c r="D24" i="42"/>
  <c r="D23" i="42"/>
  <c r="E25" i="42"/>
  <c r="E26" i="42"/>
  <c r="E27" i="42"/>
  <c r="E29" i="42"/>
  <c r="D13" i="42" l="1"/>
  <c r="D12" i="42"/>
  <c r="D11" i="42"/>
  <c r="D10" i="42"/>
  <c r="D9" i="42"/>
  <c r="D14" i="42" l="1"/>
  <c r="E7" i="42" l="1"/>
  <c r="E6" i="42" l="1"/>
  <c r="E8" i="42"/>
  <c r="E5" i="42"/>
  <c r="E22" i="53"/>
  <c r="E21" i="53"/>
  <c r="E20" i="53"/>
  <c r="E19" i="53"/>
  <c r="E18" i="53"/>
  <c r="E13" i="53"/>
  <c r="E12" i="53"/>
  <c r="E11" i="53"/>
  <c r="E10" i="53"/>
  <c r="E9" i="53"/>
  <c r="E8" i="53"/>
  <c r="E7" i="53"/>
  <c r="E6" i="53"/>
  <c r="E5" i="53"/>
  <c r="E45" i="43" l="1"/>
  <c r="E23" i="43" l="1"/>
  <c r="E14" i="43"/>
  <c r="F13" i="43"/>
  <c r="E19" i="43"/>
  <c r="F9" i="43"/>
  <c r="F6" i="43"/>
  <c r="F22" i="43" l="1"/>
  <c r="E21" i="43"/>
  <c r="E20" i="43" l="1"/>
  <c r="E8" i="43"/>
  <c r="F15" i="43" l="1"/>
  <c r="F60" i="43" l="1"/>
  <c r="F61" i="43"/>
  <c r="F62" i="43"/>
  <c r="F63" i="43"/>
  <c r="F64" i="43"/>
  <c r="F59" i="43"/>
  <c r="F58" i="43"/>
  <c r="F7" i="43"/>
  <c r="F43" i="43"/>
  <c r="F42" i="43"/>
  <c r="F41" i="43"/>
  <c r="F40" i="43"/>
  <c r="E39" i="43"/>
  <c r="F39" i="43" s="1"/>
  <c r="F38" i="43"/>
  <c r="F57" i="43"/>
  <c r="F37" i="43"/>
  <c r="F36" i="43"/>
  <c r="E86" i="43"/>
  <c r="F33" i="43"/>
  <c r="E32" i="43"/>
  <c r="E28" i="43"/>
  <c r="E27" i="43"/>
  <c r="E26" i="43"/>
  <c r="E12" i="43"/>
  <c r="E11" i="43"/>
  <c r="E10" i="43"/>
  <c r="E5" i="43"/>
  <c r="E18" i="36" l="1"/>
  <c r="F17" i="34"/>
  <c r="F35" i="34" l="1"/>
  <c r="C22" i="34" l="1"/>
  <c r="E22" i="34" s="1"/>
  <c r="F25" i="34" l="1"/>
  <c r="E37" i="27" l="1"/>
  <c r="F19" i="36"/>
  <c r="F17" i="36"/>
  <c r="F16" i="36"/>
  <c r="F15" i="36"/>
  <c r="F14" i="36"/>
  <c r="F13" i="36"/>
  <c r="F12" i="36"/>
  <c r="F11" i="36"/>
  <c r="F9" i="36"/>
  <c r="F8" i="36"/>
  <c r="F7" i="36"/>
  <c r="F6" i="36"/>
  <c r="F5" i="36"/>
  <c r="F55" i="34" l="1"/>
  <c r="F54" i="34"/>
  <c r="F53" i="34"/>
  <c r="F52" i="34"/>
  <c r="F51" i="34"/>
  <c r="F50" i="34"/>
  <c r="F49" i="34"/>
  <c r="E44" i="34"/>
  <c r="E38" i="34"/>
  <c r="E43" i="34"/>
  <c r="E42" i="34"/>
  <c r="E41" i="34"/>
  <c r="E40" i="34"/>
  <c r="E39" i="34"/>
  <c r="E37" i="34"/>
  <c r="E36" i="34"/>
  <c r="E24" i="34"/>
  <c r="E23" i="34"/>
  <c r="F34" i="34"/>
  <c r="F33" i="34"/>
  <c r="F32" i="34"/>
  <c r="F31" i="34"/>
  <c r="F29" i="34"/>
  <c r="F28" i="34"/>
  <c r="F27" i="34"/>
  <c r="F26" i="34"/>
  <c r="F19" i="34"/>
  <c r="E16" i="34"/>
  <c r="E15" i="34"/>
  <c r="E14" i="34"/>
  <c r="E13" i="34"/>
  <c r="E12" i="34"/>
  <c r="E11" i="34"/>
  <c r="E9" i="34"/>
  <c r="E8" i="34"/>
  <c r="E7" i="34"/>
  <c r="E6" i="34"/>
  <c r="E5" i="34"/>
  <c r="E4" i="34"/>
  <c r="E20" i="29"/>
  <c r="D17" i="29"/>
  <c r="E11" i="29"/>
  <c r="D18" i="29" l="1"/>
  <c r="D10" i="29"/>
  <c r="D9" i="29"/>
  <c r="D8" i="29"/>
  <c r="D7" i="29"/>
  <c r="D15" i="27"/>
  <c r="D13" i="29" l="1"/>
  <c r="D16" i="29"/>
  <c r="D15" i="29"/>
  <c r="D14" i="29"/>
  <c r="D6" i="29"/>
  <c r="D5" i="29"/>
  <c r="D18" i="27" l="1"/>
  <c r="D17" i="27"/>
  <c r="D16" i="27"/>
  <c r="D14" i="27"/>
  <c r="D13" i="27"/>
  <c r="E25" i="27"/>
  <c r="E31" i="24" l="1"/>
  <c r="E38" i="27"/>
  <c r="E36" i="27"/>
  <c r="E35" i="27"/>
  <c r="E34" i="27"/>
  <c r="E33" i="27"/>
  <c r="E32" i="27"/>
  <c r="E24" i="27"/>
  <c r="E23" i="27"/>
  <c r="E22" i="27"/>
  <c r="E21" i="27"/>
  <c r="E20" i="27"/>
  <c r="E19" i="27"/>
  <c r="E12" i="27"/>
  <c r="E11" i="27"/>
  <c r="E10" i="27"/>
  <c r="E9" i="27"/>
  <c r="E8" i="27"/>
  <c r="E7" i="27"/>
  <c r="E6" i="27"/>
  <c r="E5" i="27"/>
  <c r="F36" i="24" l="1"/>
  <c r="F35" i="24"/>
  <c r="F31" i="24"/>
  <c r="F27" i="24"/>
  <c r="F23" i="24"/>
  <c r="E38" i="24"/>
  <c r="F38" i="24" s="1"/>
  <c r="E25" i="24"/>
  <c r="F25" i="24" s="1"/>
  <c r="E24" i="24"/>
  <c r="F24" i="24" s="1"/>
  <c r="E28" i="24"/>
  <c r="F28" i="24" s="1"/>
  <c r="E30" i="24"/>
  <c r="F30" i="24" s="1"/>
  <c r="E37" i="24"/>
  <c r="F37" i="24" s="1"/>
  <c r="E26" i="24"/>
  <c r="F26" i="24" s="1"/>
  <c r="E34" i="24"/>
  <c r="F34" i="24" s="1"/>
  <c r="E29" i="24"/>
  <c r="F29" i="24" s="1"/>
  <c r="E23" i="24"/>
  <c r="E33" i="24"/>
  <c r="F33" i="24" s="1"/>
  <c r="E32" i="24"/>
  <c r="F32" i="24" s="1"/>
  <c r="E22" i="24"/>
  <c r="F22" i="24" s="1"/>
  <c r="E21" i="24"/>
  <c r="F21" i="24" s="1"/>
  <c r="E20" i="24"/>
  <c r="F20" i="24" s="1"/>
  <c r="E19" i="24"/>
  <c r="F19" i="24" s="1"/>
  <c r="E18" i="24"/>
  <c r="F18" i="24" s="1"/>
  <c r="E17" i="24"/>
  <c r="F17" i="24" s="1"/>
  <c r="E16" i="24"/>
  <c r="F16" i="24" s="1"/>
  <c r="E15" i="24"/>
  <c r="F15" i="24" s="1"/>
  <c r="E14" i="24"/>
  <c r="F14" i="24" s="1"/>
  <c r="E13" i="24"/>
  <c r="F13" i="24" s="1"/>
  <c r="E11" i="24"/>
  <c r="E10" i="24"/>
  <c r="F10" i="24" s="1"/>
  <c r="E9" i="24"/>
  <c r="F9" i="24" s="1"/>
  <c r="E8" i="24"/>
  <c r="F8" i="24" s="1"/>
  <c r="E7" i="24"/>
  <c r="F7" i="24" s="1"/>
  <c r="E6" i="24"/>
  <c r="F6" i="24" s="1"/>
  <c r="E5" i="24"/>
  <c r="F5" i="24" s="1"/>
  <c r="E4" i="24"/>
  <c r="F4" i="24" s="1"/>
  <c r="G52" i="1" l="1"/>
  <c r="G51" i="1"/>
  <c r="G49" i="1"/>
  <c r="G48" i="1"/>
  <c r="G47" i="1"/>
  <c r="F30" i="1"/>
  <c r="E30" i="1"/>
  <c r="F56" i="1"/>
  <c r="E56" i="1"/>
  <c r="F43" i="1"/>
  <c r="E43" i="1"/>
  <c r="E38" i="1"/>
  <c r="D43" i="1"/>
  <c r="D44" i="1"/>
  <c r="G62" i="1"/>
  <c r="F26" i="1"/>
  <c r="E26" i="1"/>
  <c r="F22" i="1"/>
  <c r="E22" i="1"/>
  <c r="E18" i="1"/>
  <c r="F18" i="1"/>
  <c r="F14" i="1"/>
  <c r="E14" i="1"/>
  <c r="G61" i="1"/>
  <c r="G56" i="1"/>
  <c r="G44" i="1"/>
  <c r="G43" i="1"/>
  <c r="G39" i="1"/>
  <c r="G38" i="1"/>
  <c r="G34" i="1"/>
  <c r="G35" i="1"/>
  <c r="G31" i="1"/>
  <c r="G27" i="1"/>
  <c r="G26" i="1"/>
  <c r="G23" i="1"/>
  <c r="G19" i="1"/>
  <c r="G18" i="1"/>
  <c r="G15" i="1"/>
  <c r="G14" i="1"/>
  <c r="C51" i="1"/>
  <c r="C61" i="1"/>
  <c r="C56" i="1"/>
  <c r="C47" i="1"/>
  <c r="C44" i="1"/>
  <c r="C43" i="1"/>
  <c r="C39" i="1"/>
  <c r="C18" i="1"/>
  <c r="C15" i="1"/>
  <c r="C14" i="1"/>
  <c r="C64" i="1"/>
  <c r="C45" i="1"/>
  <c r="C40" i="1"/>
  <c r="C41" i="1"/>
  <c r="C38" i="1"/>
  <c r="C31" i="1"/>
  <c r="C27" i="1"/>
  <c r="C4" i="1"/>
  <c r="G63" i="1" l="1"/>
  <c r="D64" i="1"/>
  <c r="D61" i="1"/>
  <c r="D45" i="1"/>
  <c r="F40" i="1"/>
  <c r="F39" i="1"/>
  <c r="F38" i="1"/>
  <c r="D40" i="1"/>
  <c r="D39" i="1"/>
  <c r="D38" i="1"/>
  <c r="D34" i="1"/>
  <c r="D35" i="1"/>
  <c r="D36" i="1"/>
  <c r="D30" i="1"/>
  <c r="D27" i="1"/>
  <c r="D26" i="1"/>
  <c r="D23" i="1"/>
  <c r="D22" i="1"/>
  <c r="D20" i="1"/>
  <c r="D19" i="1"/>
  <c r="D18" i="1"/>
  <c r="D16" i="1"/>
  <c r="D15" i="1"/>
  <c r="D14" i="1"/>
  <c r="H43" i="1" l="1"/>
  <c r="H44" i="1"/>
  <c r="H31" i="1"/>
  <c r="H30" i="1"/>
  <c r="H19" i="1"/>
  <c r="G64" i="1"/>
  <c r="G59" i="1"/>
  <c r="G57" i="1"/>
  <c r="G45" i="1"/>
  <c r="G40" i="1"/>
  <c r="G28" i="1" l="1"/>
  <c r="G22" i="1"/>
  <c r="G16" i="1"/>
  <c r="G9" i="1"/>
  <c r="G4" i="1"/>
  <c r="C26" i="1"/>
  <c r="C22" i="1"/>
  <c r="C52" i="1"/>
  <c r="C49" i="1"/>
  <c r="C30" i="1"/>
  <c r="C24" i="1"/>
  <c r="C23" i="1"/>
  <c r="C19" i="1"/>
  <c r="H24" i="1" l="1"/>
  <c r="H22" i="1"/>
  <c r="I22" i="1"/>
  <c r="G41" i="1" l="1"/>
  <c r="G32" i="1"/>
  <c r="G30" i="1"/>
  <c r="G20" i="1"/>
  <c r="G11" i="1"/>
  <c r="G6" i="1"/>
  <c r="C28" i="1"/>
  <c r="C9" i="1"/>
  <c r="D32" i="1"/>
  <c r="D31" i="1"/>
  <c r="D28" i="1"/>
  <c r="F47" i="1"/>
  <c r="E47" i="1"/>
  <c r="D49" i="1"/>
  <c r="G4" i="13"/>
  <c r="C62" i="1" l="1"/>
  <c r="C16" i="1"/>
  <c r="H4" i="13" l="1"/>
  <c r="H36" i="1"/>
  <c r="G7" i="6" l="1"/>
  <c r="G5" i="6"/>
  <c r="G8" i="6"/>
  <c r="G4" i="6"/>
  <c r="G10" i="1"/>
  <c r="G7" i="1"/>
  <c r="G5" i="1"/>
  <c r="C7" i="6"/>
  <c r="C5" i="6"/>
  <c r="C34" i="1"/>
  <c r="C59" i="1"/>
  <c r="C20" i="1"/>
  <c r="H6" i="13" l="1"/>
  <c r="G6" i="13"/>
  <c r="D62" i="1" l="1"/>
  <c r="D57" i="1"/>
  <c r="C4" i="13"/>
  <c r="C63" i="1" l="1"/>
  <c r="C32" i="1"/>
  <c r="C11" i="1"/>
  <c r="C5" i="1"/>
  <c r="G50" i="1" l="1"/>
  <c r="G36" i="1"/>
  <c r="G24" i="1"/>
  <c r="G8" i="1"/>
  <c r="C8" i="6" l="1"/>
  <c r="C4" i="6"/>
  <c r="C57" i="1"/>
  <c r="C6" i="1"/>
  <c r="G5" i="11" l="1"/>
  <c r="C36" i="1"/>
  <c r="C35" i="1"/>
  <c r="C33" i="1"/>
  <c r="C10" i="1"/>
  <c r="C7" i="1"/>
  <c r="G4" i="11" l="1"/>
  <c r="G12" i="1"/>
  <c r="C58" i="1"/>
  <c r="H6" i="11"/>
  <c r="H4" i="11"/>
  <c r="D59" i="1" l="1"/>
  <c r="D56" i="1"/>
  <c r="G6" i="11"/>
  <c r="E46" i="1" l="1"/>
  <c r="E34" i="1"/>
  <c r="F36" i="1"/>
  <c r="D24" i="1"/>
  <c r="D12" i="1"/>
  <c r="D11" i="1"/>
  <c r="D10" i="1"/>
  <c r="D9" i="1"/>
  <c r="D13" i="1" s="1"/>
  <c r="F4" i="1"/>
  <c r="E4" i="1"/>
  <c r="D4" i="1"/>
  <c r="G6" i="6"/>
  <c r="C6" i="13"/>
  <c r="C5" i="13"/>
  <c r="C6" i="11"/>
  <c r="C5" i="11"/>
  <c r="C4" i="11"/>
  <c r="C12" i="1"/>
  <c r="D7" i="1" l="1"/>
  <c r="G5" i="13"/>
  <c r="G7" i="13" s="1"/>
  <c r="F4" i="13" l="1"/>
  <c r="E4" i="13"/>
  <c r="F4" i="11"/>
  <c r="F34" i="1"/>
  <c r="D6" i="1"/>
  <c r="D5" i="1"/>
  <c r="C13" i="1" l="1"/>
  <c r="E51" i="1"/>
  <c r="F41" i="1"/>
  <c r="D41" i="1"/>
  <c r="F51" i="1" l="1"/>
  <c r="D52" i="1" l="1"/>
  <c r="H28" i="8" l="1"/>
  <c r="H7" i="6"/>
  <c r="G46" i="1"/>
  <c r="H10" i="1"/>
  <c r="H27" i="17"/>
  <c r="D4" i="13"/>
  <c r="D4" i="11"/>
  <c r="G90" i="1" l="1"/>
  <c r="G86" i="1"/>
  <c r="G82" i="1"/>
  <c r="G78" i="1"/>
  <c r="G70" i="1"/>
  <c r="E13" i="1"/>
  <c r="G74" i="1"/>
  <c r="G6" i="20" l="1"/>
  <c r="D17" i="1" l="1"/>
  <c r="D8" i="1"/>
  <c r="C8" i="1"/>
  <c r="G29" i="1" l="1"/>
  <c r="F90" i="1"/>
  <c r="E90" i="1"/>
  <c r="F86" i="1"/>
  <c r="E86" i="1"/>
  <c r="F65" i="1"/>
  <c r="E65" i="1"/>
  <c r="G58" i="1"/>
  <c r="G60" i="1" s="1"/>
  <c r="F4" i="6" l="1"/>
  <c r="E4" i="6"/>
  <c r="D8" i="6"/>
  <c r="D7" i="6"/>
  <c r="D5" i="6"/>
  <c r="D4" i="6"/>
  <c r="H6" i="8"/>
  <c r="C6" i="6"/>
  <c r="H5" i="6"/>
  <c r="C7" i="13"/>
  <c r="D28" i="8"/>
  <c r="H6" i="17" l="1"/>
  <c r="F7" i="13"/>
  <c r="E4" i="11"/>
  <c r="E7" i="11"/>
  <c r="D6" i="11"/>
  <c r="D5" i="11"/>
  <c r="D63" i="1"/>
  <c r="D6" i="20"/>
  <c r="E28" i="8"/>
  <c r="G28" i="8"/>
  <c r="G6" i="8"/>
  <c r="G88" i="1"/>
  <c r="G6" i="17" l="1"/>
  <c r="G27" i="17"/>
  <c r="F6" i="17"/>
  <c r="E6" i="17"/>
  <c r="D6" i="13" l="1"/>
  <c r="D5" i="13"/>
  <c r="D7" i="13" s="1"/>
  <c r="G92" i="1"/>
  <c r="D78" i="1"/>
  <c r="F6" i="8"/>
  <c r="C90" i="1" l="1"/>
  <c r="G84" i="1"/>
  <c r="G83" i="1"/>
  <c r="G80" i="1"/>
  <c r="E37" i="1" l="1"/>
  <c r="D34" i="19" l="1"/>
  <c r="D14" i="19" l="1"/>
  <c r="E27" i="17" l="1"/>
  <c r="D27" i="17"/>
  <c r="C27" i="17"/>
  <c r="J27" i="17" s="1"/>
  <c r="B27" i="17"/>
  <c r="K27" i="17" s="1"/>
  <c r="C6" i="17"/>
  <c r="J6" i="17" s="1"/>
  <c r="B6" i="17"/>
  <c r="K6" i="17" l="1"/>
  <c r="H93" i="1"/>
  <c r="D92" i="1"/>
  <c r="C92" i="1" l="1"/>
  <c r="I92" i="1" s="1"/>
  <c r="G91" i="1"/>
  <c r="G93" i="1" s="1"/>
  <c r="D91" i="1"/>
  <c r="C91" i="1"/>
  <c r="C93" i="1" l="1"/>
  <c r="I91" i="1"/>
  <c r="I90" i="1"/>
  <c r="F93" i="1"/>
  <c r="E93" i="1"/>
  <c r="D90" i="1"/>
  <c r="D93" i="1" s="1"/>
  <c r="H89" i="1"/>
  <c r="D88" i="1"/>
  <c r="C88" i="1"/>
  <c r="I88" i="1" s="1"/>
  <c r="G87" i="1"/>
  <c r="D87" i="1"/>
  <c r="C87" i="1"/>
  <c r="F89" i="1"/>
  <c r="E89" i="1"/>
  <c r="D86" i="1"/>
  <c r="C86" i="1"/>
  <c r="H85" i="1"/>
  <c r="G85" i="1"/>
  <c r="D84" i="1"/>
  <c r="C84" i="1"/>
  <c r="I84" i="1" s="1"/>
  <c r="D83" i="1"/>
  <c r="C83" i="1"/>
  <c r="I83" i="1" s="1"/>
  <c r="C89" i="1" l="1"/>
  <c r="I87" i="1"/>
  <c r="D89" i="1"/>
  <c r="I93" i="1"/>
  <c r="I86" i="1"/>
  <c r="G89" i="1"/>
  <c r="I89" i="1"/>
  <c r="F82" i="1"/>
  <c r="F85" i="1" s="1"/>
  <c r="E82" i="1" l="1"/>
  <c r="E85" i="1" s="1"/>
  <c r="D82" i="1"/>
  <c r="D85" i="1" s="1"/>
  <c r="C82" i="1"/>
  <c r="H81" i="1"/>
  <c r="C85" i="1" l="1"/>
  <c r="I82" i="1"/>
  <c r="I85" i="1" s="1"/>
  <c r="D80" i="1"/>
  <c r="D81" i="1" s="1"/>
  <c r="C80" i="1"/>
  <c r="I80" i="1" s="1"/>
  <c r="G79" i="1"/>
  <c r="G81" i="1" s="1"/>
  <c r="D79" i="1"/>
  <c r="C79" i="1"/>
  <c r="I79" i="1" s="1"/>
  <c r="F78" i="1"/>
  <c r="F81" i="1" s="1"/>
  <c r="E78" i="1"/>
  <c r="E81" i="1" s="1"/>
  <c r="C78" i="1"/>
  <c r="C81" i="1" s="1"/>
  <c r="H77" i="1"/>
  <c r="G76" i="1"/>
  <c r="D76" i="1"/>
  <c r="C76" i="1"/>
  <c r="I76" i="1" s="1"/>
  <c r="G75" i="1"/>
  <c r="D75" i="1"/>
  <c r="C75" i="1"/>
  <c r="I75" i="1" s="1"/>
  <c r="F74" i="1"/>
  <c r="F77" i="1" s="1"/>
  <c r="E74" i="1"/>
  <c r="E77" i="1" s="1"/>
  <c r="D74" i="1"/>
  <c r="C74" i="1"/>
  <c r="C77" i="1" l="1"/>
  <c r="D77" i="1"/>
  <c r="G77" i="1"/>
  <c r="I74" i="1"/>
  <c r="I77" i="1" s="1"/>
  <c r="I78" i="1"/>
  <c r="I81" i="1" s="1"/>
  <c r="G72" i="1"/>
  <c r="D72" i="1"/>
  <c r="C72" i="1"/>
  <c r="I72" i="1" s="1"/>
  <c r="G71" i="1" l="1"/>
  <c r="G73" i="1" s="1"/>
  <c r="D71" i="1"/>
  <c r="C71" i="1"/>
  <c r="I71" i="1" s="1"/>
  <c r="H70" i="1" l="1"/>
  <c r="H73" i="1" s="1"/>
  <c r="F70" i="1"/>
  <c r="F73" i="1" s="1"/>
  <c r="E70" i="1"/>
  <c r="E73" i="1" s="1"/>
  <c r="D70" i="1"/>
  <c r="D73" i="1" s="1"/>
  <c r="C70" i="1"/>
  <c r="C73" i="1" s="1"/>
  <c r="H65" i="1"/>
  <c r="I64" i="1"/>
  <c r="C65" i="1"/>
  <c r="I62" i="1"/>
  <c r="I61" i="1"/>
  <c r="D65" i="1"/>
  <c r="H60" i="1"/>
  <c r="I59" i="1"/>
  <c r="D58" i="1"/>
  <c r="D60" i="1" s="1"/>
  <c r="I58" i="1"/>
  <c r="I57" i="1"/>
  <c r="H55" i="1"/>
  <c r="G54" i="1"/>
  <c r="D54" i="1"/>
  <c r="C54" i="1"/>
  <c r="G53" i="1"/>
  <c r="D53" i="1"/>
  <c r="C53" i="1"/>
  <c r="I53" i="1" l="1"/>
  <c r="I54" i="1"/>
  <c r="I56" i="1"/>
  <c r="I60" i="1" s="1"/>
  <c r="C60" i="1"/>
  <c r="I63" i="1"/>
  <c r="G65" i="1"/>
  <c r="I70" i="1"/>
  <c r="I73" i="1" s="1"/>
  <c r="I65" i="1"/>
  <c r="I52" i="1"/>
  <c r="G55" i="1"/>
  <c r="F55" i="1"/>
  <c r="E55" i="1"/>
  <c r="D51" i="1"/>
  <c r="D55" i="1" s="1"/>
  <c r="C55" i="1"/>
  <c r="I51" i="1" l="1"/>
  <c r="I55" i="1" s="1"/>
  <c r="D48" i="1" l="1"/>
  <c r="C48" i="1"/>
  <c r="H47" i="1"/>
  <c r="H50" i="1" s="1"/>
  <c r="F50" i="1"/>
  <c r="E50" i="1"/>
  <c r="D47" i="1"/>
  <c r="D50" i="1" s="1"/>
  <c r="C50" i="1"/>
  <c r="I49" i="1" s="1"/>
  <c r="C46" i="1"/>
  <c r="H45" i="1"/>
  <c r="I44" i="1"/>
  <c r="H46" i="1"/>
  <c r="F46" i="1"/>
  <c r="D46" i="1"/>
  <c r="G42" i="1"/>
  <c r="C42" i="1"/>
  <c r="I41" i="1"/>
  <c r="I40" i="1"/>
  <c r="I45" i="1" l="1"/>
  <c r="I47" i="1"/>
  <c r="I48" i="1"/>
  <c r="I50" i="1" s="1"/>
  <c r="I43" i="1"/>
  <c r="I46" i="1" s="1"/>
  <c r="H39" i="1"/>
  <c r="I39" i="1" s="1"/>
  <c r="H38" i="1"/>
  <c r="H42" i="1" s="1"/>
  <c r="F42" i="1"/>
  <c r="E42" i="1"/>
  <c r="I38" i="1" l="1"/>
  <c r="I42" i="1" s="1"/>
  <c r="D42" i="1"/>
  <c r="I36" i="1"/>
  <c r="H35" i="1" l="1"/>
  <c r="I35" i="1" s="1"/>
  <c r="F35" i="1"/>
  <c r="F37" i="1" s="1"/>
  <c r="H34" i="1"/>
  <c r="H37" i="1" s="1"/>
  <c r="G37" i="1"/>
  <c r="D37" i="1"/>
  <c r="C37" i="1"/>
  <c r="G33" i="1"/>
  <c r="H32" i="1"/>
  <c r="I31" i="1"/>
  <c r="H33" i="1"/>
  <c r="F33" i="1"/>
  <c r="E33" i="1"/>
  <c r="D33" i="1"/>
  <c r="C29" i="1"/>
  <c r="H28" i="1"/>
  <c r="I28" i="1" s="1"/>
  <c r="H27" i="1"/>
  <c r="I27" i="1" s="1"/>
  <c r="H26" i="1"/>
  <c r="F29" i="1"/>
  <c r="D29" i="1"/>
  <c r="C25" i="1"/>
  <c r="I24" i="1"/>
  <c r="H29" i="1" l="1"/>
  <c r="I26" i="1"/>
  <c r="I29" i="1" s="1"/>
  <c r="I30" i="1"/>
  <c r="I32" i="1"/>
  <c r="I34" i="1"/>
  <c r="I37" i="1" s="1"/>
  <c r="G25" i="1"/>
  <c r="I23" i="1" l="1"/>
  <c r="I33" i="1"/>
  <c r="H25" i="1"/>
  <c r="F25" i="1"/>
  <c r="E25" i="1"/>
  <c r="D25" i="1"/>
  <c r="H21" i="1"/>
  <c r="I25" i="1" l="1"/>
  <c r="C21" i="1"/>
  <c r="G21" i="1"/>
  <c r="I18" i="1"/>
  <c r="F21" i="1"/>
  <c r="E21" i="1"/>
  <c r="D21" i="1"/>
  <c r="G17" i="1"/>
  <c r="C17" i="1"/>
  <c r="H16" i="1"/>
  <c r="H15" i="1"/>
  <c r="I15" i="1" s="1"/>
  <c r="H14" i="1"/>
  <c r="H17" i="1" s="1"/>
  <c r="F17" i="1"/>
  <c r="E17" i="1"/>
  <c r="H13" i="1"/>
  <c r="I14" i="1" l="1"/>
  <c r="I16" i="1"/>
  <c r="I19" i="1"/>
  <c r="I21" i="1" s="1"/>
  <c r="I20" i="1"/>
  <c r="I17" i="1"/>
  <c r="I12" i="1" l="1"/>
  <c r="G13" i="1"/>
  <c r="I10" i="1"/>
  <c r="I9" i="1"/>
  <c r="H8" i="1"/>
  <c r="I7" i="1"/>
  <c r="I5" i="1"/>
  <c r="I4" i="1"/>
  <c r="F13" i="1"/>
  <c r="I6" i="1" l="1"/>
  <c r="I11" i="1"/>
  <c r="I13" i="1" s="1"/>
  <c r="I8" i="1"/>
  <c r="H23" i="6" l="1"/>
  <c r="G21" i="6"/>
  <c r="D21" i="6" l="1"/>
  <c r="G20" i="6"/>
  <c r="D20" i="6"/>
  <c r="C20" i="6"/>
  <c r="I20" i="6" s="1"/>
  <c r="G19" i="6"/>
  <c r="D19" i="6"/>
  <c r="C19" i="6"/>
  <c r="I19" i="6" s="1"/>
  <c r="G18" i="6"/>
  <c r="G23" i="6" s="1"/>
  <c r="F18" i="6" l="1"/>
  <c r="F23" i="6" s="1"/>
  <c r="E18" i="6"/>
  <c r="E23" i="6" s="1"/>
  <c r="D18" i="6"/>
  <c r="D23" i="6" s="1"/>
  <c r="C18" i="6"/>
  <c r="G9" i="6"/>
  <c r="F9" i="6" s="1"/>
  <c r="E9" i="6"/>
  <c r="C9" i="6"/>
  <c r="I8" i="6"/>
  <c r="I7" i="6"/>
  <c r="H6" i="6"/>
  <c r="H9" i="6" s="1"/>
  <c r="D6" i="6"/>
  <c r="D9" i="6" s="1"/>
  <c r="I5" i="6"/>
  <c r="I4" i="6"/>
  <c r="I6" i="6" l="1"/>
  <c r="C23" i="6"/>
  <c r="I21" i="6" s="1"/>
  <c r="I18" i="6"/>
  <c r="I23" i="6" s="1"/>
  <c r="I9" i="6"/>
  <c r="F28" i="8" l="1"/>
  <c r="J28" i="8" s="1"/>
  <c r="B28" i="8"/>
  <c r="K28" i="8" s="1"/>
  <c r="E6" i="8"/>
  <c r="D6" i="8"/>
  <c r="J6" i="8" s="1"/>
  <c r="B6" i="8"/>
  <c r="K6" i="8" l="1"/>
  <c r="G11" i="11" l="1"/>
  <c r="D11" i="11"/>
  <c r="C11" i="11"/>
  <c r="I10" i="11"/>
  <c r="H9" i="11"/>
  <c r="I9" i="11" s="1"/>
  <c r="H8" i="11"/>
  <c r="I8" i="11" s="1"/>
  <c r="F8" i="11"/>
  <c r="E8" i="11"/>
  <c r="G7" i="11"/>
  <c r="F7" i="11"/>
  <c r="D7" i="11"/>
  <c r="C7" i="11"/>
  <c r="I6" i="11"/>
  <c r="H5" i="11"/>
  <c r="I5" i="11" s="1"/>
  <c r="H7" i="11"/>
  <c r="I4" i="11" l="1"/>
  <c r="F11" i="11"/>
  <c r="E11" i="11" s="1"/>
  <c r="I11" i="11"/>
  <c r="H11" i="11" s="1"/>
  <c r="I7" i="11"/>
  <c r="G11" i="13" l="1"/>
  <c r="D11" i="13"/>
  <c r="C11" i="13"/>
  <c r="I10" i="13"/>
  <c r="H9" i="13"/>
  <c r="H8" i="13"/>
  <c r="I8" i="13" s="1"/>
  <c r="F8" i="13"/>
  <c r="E8" i="13"/>
  <c r="I9" i="13" l="1"/>
  <c r="I11" i="13" s="1"/>
  <c r="H11" i="13" s="1"/>
  <c r="F11" i="13"/>
  <c r="E11" i="13" s="1"/>
  <c r="E7" i="13" l="1"/>
  <c r="I6" i="13" l="1"/>
  <c r="H5" i="13"/>
  <c r="I5" i="13" s="1"/>
  <c r="H7" i="13" l="1"/>
  <c r="G11" i="20"/>
  <c r="D11" i="20"/>
  <c r="E8" i="20" s="1"/>
  <c r="C11" i="20"/>
  <c r="I10" i="20"/>
  <c r="H9" i="20"/>
  <c r="H8" i="20"/>
  <c r="I8" i="20" s="1"/>
  <c r="F8" i="20"/>
  <c r="H7" i="20"/>
  <c r="G7" i="20"/>
  <c r="C6" i="20"/>
  <c r="I6" i="20" s="1"/>
  <c r="D5" i="20"/>
  <c r="C5" i="20"/>
  <c r="I5" i="20" s="1"/>
  <c r="F4" i="20"/>
  <c r="F7" i="20" s="1"/>
  <c r="E4" i="20"/>
  <c r="E7" i="20" s="1"/>
  <c r="D4" i="20"/>
  <c r="D7" i="20" s="1"/>
  <c r="C4" i="20"/>
  <c r="C7" i="20" l="1"/>
  <c r="I4" i="20"/>
  <c r="I9" i="20"/>
  <c r="I11" i="20" s="1"/>
  <c r="H11" i="20" s="1"/>
  <c r="F11" i="20"/>
  <c r="E11" i="20" s="1"/>
  <c r="I4" i="13"/>
  <c r="I7" i="13" s="1"/>
  <c r="I7" i="20"/>
  <c r="E29" i="1" l="1"/>
  <c r="D28" i="42" l="1"/>
  <c r="E23" i="59" l="1"/>
  <c r="E24" i="59"/>
  <c r="E22" i="59"/>
  <c r="E19" i="59" l="1"/>
  <c r="D94" i="69" l="1"/>
</calcChain>
</file>

<file path=xl/comments1.xml><?xml version="1.0" encoding="utf-8"?>
<comments xmlns="http://schemas.openxmlformats.org/spreadsheetml/2006/main">
  <authors>
    <author>user</author>
    <author>fitri</author>
  </authors>
  <commentList>
    <comment ref="C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PO.120106 -1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PO.120111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F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G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H6" authorId="1" shapeId="0">
      <text>
        <r>
          <rPr>
            <b/>
            <sz val="8"/>
            <color indexed="81"/>
            <rFont val="Tahoma"/>
            <family val="2"/>
          </rPr>
          <t>fitri:</t>
        </r>
        <r>
          <rPr>
            <sz val="10"/>
            <color indexed="81"/>
            <rFont val="Tahoma"/>
            <family val="2"/>
          </rPr>
          <t xml:space="preserve">
PO. 120222-2</t>
        </r>
      </text>
    </comment>
    <comment ref="C2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PO.120106 -1</t>
        </r>
      </text>
    </comment>
    <comment ref="D2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PO.120111</t>
        </r>
      </text>
    </comment>
    <comment ref="E2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F2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G2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PO.120222 -2</t>
        </r>
      </text>
    </comment>
    <comment ref="H28" authorId="1" shapeId="0">
      <text>
        <r>
          <rPr>
            <b/>
            <sz val="8"/>
            <color indexed="81"/>
            <rFont val="Tahoma"/>
            <family val="2"/>
          </rPr>
          <t>fitri:</t>
        </r>
        <r>
          <rPr>
            <sz val="10"/>
            <color indexed="81"/>
            <rFont val="Tahoma"/>
            <family val="2"/>
          </rPr>
          <t xml:space="preserve">
PO. 120222-2</t>
        </r>
      </text>
    </comment>
  </commentList>
</comments>
</file>

<file path=xl/comments2.xml><?xml version="1.0" encoding="utf-8"?>
<comments xmlns="http://schemas.openxmlformats.org/spreadsheetml/2006/main">
  <authors>
    <author>user</author>
    <author>fitri</author>
  </authors>
  <commentList>
    <comment ref="C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PO.120106-1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PO.120111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PO.120222 -1</t>
        </r>
      </text>
    </comment>
    <comment ref="F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PO.120222 -1</t>
        </r>
      </text>
    </comment>
    <comment ref="G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PO.120222 -1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PO.120106 -1</t>
        </r>
      </text>
    </comment>
    <comment ref="D2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PO.120111</t>
        </r>
      </text>
    </comment>
    <comment ref="E2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PO.120222 -1</t>
        </r>
      </text>
    </comment>
    <comment ref="G2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PO.120222 -1</t>
        </r>
      </text>
    </comment>
    <comment ref="H27" authorId="1" shapeId="0">
      <text>
        <r>
          <rPr>
            <sz val="10"/>
            <color indexed="81"/>
            <rFont val="Tahoma"/>
            <family val="2"/>
          </rPr>
          <t>PO : 120222 -1</t>
        </r>
      </text>
    </comment>
  </commentList>
</comments>
</file>

<file path=xl/comments3.xml><?xml version="1.0" encoding="utf-8"?>
<comments xmlns="http://schemas.openxmlformats.org/spreadsheetml/2006/main">
  <authors>
    <author>evie</author>
  </authors>
  <commentList>
    <comment ref="B83" authorId="0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NEXT PO 710*583*50</t>
        </r>
      </text>
    </comment>
  </commentList>
</comments>
</file>

<file path=xl/comments4.xml><?xml version="1.0" encoding="utf-8"?>
<comments xmlns="http://schemas.openxmlformats.org/spreadsheetml/2006/main">
  <authors>
    <author>EVI</author>
    <author>evie</author>
  </authors>
  <commentList>
    <comment ref="C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0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30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31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3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4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4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</commentList>
</comments>
</file>

<file path=xl/comments5.xml><?xml version="1.0" encoding="utf-8"?>
<comments xmlns="http://schemas.openxmlformats.org/spreadsheetml/2006/main">
  <authors>
    <author>EVI</author>
    <author>evie</author>
  </authors>
  <commentList>
    <comment ref="C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0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40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36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 108</t>
        </r>
      </text>
    </comment>
    <comment ref="C3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3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3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5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5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</commentList>
</comments>
</file>

<file path=xl/comments6.xml><?xml version="1.0" encoding="utf-8"?>
<comments xmlns="http://schemas.openxmlformats.org/spreadsheetml/2006/main">
  <authors>
    <author>EVI</author>
    <author>evie</author>
  </authors>
  <commentList>
    <comment ref="C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0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40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36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 108</t>
        </r>
      </text>
    </comment>
    <comment ref="C3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3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3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4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5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5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5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</commentList>
</comments>
</file>

<file path=xl/comments7.xml><?xml version="1.0" encoding="utf-8"?>
<comments xmlns="http://schemas.openxmlformats.org/spreadsheetml/2006/main">
  <authors>
    <author>EVI</author>
    <author>evie</author>
  </authors>
  <commentList>
    <comment ref="C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9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40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36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 108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2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2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3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41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4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</commentList>
</comments>
</file>

<file path=xl/comments8.xml><?xml version="1.0" encoding="utf-8"?>
<comments xmlns="http://schemas.openxmlformats.org/spreadsheetml/2006/main">
  <authors>
    <author>EVI</author>
    <author>evie</author>
  </authors>
  <commentList>
    <comment ref="C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9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40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36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 108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2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2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4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45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46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</commentList>
</comments>
</file>

<file path=xl/comments9.xml><?xml version="1.0" encoding="utf-8"?>
<comments xmlns="http://schemas.openxmlformats.org/spreadsheetml/2006/main">
  <authors>
    <author>EVI</author>
    <author>evie</author>
  </authors>
  <commentList>
    <comment ref="C10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1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44 PCS</t>
        </r>
      </text>
    </comment>
    <comment ref="C13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40</t>
        </r>
      </text>
    </comment>
    <comment ref="C15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30</t>
        </r>
      </text>
    </comment>
    <comment ref="C18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 108</t>
        </r>
      </text>
    </comment>
    <comment ref="C23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
LAMA 15</t>
        </r>
      </text>
    </comment>
    <comment ref="C2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34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15
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24</t>
        </r>
      </text>
    </comment>
    <comment ref="C50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LAMA 32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evie:</t>
        </r>
        <r>
          <rPr>
            <sz val="9"/>
            <color indexed="81"/>
            <rFont val="Tahoma"/>
            <family val="2"/>
          </rPr>
          <t xml:space="preserve">
20 LAMA</t>
        </r>
      </text>
    </comment>
    <comment ref="C5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New isi 20/07/2014
</t>
        </r>
      </text>
    </comment>
  </commentList>
</comments>
</file>

<file path=xl/comments10.xml><?xml version="1.0" encoding="utf-8"?>
<comments xmlns="http://schemas.openxmlformats.org/spreadsheetml/2006/main">
  <authors>
    <author>EVI</author>
  </authors>
  <commentList>
    <comment ref="C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WEEK 1522-1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46 pcs</t>
        </r>
      </text>
    </comment>
    <comment ref="C1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2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2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4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New isi 20/07/2014
</t>
        </r>
      </text>
    </comment>
  </commentList>
</comments>
</file>

<file path=xl/comments11.xml><?xml version="1.0" encoding="utf-8"?>
<comments xmlns="http://schemas.openxmlformats.org/spreadsheetml/2006/main">
  <authors>
    <author>EVI</author>
  </authors>
  <commentList>
    <comment ref="C11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WEEK 1522-1</t>
        </r>
      </text>
    </comment>
    <comment ref="C14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1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46 pcs</t>
        </r>
      </text>
    </comment>
    <comment ref="C1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28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</t>
        </r>
      </text>
    </comment>
    <comment ref="C2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baru  isi 14</t>
        </r>
      </text>
    </comment>
    <comment ref="C46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New isi 20/07/2014
</t>
        </r>
      </text>
    </comment>
  </commentList>
</comments>
</file>

<file path=xl/comments12.xml><?xml version="1.0" encoding="utf-8"?>
<comments xmlns="http://schemas.openxmlformats.org/spreadsheetml/2006/main">
  <authors>
    <author>EVI</author>
  </authors>
  <commentList>
    <comment ref="C1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ISI SATU TRAY 20 PCS 1 CTN PAKAI 2 TRAY</t>
        </r>
      </text>
    </comment>
  </commentList>
</comments>
</file>

<file path=xl/comments13.xml><?xml version="1.0" encoding="utf-8"?>
<comments xmlns="http://schemas.openxmlformats.org/spreadsheetml/2006/main">
  <authors>
    <author>EVI</author>
  </authors>
  <commentList>
    <comment ref="C1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WEEK 1522-1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</commentList>
</comments>
</file>

<file path=xl/comments14.xml><?xml version="1.0" encoding="utf-8"?>
<comments xmlns="http://schemas.openxmlformats.org/spreadsheetml/2006/main">
  <authors>
    <author>EVI</author>
  </authors>
  <commentList>
    <comment ref="C23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eu 42 belum ganti (2)
ap 60 sudah ganti (3)
na 24 belum ganti (1)</t>
        </r>
      </text>
    </comment>
    <comment ref="C31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WEEK 1522-1</t>
        </r>
      </text>
    </comment>
    <comment ref="C39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U/ AP ISI 210/CTN
I PALLET 1680
MULAI WEEK AP 1615
</t>
        </r>
      </text>
    </comment>
    <comment ref="C4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urang utan = 120 pcs
Gajah = 55 pcs
Tiger = 50 pcs
Lion = 50 pcs
Panda = 25 pcs</t>
        </r>
      </text>
    </comment>
    <comment ref="C5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1701 eu, ap 1701</t>
        </r>
      </text>
    </comment>
    <comment ref="C6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MULAI WK EU 1534, AP 1536</t>
        </r>
      </text>
    </comment>
    <comment ref="C67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AP 1804
RU 1801
EU 1804
NA 1804</t>
        </r>
      </text>
    </comment>
    <comment ref="C85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New isi 20/07/2014
</t>
        </r>
      </text>
    </comment>
  </commentList>
</comments>
</file>

<file path=xl/comments15.xml><?xml version="1.0" encoding="utf-8"?>
<comments xmlns="http://schemas.openxmlformats.org/spreadsheetml/2006/main">
  <authors>
    <author>EVI</author>
  </authors>
  <commentList>
    <comment ref="C22" authorId="0" shapeId="0">
      <text>
        <r>
          <rPr>
            <b/>
            <sz val="8"/>
            <color indexed="81"/>
            <rFont val="Tahoma"/>
            <family val="2"/>
          </rPr>
          <t>EVI:</t>
        </r>
        <r>
          <rPr>
            <sz val="8"/>
            <color indexed="81"/>
            <rFont val="Tahoma"/>
            <family val="2"/>
          </rPr>
          <t xml:space="preserve">
New isi 20/07/2014
</t>
        </r>
      </text>
    </comment>
  </commentList>
</comments>
</file>

<file path=xl/sharedStrings.xml><?xml version="1.0" encoding="utf-8"?>
<sst xmlns="http://schemas.openxmlformats.org/spreadsheetml/2006/main" count="2718" uniqueCount="932">
  <si>
    <t>No</t>
  </si>
  <si>
    <t>ARTICLES NAME</t>
  </si>
  <si>
    <t>LABEL</t>
  </si>
  <si>
    <t>POLYBAG</t>
  </si>
  <si>
    <t>CANCEL ORDER</t>
  </si>
  <si>
    <t>BALANCE ORDER</t>
  </si>
  <si>
    <t>REMARK</t>
  </si>
  <si>
    <t>C/T, POLYBAG ORDER STATUS</t>
  </si>
  <si>
    <t>C/T BOX (76*57*31)</t>
  </si>
  <si>
    <t>BARNSLIG DJUR BLUE</t>
  </si>
  <si>
    <t>BARNSLIG DJUR BLUE AP</t>
  </si>
  <si>
    <t>BARNSLIG DJUR BLUE GB</t>
  </si>
  <si>
    <t>BARNSLIG DJUR BLUE NA</t>
  </si>
  <si>
    <t>1CT : 12PCS</t>
  </si>
  <si>
    <t>TOTAL</t>
  </si>
  <si>
    <t>BARNSLIG DJUR RED</t>
  </si>
  <si>
    <t>BARNSLIG DJUR RED AP</t>
  </si>
  <si>
    <t>BARNSLIG DJUR RED GB</t>
  </si>
  <si>
    <t>BARNSLIG DJUR RED NA</t>
  </si>
  <si>
    <t>GOSIG GOLDEN 40</t>
  </si>
  <si>
    <t>GOSIG GOLDEN 40 AP</t>
  </si>
  <si>
    <t>GOSIG GOLDEN 40 NA</t>
  </si>
  <si>
    <t>LANDET VEHICLE</t>
  </si>
  <si>
    <t>MASTER P/BAG</t>
  </si>
  <si>
    <t>1CT : 36PCS</t>
  </si>
  <si>
    <t>EACH P/BAG</t>
  </si>
  <si>
    <t>1CT : 30PCS</t>
  </si>
  <si>
    <t xml:space="preserve">GOSIG KANIN 20 </t>
  </si>
  <si>
    <t xml:space="preserve">GOSIG KANIN 20 AP </t>
  </si>
  <si>
    <t xml:space="preserve">GOSIG KANIN 20 NA </t>
  </si>
  <si>
    <t>1CT : 96PCS</t>
  </si>
  <si>
    <t xml:space="preserve">GOSIG RATTA </t>
  </si>
  <si>
    <t xml:space="preserve">GOSIG RATTA NA </t>
  </si>
  <si>
    <t>1CT : 160PCS</t>
  </si>
  <si>
    <t xml:space="preserve">GOSIG VALP BROWN </t>
  </si>
  <si>
    <t xml:space="preserve">GOSIG VALP BROWN AP </t>
  </si>
  <si>
    <t xml:space="preserve">GOSIG VALP BROWN NA </t>
  </si>
  <si>
    <t xml:space="preserve">GOSIG VOVVEN DOG </t>
  </si>
  <si>
    <t xml:space="preserve">GOSIG VOVVEN DOG AP </t>
  </si>
  <si>
    <t xml:space="preserve">GOSIG VOVVEN DOG NA </t>
  </si>
  <si>
    <t>1CT : 40PCS</t>
  </si>
  <si>
    <t xml:space="preserve">SAGOSTEN LADYBIRD </t>
  </si>
  <si>
    <t xml:space="preserve">SAGOSTEN LADYBIRD AP </t>
  </si>
  <si>
    <t xml:space="preserve">SAGOSTEN LADYBIRD NA  </t>
  </si>
  <si>
    <t xml:space="preserve">SAGOSTEN LADYBIRD GB  </t>
  </si>
  <si>
    <t>1CT : 16PCS</t>
  </si>
  <si>
    <t xml:space="preserve">TORVA CARROT ORANGE </t>
  </si>
  <si>
    <t xml:space="preserve">TORVA CARROT ORANGE AP </t>
  </si>
  <si>
    <t xml:space="preserve">TORVA CARROT ORANGE NA </t>
  </si>
  <si>
    <t xml:space="preserve">VANDRING BJORN </t>
  </si>
  <si>
    <t xml:space="preserve">VANDRING BJORN AP </t>
  </si>
  <si>
    <t xml:space="preserve">VANDRING BJORN NA </t>
  </si>
  <si>
    <t>1CT : 6PCS</t>
  </si>
  <si>
    <t>1CT : 10PCS</t>
  </si>
  <si>
    <t xml:space="preserve">VANNERNA LAPPAR PINK </t>
  </si>
  <si>
    <t xml:space="preserve">VANNERNA LAPPAR PINK AP </t>
  </si>
  <si>
    <t xml:space="preserve">VANNERNA LAPPAR PINK GB </t>
  </si>
  <si>
    <t xml:space="preserve">VANNERNA LAPPAR PINK NA </t>
  </si>
  <si>
    <t xml:space="preserve">VANNERNA LANG green/grey </t>
  </si>
  <si>
    <t>VANNERNA LANG green/grey AP</t>
  </si>
  <si>
    <t>VANNERNA LANG green/grey GB</t>
  </si>
  <si>
    <t>VANNERNA LANG green/grey NA</t>
  </si>
  <si>
    <t>VANNERNA LANG pink/grey AP</t>
  </si>
  <si>
    <t xml:space="preserve">VANNERNA LANG pink/grey </t>
  </si>
  <si>
    <t>VANNERNA LANG pink/grey GB</t>
  </si>
  <si>
    <t>VANNERNA LANG pink/grey NA</t>
  </si>
  <si>
    <t xml:space="preserve">GOSIG RATTA AP </t>
  </si>
  <si>
    <t>GOSIG GOLDEN 70</t>
  </si>
  <si>
    <t xml:space="preserve">LANDET VEHICLE AP </t>
  </si>
  <si>
    <t xml:space="preserve">LANDET VEHICLE NA </t>
  </si>
  <si>
    <t>C/T BOX (76*57*44)</t>
  </si>
  <si>
    <t xml:space="preserve">GOSIG BULLDOG 55 </t>
  </si>
  <si>
    <t>C/T BOX (76*57*96)</t>
  </si>
  <si>
    <t xml:space="preserve">FAMNIG HJARTA red CN </t>
  </si>
  <si>
    <t xml:space="preserve">FAMNIG HJARTA red AP JP  </t>
  </si>
  <si>
    <t>FAMNIG HJARTA red US/CA</t>
  </si>
  <si>
    <t xml:space="preserve">FAMNIG HJARTA red GB </t>
  </si>
  <si>
    <t xml:space="preserve">FAMNIG HJARTA red </t>
  </si>
  <si>
    <t xml:space="preserve">SPARKA FOOTBALL </t>
  </si>
  <si>
    <t xml:space="preserve">POLYBAG     </t>
  </si>
  <si>
    <t xml:space="preserve">FABLER BJORN (New) </t>
  </si>
  <si>
    <t xml:space="preserve">GOSIG MUS ASSORT </t>
  </si>
  <si>
    <t xml:space="preserve">LEKA BALL MULTICOLOR </t>
  </si>
  <si>
    <t xml:space="preserve">TORVA STRAWBERRY RED </t>
  </si>
  <si>
    <t xml:space="preserve">VANDRING HARE </t>
  </si>
  <si>
    <t xml:space="preserve">VANDRING RAV </t>
  </si>
  <si>
    <t xml:space="preserve">LEKA CIRKUS RATTLE </t>
  </si>
  <si>
    <t xml:space="preserve">SAGOSTEN STAR </t>
  </si>
  <si>
    <t xml:space="preserve">TORVA SQUEAKY ORANGE </t>
  </si>
  <si>
    <t xml:space="preserve">VANDRING IGELKOTT </t>
  </si>
  <si>
    <t>1CT : 84PCS</t>
  </si>
  <si>
    <t xml:space="preserve">VANDRING UGGLA (OWL) </t>
  </si>
  <si>
    <t>1CT : 24PCS</t>
  </si>
  <si>
    <t>C/T BOX (38*38*31)</t>
  </si>
  <si>
    <t xml:space="preserve">DUKTIG TOOLBELT </t>
  </si>
  <si>
    <t xml:space="preserve">DUKTIG TOOLBELT AP </t>
  </si>
  <si>
    <t xml:space="preserve">DUKTIG TOOLBELT NA </t>
  </si>
  <si>
    <t>C/T BOX (114*38*23)</t>
  </si>
  <si>
    <t>FABLER KROKODILE MIRROR</t>
  </si>
  <si>
    <t xml:space="preserve">FABLER KROKODILE MIRROR AP </t>
  </si>
  <si>
    <t xml:space="preserve">FABLER KROKODILE MIRROR NA </t>
  </si>
  <si>
    <t>POLYBAG        ( 138*111 )</t>
  </si>
  <si>
    <t>POLYBAG         ( 138*163 )</t>
  </si>
  <si>
    <t>1CT : 8PCS</t>
  </si>
  <si>
    <t>QTY : 56.684 PCS</t>
  </si>
  <si>
    <t xml:space="preserve">KLAPPAR ELEFANT S2 </t>
  </si>
  <si>
    <t xml:space="preserve">KLAPPAR ELEFANT S2 AP </t>
  </si>
  <si>
    <t xml:space="preserve">KLAPPAR ELEFANT S2 NA </t>
  </si>
  <si>
    <t>1CT : 20PCS</t>
  </si>
  <si>
    <t xml:space="preserve">KLAPPAR BULLDOG 40 </t>
  </si>
  <si>
    <t xml:space="preserve">KLAPPAR BULLDOG 40 AP </t>
  </si>
  <si>
    <t xml:space="preserve">KLAPPAR BULLDOG 40 NA </t>
  </si>
  <si>
    <t xml:space="preserve">KLAPPAR TERRIER </t>
  </si>
  <si>
    <t xml:space="preserve">KLAPPAR TERRIER AP </t>
  </si>
  <si>
    <t xml:space="preserve">KLAPPAR TERRIER NA </t>
  </si>
  <si>
    <t xml:space="preserve"> </t>
  </si>
  <si>
    <t>POLYBAG         ( 17*27 )</t>
  </si>
  <si>
    <t>NEW : 14PCS</t>
  </si>
  <si>
    <t>NEW : 36PCS</t>
  </si>
  <si>
    <t>NEW : 48PCS</t>
  </si>
  <si>
    <t>NEW : 20PCS</t>
  </si>
  <si>
    <t>NEW : 12PCS</t>
  </si>
  <si>
    <t>NEW : 40PCS</t>
  </si>
  <si>
    <t>QTY : 66.390 PCS</t>
  </si>
  <si>
    <t>QTY : 47.100 PCS</t>
  </si>
  <si>
    <t>QTY : 13.896 PCS</t>
  </si>
  <si>
    <t>QTY : 15.629 PCS</t>
  </si>
  <si>
    <t>QTY : 29.364 PCS</t>
  </si>
  <si>
    <t>QTY : 18.156 PCS</t>
  </si>
  <si>
    <t>QTY : 28.034 PCS</t>
  </si>
  <si>
    <t>TOTAL ORDER BY WK 1204</t>
  </si>
  <si>
    <t>TOTAL DISPATCH WK 1203</t>
  </si>
  <si>
    <t xml:space="preserve">KLAPPAR ELEFANT 60 </t>
  </si>
  <si>
    <t xml:space="preserve">KLAPPAR ELEFANT 60 AP </t>
  </si>
  <si>
    <t xml:space="preserve">KLAPPAR ELEFANT 60 NA </t>
  </si>
  <si>
    <t xml:space="preserve">KLAPPAR LEOPARD  </t>
  </si>
  <si>
    <t xml:space="preserve">KLAPPAR LEOPARD  AP </t>
  </si>
  <si>
    <t xml:space="preserve">KLAPPAR LEOPARD  NA </t>
  </si>
  <si>
    <t xml:space="preserve">KLAPPAR SAL </t>
  </si>
  <si>
    <t xml:space="preserve">KLAPPAR SAL  AP </t>
  </si>
  <si>
    <t xml:space="preserve">KLAPPAR SAL  NA </t>
  </si>
  <si>
    <t xml:space="preserve">#  KLAPPAR ARTICLE </t>
  </si>
  <si>
    <t>TOTAL QTY</t>
  </si>
  <si>
    <t>KEPERLUAN</t>
  </si>
  <si>
    <t>JAN</t>
  </si>
  <si>
    <t>FEB</t>
  </si>
  <si>
    <t>MAR</t>
  </si>
  <si>
    <t>APR</t>
  </si>
  <si>
    <t>MAY</t>
  </si>
  <si>
    <t>JUN</t>
  </si>
  <si>
    <t>JUL</t>
  </si>
  <si>
    <t>BALANCE</t>
  </si>
  <si>
    <t xml:space="preserve">SUDAH </t>
  </si>
  <si>
    <t>PESAN</t>
  </si>
  <si>
    <t>ACTUAL ORDER</t>
  </si>
  <si>
    <t># DETAIL FOR KLAPPAR ARTICLE ( U/ SIZE 570 X 380 X 310 )</t>
  </si>
  <si>
    <t># DETAIL FOR KLAPPAR ARTICLE ( U/ SIZE 760 X 570 X 310 )</t>
  </si>
  <si>
    <t># DETAIL FOR KLAPPAR ARTICLE ( U/ SIZE 138 X 98)</t>
  </si>
  <si>
    <t># DETAIL FOR KLAPPAR ARTICLE ( U/ SIZE 100 X 79 )</t>
  </si>
  <si>
    <t>LOSS : +282</t>
  </si>
  <si>
    <t>No.</t>
  </si>
  <si>
    <t xml:space="preserve">ITEM </t>
  </si>
  <si>
    <t xml:space="preserve">WEEK </t>
  </si>
  <si>
    <t>QTY</t>
  </si>
  <si>
    <t>PO</t>
  </si>
  <si>
    <t>1.</t>
  </si>
  <si>
    <t>2.</t>
  </si>
  <si>
    <t xml:space="preserve"> LEKA CIRKUS PLAYMAT </t>
  </si>
  <si>
    <t>AP  1119</t>
  </si>
  <si>
    <t>TANPA WEEK</t>
  </si>
  <si>
    <t>3.</t>
  </si>
  <si>
    <t>4.</t>
  </si>
  <si>
    <t>5.</t>
  </si>
  <si>
    <t>6.</t>
  </si>
  <si>
    <t>7.</t>
  </si>
  <si>
    <t>8.</t>
  </si>
  <si>
    <t>AP  1129</t>
  </si>
  <si>
    <t>AP  1138</t>
  </si>
  <si>
    <t>AP  1144</t>
  </si>
  <si>
    <t>AP  1149</t>
  </si>
  <si>
    <t>AP  1206</t>
  </si>
  <si>
    <t xml:space="preserve">110707 -3 </t>
  </si>
  <si>
    <t xml:space="preserve">110910 -1 </t>
  </si>
  <si>
    <t xml:space="preserve">110921 -3 </t>
  </si>
  <si>
    <t xml:space="preserve">GRAND TOTAL </t>
  </si>
  <si>
    <t xml:space="preserve">DATA PESAN ORDER POLYBAG LEKA CIRKUS PLAYMAT  [ AP ] </t>
  </si>
  <si>
    <t xml:space="preserve">DATA PESAN ORDER POLYBAG LEKA CIRKUS PLAYMAT  [ NA ] </t>
  </si>
  <si>
    <t>NA  1119</t>
  </si>
  <si>
    <t>NA  1136</t>
  </si>
  <si>
    <t>NA  1144</t>
  </si>
  <si>
    <t>NA  1148</t>
  </si>
  <si>
    <t>NA  1208</t>
  </si>
  <si>
    <t xml:space="preserve">adjust order </t>
  </si>
  <si>
    <t>C/T BOX (114*76*31)</t>
  </si>
  <si>
    <t xml:space="preserve">KLAPPAR HAJJ N Soft toy </t>
  </si>
  <si>
    <t xml:space="preserve">KLAPPAR HAJJ N Soft toy  AP </t>
  </si>
  <si>
    <t xml:space="preserve">KLAPPAR HAJJ N Soft toy  NA </t>
  </si>
  <si>
    <t>(+4)</t>
  </si>
  <si>
    <t>(NA : 1288)</t>
  </si>
  <si>
    <t>QTY : 8.562 PCS</t>
  </si>
  <si>
    <t>UPDATED : JULY 05, 2012</t>
  </si>
  <si>
    <t>UPDATED : JULY 12, 2012</t>
  </si>
  <si>
    <t>UPDATED : AUGUST 13, 2012</t>
  </si>
  <si>
    <t>TOTAL ORDER BY WK 1233</t>
  </si>
  <si>
    <t>TOTAL DISPATCH WK 1232</t>
  </si>
  <si>
    <t xml:space="preserve">KRAMIG PANDA  </t>
  </si>
  <si>
    <t>ROSIG Cushion 35</t>
  </si>
  <si>
    <t>TOTAL ORDER BY WK 1248</t>
  </si>
  <si>
    <t>TOTAL DISPATCH WK 1247</t>
  </si>
  <si>
    <t>UPDATED : DESEMBER 04, 2012</t>
  </si>
  <si>
    <t>TOTAL ORDER BY WK 1249</t>
  </si>
  <si>
    <t>TOTAL DISPATCH WK 1248</t>
  </si>
  <si>
    <t>TOTAL ORDER BY WK 1252</t>
  </si>
  <si>
    <t>TOTAL DISPATCH WK 1251</t>
  </si>
  <si>
    <t>UPDATED : DESEMBER 28, 2012</t>
  </si>
  <si>
    <t>TOTAL DISPATCH WK 1306</t>
  </si>
  <si>
    <t>TOTAL ORDER BY WK 1307</t>
  </si>
  <si>
    <t>UPDATED : February 18, 2013</t>
  </si>
  <si>
    <t>760 X 570 X 310</t>
  </si>
  <si>
    <t>0.05 X 138 X 98</t>
  </si>
  <si>
    <t>K150/M125/M150/M125/K150</t>
  </si>
  <si>
    <t>760 X 570 X 410</t>
  </si>
  <si>
    <t>760 X 570 X 460</t>
  </si>
  <si>
    <t>760 X 570 X 440</t>
  </si>
  <si>
    <t>DUKTIG BREAKFAST</t>
  </si>
  <si>
    <t>570 X 380 X 310</t>
  </si>
  <si>
    <t xml:space="preserve">SAGOSTEN ELEPHANT  </t>
  </si>
  <si>
    <t>K200/M125/M150/M125/K150</t>
  </si>
  <si>
    <t>LEKA CIRKUS PLAYMAT</t>
  </si>
  <si>
    <t>380 X 380 X 230</t>
  </si>
  <si>
    <t>380 X 285 X 310</t>
  </si>
  <si>
    <t>SKONHET MIRROR</t>
  </si>
  <si>
    <t>0.05 X 45 X 63</t>
  </si>
  <si>
    <t>0.05 x 138 x 108</t>
  </si>
  <si>
    <t>0.05 x 138 x 111</t>
  </si>
  <si>
    <t>0.05 x 138 x 130</t>
  </si>
  <si>
    <t>0.05 x 45 x 75</t>
  </si>
  <si>
    <t>0.05 x 81 x 71</t>
  </si>
  <si>
    <t>0.05 x 26 x 37</t>
  </si>
  <si>
    <t>0.05 x 21 x 40.5</t>
  </si>
  <si>
    <t xml:space="preserve">0.05 x 100 x 79 </t>
  </si>
  <si>
    <t>0.05 x 70 x 60</t>
  </si>
  <si>
    <t>QTY / CTN</t>
  </si>
  <si>
    <t>0.06 x 64 x 94</t>
  </si>
  <si>
    <t>TORVA SLEEPING BAG baby</t>
  </si>
  <si>
    <t>TORVA SLEEPING BAG kids</t>
  </si>
  <si>
    <t>0.05 x 28 x 43.5</t>
  </si>
  <si>
    <t>MASTER POLYBAG          0.05 X 138 X 98</t>
  </si>
  <si>
    <t>VANNERNA LAPPAR PINK , GB</t>
  </si>
  <si>
    <t>ORDER STATUS POLYBAG</t>
  </si>
  <si>
    <t>UPDATED : Mei 30, 2013</t>
  </si>
  <si>
    <t>246669</t>
  </si>
  <si>
    <t>PESAN POLYBAG</t>
  </si>
  <si>
    <t>PESAN LABEL</t>
  </si>
  <si>
    <t>SIZE POLYBAG</t>
  </si>
  <si>
    <t>ARTICLE NAME</t>
  </si>
  <si>
    <t>QTY/CTN</t>
  </si>
  <si>
    <t>QTY/ POLYBAG</t>
  </si>
  <si>
    <t>QTY/ PCS PALLET</t>
  </si>
  <si>
    <t>CTN SIZE</t>
  </si>
  <si>
    <t>POLYBAG SIZE</t>
  </si>
  <si>
    <t>380 x 375 x 300</t>
  </si>
  <si>
    <t>81 x 79</t>
  </si>
  <si>
    <t>MINDRE soft toy ,EU.NA.AP</t>
  </si>
  <si>
    <t>570 x 375 x 300</t>
  </si>
  <si>
    <t>750 x 570 x 300</t>
  </si>
  <si>
    <t>138 x 98</t>
  </si>
  <si>
    <t>750 x 570 x 450</t>
  </si>
  <si>
    <t>138 x 130</t>
  </si>
  <si>
    <t xml:space="preserve"># SBAS ARTICLE # </t>
  </si>
  <si>
    <t>100 X 79</t>
  </si>
  <si>
    <t>70 X 60</t>
  </si>
  <si>
    <t>SIZE CARTON &amp; POLYBAG SACTBAS</t>
  </si>
  <si>
    <t>REMARKS</t>
  </si>
  <si>
    <t>45 X 47 + 6.5</t>
  </si>
  <si>
    <t>570 X 375 X 300</t>
  </si>
  <si>
    <t>570 X 375 X 450</t>
  </si>
  <si>
    <t>100 X 93</t>
  </si>
  <si>
    <t>1140 X 750 X 450</t>
  </si>
  <si>
    <t>195 X 130</t>
  </si>
  <si>
    <t>K200/M125/M150/M125K150</t>
  </si>
  <si>
    <t>FANTASIVÄRLD  glove ppt 27 cm ,</t>
  </si>
  <si>
    <t>LILLEPYTT soft toy 16 cm</t>
  </si>
  <si>
    <t xml:space="preserve">GRÄVLING soft toy badger 37 cm </t>
  </si>
  <si>
    <t xml:space="preserve">SKOGSHARE soft toy rabbit 35 cm </t>
  </si>
  <si>
    <t xml:space="preserve">RIDDERLIG soft toy cat 45 cm </t>
  </si>
  <si>
    <t xml:space="preserve">ILSKEN soft toy snake </t>
  </si>
  <si>
    <t xml:space="preserve">NALLEBJÖRN soft toy bear 44 cm </t>
  </si>
  <si>
    <t xml:space="preserve">BLÅHAJ soft toy shark </t>
  </si>
  <si>
    <t xml:space="preserve">HÄRSKARE soft toy crocodile </t>
  </si>
  <si>
    <t xml:space="preserve">ÖKENLÖPARE soft toy horse </t>
  </si>
  <si>
    <t>HOPPFULL soft toy leopard</t>
  </si>
  <si>
    <t xml:space="preserve">JÄTTESTOR soft toy elephant </t>
  </si>
  <si>
    <t xml:space="preserve">MULLIG soft toy rhinoceros </t>
  </si>
  <si>
    <t xml:space="preserve">FLYGDRAKE soft toy dragon 60 cm </t>
  </si>
  <si>
    <t>375 X 285 X 300</t>
  </si>
  <si>
    <t>750 X 570 X 300</t>
  </si>
  <si>
    <t>LUFSIG soft toy wolf,</t>
  </si>
  <si>
    <t xml:space="preserve">GULLGOSSE soft toy </t>
  </si>
  <si>
    <t xml:space="preserve">LASKIG DRAGON hppt </t>
  </si>
  <si>
    <t xml:space="preserve">SÅNGTRAST soft toy </t>
  </si>
  <si>
    <t xml:space="preserve">NOJSIG soft toy </t>
  </si>
  <si>
    <t>BRUMMA SFT with clothes</t>
  </si>
  <si>
    <t>QTY/ PLT</t>
  </si>
  <si>
    <t>QTY/ PCS PLT</t>
  </si>
  <si>
    <t>SAGODRAKE cvr dragon</t>
  </si>
  <si>
    <t>KAKI PALLET KECIL ( 90*90 )</t>
  </si>
  <si>
    <t>KAKI KECIL 6 ( 90*90)</t>
  </si>
  <si>
    <t>KAKI  BESAR 3 ( 90*180)</t>
  </si>
  <si>
    <t>KAKI PALLET KECIL (90*90)</t>
  </si>
  <si>
    <t>KAKI PALLET KECIL (180*90)</t>
  </si>
  <si>
    <t xml:space="preserve"> KAKI KECIL ( 90*90)</t>
  </si>
  <si>
    <t xml:space="preserve"> KAKI KECIL ( 180*90)</t>
  </si>
  <si>
    <t>QTY CTN / PALLET</t>
  </si>
  <si>
    <t>0.05 x 37 x 45 + 6.5</t>
  </si>
  <si>
    <t>0.05X 37 X 45 + 6.5</t>
  </si>
  <si>
    <t xml:space="preserve">HOPPIG soft toy </t>
  </si>
  <si>
    <t>LILEPLUTT soft toy</t>
  </si>
  <si>
    <t>SMASLUG soft toy</t>
  </si>
  <si>
    <t>STROVA SOFT TOY</t>
  </si>
  <si>
    <t>GRATTIS CUPCAKE</t>
  </si>
  <si>
    <t>LATSAS SHOPPING BASKET</t>
  </si>
  <si>
    <t>GRATTIS CUPCAKE EU</t>
  </si>
  <si>
    <t>23 X 27+15</t>
  </si>
  <si>
    <t>29.5 X 27 + 12</t>
  </si>
  <si>
    <t>SIZE CARTON &amp; POLYBAG  NEW GOSIG RANGE</t>
  </si>
  <si>
    <t>570 x 375 x 450</t>
  </si>
  <si>
    <t>570 x 375 x 220</t>
  </si>
  <si>
    <t>100 x 70</t>
  </si>
  <si>
    <t>23 X 27</t>
  </si>
  <si>
    <t>100 x 93</t>
  </si>
  <si>
    <t>PYTTELILLA ( 6-18 )</t>
  </si>
  <si>
    <t>PYTTESMMA ( 0-6 )</t>
  </si>
  <si>
    <t>SANGDAGS ( 6-18 )</t>
  </si>
  <si>
    <t>MINI BJORN ( 0-6 )</t>
  </si>
  <si>
    <t>26 X 37</t>
  </si>
  <si>
    <t>SOLIGHT</t>
  </si>
  <si>
    <t>100 X 70</t>
  </si>
  <si>
    <t xml:space="preserve">FJADERMOLN </t>
  </si>
  <si>
    <t>LEKA PLAYMAT BLUE</t>
  </si>
  <si>
    <t>47 X 75</t>
  </si>
  <si>
    <t>750 X 570 X 450</t>
  </si>
  <si>
    <t>SOLIGHT NEW</t>
  </si>
  <si>
    <t>380 X 375 X 300</t>
  </si>
  <si>
    <t>81 X 79</t>
  </si>
  <si>
    <t>GRATTIS CUPCAKE , AP+NA</t>
  </si>
  <si>
    <t>ANKIG  SOFT TOY DUG</t>
  </si>
  <si>
    <t>BLAHAJ N SOFT TOY SHARK</t>
  </si>
  <si>
    <t>SIZE CARTON &amp; POLYBAG KLAPPAR 2014</t>
  </si>
  <si>
    <t>DRULLIG SOFT TROLL</t>
  </si>
  <si>
    <t>FLYGDRAKE N SOFT TOY DRAGON</t>
  </si>
  <si>
    <t xml:space="preserve">GRAVLING N SOFT TOY BADGER </t>
  </si>
  <si>
    <t>HASSELMUS SOFT TOY MOUSE</t>
  </si>
  <si>
    <t>JATTESTOR N SOFT TOY ELEPHANT</t>
  </si>
  <si>
    <t>LAPPGET SOFT TOY GOAT</t>
  </si>
  <si>
    <t>LEDDJUR SOFT TOY S2 ELEPHANT</t>
  </si>
  <si>
    <t>RIDDERLIG N SOFT TOY CAT</t>
  </si>
  <si>
    <t>RIDDJUR SOFT TOY</t>
  </si>
  <si>
    <t>NO</t>
  </si>
  <si>
    <t>138 X 130</t>
  </si>
  <si>
    <t xml:space="preserve">BOLLKAR cushion 33 orange </t>
  </si>
  <si>
    <t>BOLLTOKIG Cushion 27 Yellow</t>
  </si>
  <si>
    <t>0.05 X 37 X 45+6.5</t>
  </si>
  <si>
    <t xml:space="preserve">SIZE CARTON &amp; POLYBAG  </t>
  </si>
  <si>
    <t>0.05 X 138 X 108</t>
  </si>
  <si>
    <t>0.05 X 100 X 79</t>
  </si>
  <si>
    <t>0.05 X 100 x 70</t>
  </si>
  <si>
    <t>0.05 X 26 X 37</t>
  </si>
  <si>
    <t>0.05 X 81 X 79</t>
  </si>
  <si>
    <t>0.05 X 23 X 27+15</t>
  </si>
  <si>
    <t>0.05 X 23 X 27</t>
  </si>
  <si>
    <t>0.05 X 100 X 93</t>
  </si>
  <si>
    <t>0.05 X 47 X 75</t>
  </si>
  <si>
    <t>0.05 X 138 x 130</t>
  </si>
  <si>
    <t>KRAMIG PANDA</t>
  </si>
  <si>
    <t>FAMNIG HJARTA</t>
  </si>
  <si>
    <t>0.05 X 138 X 111</t>
  </si>
  <si>
    <t>Sparka ball</t>
  </si>
  <si>
    <t>750 x 570 x 220</t>
  </si>
  <si>
    <t>0.06 X 64 X 94</t>
  </si>
  <si>
    <t>VANDRING UGGLA</t>
  </si>
  <si>
    <t xml:space="preserve"> CTN / PALLET</t>
  </si>
  <si>
    <t>QTY PCS /PALLET</t>
  </si>
  <si>
    <t>0.05 X 70 X 60</t>
  </si>
  <si>
    <t>560 X 240 X 445 ( INNER )</t>
  </si>
  <si>
    <t>WK 200/M175/K200 ( CB 60 )</t>
  </si>
  <si>
    <t>550 X 230 X 440 ( PADDER )</t>
  </si>
  <si>
    <t>570 X 250 X 340 ( HOOD BOX )</t>
  </si>
  <si>
    <t>0.05 X 45 X 47+6.5</t>
  </si>
  <si>
    <t>0.05 X 29.5 X 27+12</t>
  </si>
  <si>
    <t>VANDRING IGELKOT</t>
  </si>
  <si>
    <t>0.05 X 81 X 71</t>
  </si>
  <si>
    <t>570 X 375 X 230</t>
  </si>
  <si>
    <t>K150 /M125/K150/M125/K150</t>
  </si>
  <si>
    <t>KVACK FROG &amp; PRINCE</t>
  </si>
  <si>
    <t>SAGOHUS HOUSE</t>
  </si>
  <si>
    <t>UPPTRADA BOWLING</t>
  </si>
  <si>
    <t xml:space="preserve">FANTASIVARLD </t>
  </si>
  <si>
    <t>38 X 48</t>
  </si>
  <si>
    <t>28 X 55</t>
  </si>
  <si>
    <t>29 X 40</t>
  </si>
  <si>
    <t>0.05 X 138 X 130</t>
  </si>
  <si>
    <t>SIZE CARTON &amp; POLYBAG KLAPPAR 2015</t>
  </si>
  <si>
    <t xml:space="preserve"> BLAHAJ SOFT TOY SHARK</t>
  </si>
  <si>
    <t xml:space="preserve"> JATTESTOR ELEPHANT</t>
  </si>
  <si>
    <t xml:space="preserve"> SNUTIG BEAR</t>
  </si>
  <si>
    <t xml:space="preserve"> LIVLIG HUSKY</t>
  </si>
  <si>
    <t xml:space="preserve"> RUFFIG SOFTOY 40 WHITE</t>
  </si>
  <si>
    <t xml:space="preserve"> LEDDJUR S2 ELEPHANT</t>
  </si>
  <si>
    <t xml:space="preserve"> VATTENSNOK PUPPET SNAKE</t>
  </si>
  <si>
    <t xml:space="preserve"> VRALAVA MONKEY</t>
  </si>
  <si>
    <t xml:space="preserve"> KAMRATLIG RED / HEART</t>
  </si>
  <si>
    <t>LASKIG dragon soft toy</t>
  </si>
  <si>
    <t>GOSIG GOLDEN SOFT TOY 40</t>
  </si>
  <si>
    <t>GOSIG RATTA SOFT TOY</t>
  </si>
  <si>
    <t>GOSIG KANIN  20 SOFT TOY</t>
  </si>
  <si>
    <t>SAGOSTEN LADY BIRD</t>
  </si>
  <si>
    <t>570 X 380 X310</t>
  </si>
  <si>
    <t>570 x 375 x 230</t>
  </si>
  <si>
    <t xml:space="preserve"> SAGOSKATT Soft toy boy/brown</t>
  </si>
  <si>
    <t xml:space="preserve"> SAGOSKATT glove puppet monster/yellow</t>
  </si>
  <si>
    <t xml:space="preserve"> SAGOSKATT soft toy assorted colours</t>
  </si>
  <si>
    <t xml:space="preserve"> SAGOSKATT dinosaur green</t>
  </si>
  <si>
    <t xml:space="preserve"> SAGOSKATT soft toy unicorn/orange</t>
  </si>
  <si>
    <t>380 x 285 x 300</t>
  </si>
  <si>
    <t>SACBTAS PART 2 2015</t>
  </si>
  <si>
    <t>SANGTRAST soft toy</t>
  </si>
  <si>
    <t xml:space="preserve"> PALLET</t>
  </si>
  <si>
    <t>1140 X 750 X 50</t>
  </si>
  <si>
    <t>12 KAKI</t>
  </si>
  <si>
    <t>9 KAKI</t>
  </si>
  <si>
    <t>KELGRIS S TOY PIG</t>
  </si>
  <si>
    <t xml:space="preserve"> ONSKAD SOFT TOY PUFFIN</t>
  </si>
  <si>
    <t xml:space="preserve"> ONSKAD SOFT TOY RHINO</t>
  </si>
  <si>
    <t xml:space="preserve"> ONSKAD SOFT TOY RUGBY</t>
  </si>
  <si>
    <t xml:space="preserve"> ONSKAD SOFT TOY TURTLE</t>
  </si>
  <si>
    <t>FJADERMOLN  (OLD )</t>
  </si>
  <si>
    <t xml:space="preserve"> PAD LAYER</t>
  </si>
  <si>
    <t xml:space="preserve">1140 X 750 </t>
  </si>
  <si>
    <t xml:space="preserve">  570 X 375 X 230</t>
  </si>
  <si>
    <t xml:space="preserve">  570 X 375 X 450</t>
  </si>
  <si>
    <t xml:space="preserve"> HEMMAHOS CACTUS</t>
  </si>
  <si>
    <t>Article Name</t>
  </si>
  <si>
    <t>SAGOSKATT N soft toy bacterium/monster red</t>
  </si>
  <si>
    <t>570x375x230</t>
  </si>
  <si>
    <t>SAGOSKATT N soft toy dinosaur/horse pink</t>
  </si>
  <si>
    <t>SAGOSKATT N soft toy dog/blue</t>
  </si>
  <si>
    <t>SAGOSKATT N soft toy owl</t>
  </si>
  <si>
    <t>750x570x450</t>
  </si>
  <si>
    <t>SAGOSKATT N soft toy sun/yellow</t>
  </si>
  <si>
    <t>SAGOSKATT N soft toy twin bird</t>
  </si>
  <si>
    <t>SAGOSKATT N squeaky toy duck/yellow</t>
  </si>
  <si>
    <t>Qty/Ctn</t>
  </si>
  <si>
    <t>Qty pcs/Pallet</t>
  </si>
  <si>
    <t>SIZE CARTON SACTBAS 2016</t>
  </si>
  <si>
    <t>SIZE CARTON SAGOSKAT 2016</t>
  </si>
  <si>
    <t>Size Carton</t>
  </si>
  <si>
    <t>Qty Ctn/Pallet</t>
  </si>
  <si>
    <t>36,,30,,28</t>
  </si>
  <si>
    <t>HEMMAHOS CACTUS</t>
  </si>
  <si>
    <t>SIZE CARTON  LATTJO SOFT TOY</t>
  </si>
  <si>
    <t xml:space="preserve"> LATTJO CAT</t>
  </si>
  <si>
    <t xml:space="preserve"> LATTJO VAMPIRE</t>
  </si>
  <si>
    <t>LIVLIG HUSKY</t>
  </si>
  <si>
    <t xml:space="preserve"> LATTJO GLOVE EAGLE</t>
  </si>
  <si>
    <t xml:space="preserve">     Remarks </t>
  </si>
  <si>
    <t xml:space="preserve"> TREVNAD PILLOW 50 X 80</t>
  </si>
  <si>
    <t xml:space="preserve"> TREVNAD ASSORTED PATTERN</t>
  </si>
  <si>
    <t xml:space="preserve"> TREVNAD ASSORTED COLOR</t>
  </si>
  <si>
    <t>Green = 4pcs,,L/Grey= 8 pcs</t>
  </si>
  <si>
    <t>Blue = 4pcs,,Orange=4pcs,,Yellow=4pcs</t>
  </si>
  <si>
    <t>SIZE CARTON  TREVNAD ( PILLOW )</t>
  </si>
  <si>
    <t xml:space="preserve"> LATTJO CHAIRPAD BLUE</t>
  </si>
  <si>
    <t xml:space="preserve"> LATTJO CHAIRPAD PINK</t>
  </si>
  <si>
    <t>Packaging Improvement  LATSAS SHOPPING BASKET</t>
  </si>
  <si>
    <t xml:space="preserve"> LATSAS SHOPPING BASKET</t>
  </si>
  <si>
    <t>LATSAS SHOPPING BASKET ( NEW )</t>
  </si>
  <si>
    <t>TITTA DJUR</t>
  </si>
  <si>
    <t>LATTJO GLOVE EAGLE</t>
  </si>
  <si>
    <t>LATTJO VAMPIRE</t>
  </si>
  <si>
    <t>LATTJO CAT</t>
  </si>
  <si>
    <t>LATSAS SHOPPING BASKET NEW</t>
  </si>
  <si>
    <t>DUKTIG cake s6 soft toy</t>
  </si>
  <si>
    <t>GOSIG VALP soft toy dog/beagle</t>
  </si>
  <si>
    <t>HOPPIG soft toy 63 dog/bernese mountain dog</t>
  </si>
  <si>
    <t>JÄTTESTOR NNN soft toy elephant/grey</t>
  </si>
  <si>
    <t>LIVLIG soft toy 26 dog/siberian husky</t>
  </si>
  <si>
    <t>ÖNSKAD N soft toy American football/brown</t>
  </si>
  <si>
    <t>BLÅHAJ NNN soft toy shark</t>
  </si>
  <si>
    <t>SIZE CARTON  SACTBAS 2017</t>
  </si>
  <si>
    <t>LATTJO CHAIR PAD BLUE</t>
  </si>
  <si>
    <t>LATTJO CHAIR PAD PINK</t>
  </si>
  <si>
    <t>PALLET</t>
  </si>
  <si>
    <t>1200 X 760 X 50</t>
  </si>
  <si>
    <t>CT BOX</t>
  </si>
  <si>
    <t>600 X 380 X 310</t>
  </si>
  <si>
    <t>PAD LAYER</t>
  </si>
  <si>
    <t>1200 X 760</t>
  </si>
  <si>
    <t>TRAY</t>
  </si>
  <si>
    <t>590 X 370 X 40</t>
  </si>
  <si>
    <t>DUKTIG CUPCAKE CARTON BOX</t>
  </si>
  <si>
    <t>Size Carton Box</t>
  </si>
  <si>
    <t>LATTJO ROBOT</t>
  </si>
  <si>
    <t>LATTJO SKATEBOARD</t>
  </si>
  <si>
    <t>SAGOSKAT S/T BIRD/BLACK</t>
  </si>
  <si>
    <t>SAGOSKAT S/T HIPPO KROKODIL</t>
  </si>
  <si>
    <t>SAGOSKAT S/T MONSTER</t>
  </si>
  <si>
    <t>SAGOSKAT S/T OWL</t>
  </si>
  <si>
    <t>SAGOSKAT S/T SQUEKY BIRD BLUE</t>
  </si>
  <si>
    <t>SAGOSKAT S/T RAINBOW CLAUD</t>
  </si>
  <si>
    <t>SAGOSKAT 2017</t>
  </si>
  <si>
    <t xml:space="preserve">FJADERMOLN  </t>
  </si>
  <si>
    <t>DUKTIG CUP CAKE</t>
  </si>
  <si>
    <t>0.05 X 17 X 27</t>
  </si>
  <si>
    <t>ÖNSKAD N soft toy American football</t>
  </si>
  <si>
    <t>Article</t>
  </si>
  <si>
    <t>Carton Size</t>
  </si>
  <si>
    <t>DJUNGELSKOG glove puppet snake/burmese python</t>
  </si>
  <si>
    <t>Qty/Pcs  Pallet</t>
  </si>
  <si>
    <t>DJUNGELSKOG soft toy brown bear</t>
  </si>
  <si>
    <t>DJUNGELSKOG soft toy panda</t>
  </si>
  <si>
    <t>DJUNGELSKOG soft toy tiger</t>
  </si>
  <si>
    <t>DJUNGELSKOG</t>
  </si>
  <si>
    <t>Keterangan</t>
  </si>
  <si>
    <t>K200/M150/K200 ( CB 60 )</t>
  </si>
  <si>
    <t>K200/M125/M150/M125K150 ( CB 100 )</t>
  </si>
  <si>
    <t>K275/K150/K275/K150/K275 ( CB 150 )</t>
  </si>
  <si>
    <t>WK200/M135/WK200 ( CB 30 )</t>
  </si>
  <si>
    <t>JATESTOR ELEPHANT</t>
  </si>
  <si>
    <t>K190/M135/M135/M135/K190</t>
  </si>
  <si>
    <t>K275/K135/K275/K135/K275)</t>
  </si>
  <si>
    <t>K200/M125/K125</t>
  </si>
  <si>
    <t xml:space="preserve"> PALLET DUKTIG</t>
  </si>
  <si>
    <t>DUKTIG CUPCAKE BOX</t>
  </si>
  <si>
    <t>DUKTIG CUPCAKE BOX TRAY</t>
  </si>
  <si>
    <t>CB 30</t>
  </si>
  <si>
    <t xml:space="preserve"> DJUNGELSKOG soft toy animal assorted designs</t>
  </si>
  <si>
    <t>DJUNGELSKOG soft toy animal assorted designs</t>
  </si>
  <si>
    <t>TREVNAD BOLSTER 21X90 WHITE</t>
  </si>
  <si>
    <t xml:space="preserve">SIZE CARTON  SACTBAS 2018 </t>
  </si>
  <si>
    <t>LIVLIG HUSKY NEW</t>
  </si>
  <si>
    <t>LUSTIG BOULES GAME</t>
  </si>
  <si>
    <t>BLAHAJ SHARK</t>
  </si>
  <si>
    <t>LUSTIG BOULES GAME NEW</t>
  </si>
  <si>
    <t>730 X 350 X 410</t>
  </si>
  <si>
    <t>LUSTIG BOULES GAME NEW PALLET</t>
  </si>
  <si>
    <t>DRAGON 55, UNICORN 29</t>
  </si>
  <si>
    <t>LUSTIG BOULES GAME NEW PAD</t>
  </si>
  <si>
    <t>1050 X 350 X 50</t>
  </si>
  <si>
    <t xml:space="preserve">1050 X 350 </t>
  </si>
  <si>
    <t>SNUTIG</t>
  </si>
  <si>
    <t>LATTJO GLOVE EAGLE NEW</t>
  </si>
  <si>
    <t>TREVNAD ASSORTED</t>
  </si>
  <si>
    <t>TREVNAD PILLOW  50 x 80 WHITE</t>
  </si>
  <si>
    <t>KLAPPA PLAYMAT BLUE</t>
  </si>
  <si>
    <t>DUKTIG PIZZA</t>
  </si>
  <si>
    <t>BLAHAJ soft toy 55 shark</t>
  </si>
  <si>
    <t xml:space="preserve"> 750 x 570 x 450</t>
  </si>
  <si>
    <t>KLAPPAR N soft toy bulldog brown</t>
  </si>
  <si>
    <t>SOTAST soft toy 25 koala</t>
  </si>
  <si>
    <t>TANDAVAL soft toy 55 whale</t>
  </si>
  <si>
    <t xml:space="preserve"> DUKTIG pizza</t>
  </si>
  <si>
    <t xml:space="preserve"> 570 x 375 x 450</t>
  </si>
  <si>
    <t xml:space="preserve"> TANDAVAL whale 35 cm</t>
  </si>
  <si>
    <t xml:space="preserve">SIZE CARTON  SACTBAS 2019 </t>
  </si>
  <si>
    <t>Uptag Blue</t>
  </si>
  <si>
    <t>Uptag Red</t>
  </si>
  <si>
    <t>0.05 x 29.5 x 27+12</t>
  </si>
  <si>
    <t>0.05 x 55 x 95</t>
  </si>
  <si>
    <t xml:space="preserve">0.05 x 40 x 115 </t>
  </si>
  <si>
    <t>0.05 X 27 X 40+12</t>
  </si>
  <si>
    <t>0.05 X 18 x 20</t>
  </si>
  <si>
    <t>0.05 X 17 X 16+11</t>
  </si>
  <si>
    <t>DJUNGELSKOG soft toy Orang Utan</t>
  </si>
  <si>
    <t>Uptag Blue ( ballon )</t>
  </si>
  <si>
    <t>Uptag Red ( bus )</t>
  </si>
  <si>
    <t>Uptag Blue  ( CLOUD )</t>
  </si>
  <si>
    <t>DWP JATTELIK</t>
  </si>
  <si>
    <t>Product</t>
  </si>
  <si>
    <t>Artname</t>
  </si>
  <si>
    <t>size carton</t>
  </si>
  <si>
    <t xml:space="preserve"> Qty / carton</t>
  </si>
  <si>
    <t xml:space="preserve"> Qty / pallet</t>
  </si>
  <si>
    <t>Carton/ pallet</t>
  </si>
  <si>
    <t>75 x 57 x 45 cm</t>
  </si>
  <si>
    <t>16 pcs</t>
  </si>
  <si>
    <t>64 pcs</t>
  </si>
  <si>
    <t>4 ctn</t>
  </si>
  <si>
    <t>Parent</t>
  </si>
  <si>
    <t>36 pcs</t>
  </si>
  <si>
    <t>288 pcs</t>
  </si>
  <si>
    <t>8 ctn</t>
  </si>
  <si>
    <t>Baby egg</t>
  </si>
  <si>
    <t xml:space="preserve"> 75 x 57 x 45 cm</t>
  </si>
  <si>
    <t>12 pcs</t>
  </si>
  <si>
    <t>48 pcs</t>
  </si>
  <si>
    <t>25 pcs</t>
  </si>
  <si>
    <t>200 pcs</t>
  </si>
  <si>
    <t xml:space="preserve">Baby  </t>
  </si>
  <si>
    <t>9 pcs</t>
  </si>
  <si>
    <t>40 pcs</t>
  </si>
  <si>
    <t>Baby</t>
  </si>
  <si>
    <t>JÄTTELIK 2 soft toy  Stego 75 AP</t>
  </si>
  <si>
    <t>JÄTTELIK 2 soft toy  Stego 75 EU</t>
  </si>
  <si>
    <t>JÄTTELIK 2 soft toy  Stego 75 RU</t>
  </si>
  <si>
    <t>JÄTTELIK 2 soft toy  Stego 75 NA</t>
  </si>
  <si>
    <t>JÄTTELIK 8 soft toy Bronto 90 EU</t>
  </si>
  <si>
    <t>JÄTTELIK 8 soft toy Bronto 90 AP</t>
  </si>
  <si>
    <t>JÄTTELIK 8 soft toy Bronto 90 NA</t>
  </si>
  <si>
    <t>JÄTTELIK 8 soft toy Bronto 90 RU</t>
  </si>
  <si>
    <t>JÄTTELIK 10 Ankylo  37 soft toy</t>
  </si>
  <si>
    <t>JÄTTELIK 10 Ankylo  37 soft toy AP</t>
  </si>
  <si>
    <t>JÄTTELIK 10 Ankylo  37 soft toy NA</t>
  </si>
  <si>
    <t>JÄTTELIK 10 Ankylo  37 soft toy RU</t>
  </si>
  <si>
    <t>JÄTTELIK 9 Ankylo 55 soft toy</t>
  </si>
  <si>
    <t>JÄTTELIK 9 Ankylo 55 soft toy AP</t>
  </si>
  <si>
    <t>JÄTTELIK 9 Ankylo 55 soft toy NA</t>
  </si>
  <si>
    <t>JÄTTELIK 9 Ankylo 55 soft toy RU</t>
  </si>
  <si>
    <t>JÄTTELIK 12 soft toy  Stego 50</t>
  </si>
  <si>
    <t>JÄTTELIK 12 soft toy  Stego 50 AP</t>
  </si>
  <si>
    <t>JÄTTELIK 12 soft toy  Stego 50 NA</t>
  </si>
  <si>
    <t>JÄTTELIK 12 soft toy  Stego 50 RU</t>
  </si>
  <si>
    <t>JÄTTELIK 3 soft toy  Bronto 55 EU</t>
  </si>
  <si>
    <t>JÄTTELIK 3 soft toy  Bronto 55 AP</t>
  </si>
  <si>
    <t>JÄTTELIK 3 soft toy  Bronto 55 NA</t>
  </si>
  <si>
    <t>JÄTTELIK 3 soft toy  Bronto 55 RU</t>
  </si>
  <si>
    <t xml:space="preserve">  57 x 37,5 x 45 cm</t>
  </si>
  <si>
    <t>CURRENT PACKAGING</t>
  </si>
  <si>
    <t xml:space="preserve">PACKAGING IMPROVEMENT </t>
  </si>
  <si>
    <t>QTY / MP</t>
  </si>
  <si>
    <t>QTY / UL</t>
  </si>
  <si>
    <t>CTN / UL</t>
  </si>
  <si>
    <t>JATTELIK BRONTO 55</t>
  </si>
  <si>
    <t>75 X 57 X 45 CM</t>
  </si>
  <si>
    <t>4 CTN</t>
  </si>
  <si>
    <t>JATTELIK STEGO 75</t>
  </si>
  <si>
    <t>JATTELIK ANKYLO 55</t>
  </si>
  <si>
    <t>JATTELIK STEGO 50</t>
  </si>
  <si>
    <t>57 X 37,5 X 45 CM</t>
  </si>
  <si>
    <t>8 CTN</t>
  </si>
  <si>
    <t>JATTELIK ANKYLO 37</t>
  </si>
  <si>
    <t>KNYST SOFT BROWN 32 ( COW )</t>
  </si>
  <si>
    <t>new</t>
  </si>
  <si>
    <t>LILEPLUTT soft toy ( NEW )</t>
  </si>
  <si>
    <t>SIZE CARTON  SACTBAS 2021</t>
  </si>
  <si>
    <t>BOLLKÄR N soft toy basketball/orange                   </t>
  </si>
  <si>
    <t>JÄTTEMÄTT soft toy 80 crocodile/green                  </t>
  </si>
  <si>
    <t>MJUKHET soft toy 28 baby panther/black                  </t>
  </si>
  <si>
    <t>MODERLIG soft toy 54 panther/black                     </t>
  </si>
  <si>
    <t>MORRHÅR soft toy 80 leopard/beige                      </t>
  </si>
  <si>
    <t>SÖTAST N soft toy s2 koala/grey                        </t>
  </si>
  <si>
    <t>BARNDROM Cushion Filled cat</t>
  </si>
  <si>
    <t>Vinter 2021 Santa Claus Red</t>
  </si>
  <si>
    <t xml:space="preserve">MULNA soft TIGER </t>
  </si>
  <si>
    <t>JÄTTELIK 12 soft toy  Stego 50 /Stegosaurus</t>
  </si>
  <si>
    <t>JÄTTEMÄTT soft toy 80 crocodile/green   </t>
  </si>
  <si>
    <t>MORRHÅR soft toy 80 leopard/beige       </t>
  </si>
  <si>
    <t>SÖTAST N soft toy s2 koala/grey                   </t>
  </si>
  <si>
    <t>BERTIL chr pad 33 grey                    </t>
  </si>
  <si>
    <t>Size</t>
  </si>
  <si>
    <t>1050 x 710 x 50 ( Pallet )</t>
  </si>
  <si>
    <t>1050 x 710 ( Pad Layer )</t>
  </si>
  <si>
    <t>BLÅVINGAD csh 40x32 penguin-black/white</t>
  </si>
  <si>
    <t>BLÅVINGAD csh coral-shaped/turquoise</t>
  </si>
  <si>
    <t xml:space="preserve">BLÅVINGAD soft toy 100 blue whale    </t>
  </si>
  <si>
    <t xml:space="preserve">BLÅVINGAD soft toy 60 orca/black white </t>
  </si>
  <si>
    <t xml:space="preserve">FÄRDRUP N rug 60x100 grey </t>
  </si>
  <si>
    <t>1060 x 600 x 50 ( pallet )</t>
  </si>
  <si>
    <t>765 x 570 x 1040 ( pad tekuk )</t>
  </si>
  <si>
    <t>BLÅHAJ N soft toy 55 shark   </t>
  </si>
  <si>
    <t>1140 x 375 x 450 ( ctn )</t>
  </si>
  <si>
    <t>750 x 570 x 450 ( ctn )</t>
  </si>
  <si>
    <t>Qty/ ctn</t>
  </si>
  <si>
    <t>Qty/ Pallet</t>
  </si>
  <si>
    <t>8 PCS</t>
  </si>
  <si>
    <t>32 PCS</t>
  </si>
  <si>
    <t>1060 x 610 x 760 ( BOX-TOP ) CB 150 bb</t>
  </si>
  <si>
    <t>1050 x 590 x 770 ( BOX-BOTTOM ) CB 110 ww</t>
  </si>
  <si>
    <t>SIZE CARTON  SACTBAS 2022</t>
  </si>
  <si>
    <t>128 PCS</t>
  </si>
  <si>
    <t>20 pcs</t>
  </si>
  <si>
    <t>80 pcs</t>
  </si>
  <si>
    <t>54 PCS</t>
  </si>
  <si>
    <t>216 PCS</t>
  </si>
  <si>
    <t>108 PCS</t>
  </si>
  <si>
    <t>864 PCS</t>
  </si>
  <si>
    <t>350 x 350 x 465 ( Ctn )</t>
  </si>
  <si>
    <t>80 PCS</t>
  </si>
  <si>
    <t>384 PCS</t>
  </si>
  <si>
    <t>60 PCS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</si>
  <si>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 xml:space="preserve">FÄRDRUP N rug 60x100 grey  L 1060 X W 600 X H 50 </t>
    </r>
    <r>
      <rPr>
        <sz val="8"/>
        <color rgb="FF000000"/>
        <rFont val="Wingdings"/>
        <charset val="2"/>
      </rPr>
      <t>à</t>
    </r>
    <r>
      <rPr>
        <sz val="8"/>
        <color rgb="FF000000"/>
        <rFont val="Tahoma"/>
        <family val="2"/>
      </rPr>
      <t xml:space="preserve"> Ikea Lb05 (CB / F K275 - K200 - K200 - K200 - K275 ) ( pallet )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</si>
  <si>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 xml:space="preserve"> FÄRDRUP N rug 60x100 grey 1050 X W 590 X H 770 Ikea </t>
    </r>
    <r>
      <rPr>
        <sz val="8"/>
        <color rgb="FF000000"/>
        <rFont val="Wingdings"/>
        <charset val="2"/>
      </rPr>
      <t>à</t>
    </r>
    <r>
      <rPr>
        <sz val="8"/>
        <color rgb="FF000000"/>
        <rFont val="Tahoma"/>
        <family val="2"/>
      </rPr>
      <t>Cb110 WW ( CB / F WK170 - M125 - M100 - M125 - Wk170 ) BOX-BOTTOM</t>
    </r>
  </si>
  <si>
    <r>
      <t>v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>BERTIL chr pad 33 grey    L 350 X W 350 X H 465 Ikea CB60 BB ( C/F K125 - M125 - K200 ) CT BOX</t>
    </r>
  </si>
  <si>
    <r>
      <t>v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>BERTIL chr pad 33 grey   1050 x 710 ( Pad Layer )</t>
    </r>
  </si>
  <si>
    <t>Jenis Kraft</t>
  </si>
  <si>
    <t>Rev</t>
  </si>
  <si>
    <t xml:space="preserve"> IKEA CB100 K200/M100/M100/M100/K200</t>
  </si>
  <si>
    <t xml:space="preserve"> CB/ F K275 - K200 - K275 - K200 - K275</t>
  </si>
  <si>
    <t xml:space="preserve"> IKEA CB 60 BB K125/M135/K200</t>
  </si>
  <si>
    <t xml:space="preserve"> CB / F K275 - K200 - K200 - K200 - K275 </t>
  </si>
  <si>
    <t xml:space="preserve"> CB110 WW ( CB / F WK170 - M125 - M100 - M125 - Wk170 </t>
  </si>
  <si>
    <t>1070*710*50 mm</t>
  </si>
  <si>
    <t xml:space="preserve"> CB 60 BB K125/M135/K200</t>
  </si>
  <si>
    <t xml:space="preserve"> CB / F K275 - K200 - K200 - K200 - K275 ) </t>
  </si>
  <si>
    <t xml:space="preserve"> CB 60 BB ( C/F K125 - M125 - K200 )</t>
  </si>
  <si>
    <t>PACKAGING IMPROVEMENT FY23</t>
  </si>
  <si>
    <t>ITEM NAME</t>
  </si>
  <si>
    <t>Lilleplutt Cat Grey</t>
  </si>
  <si>
    <t xml:space="preserve">Jattelik 37 Ankylosaurus </t>
  </si>
  <si>
    <t>Jattelik 50 Stegosaurus</t>
  </si>
  <si>
    <t xml:space="preserve">Morrharr Leopard </t>
  </si>
  <si>
    <t xml:space="preserve">Sotast Koala </t>
  </si>
  <si>
    <t xml:space="preserve">Vinterfint Santa </t>
  </si>
  <si>
    <t xml:space="preserve">Barndrom </t>
  </si>
  <si>
    <t xml:space="preserve">Blahaj 55 Shark </t>
  </si>
  <si>
    <t>1040 x 710 ( Pad Layer )</t>
  </si>
  <si>
    <t>570 x 375 x 450 ( ctn )</t>
  </si>
  <si>
    <t xml:space="preserve"> REV Pakai CB 100 ikut pack req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</si>
  <si>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 xml:space="preserve">FÄRDRUP N rug 60x100 grey  L 1060 X W 610 X H 760 </t>
    </r>
    <r>
      <rPr>
        <sz val="8"/>
        <color rgb="FF000000"/>
        <rFont val="Wingdings"/>
        <charset val="2"/>
      </rPr>
      <t>à</t>
    </r>
    <r>
      <rPr>
        <sz val="8"/>
        <color rgb="FF000000"/>
        <rFont val="Tahoma"/>
        <family val="2"/>
      </rPr>
      <t xml:space="preserve"> Ikea CB150 BB ( CB/ F K275 K200 - K275 - K200 - K275 ) ( BOX-TOP )</t>
    </r>
    <r>
      <rPr>
        <sz val="8"/>
        <color rgb="FFFF0000"/>
        <rFont val="Tahoma"/>
        <family val="2"/>
      </rPr>
      <t xml:space="preserve"> Rev paka CB 100 K200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</si>
  <si>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 xml:space="preserve">FÄRDRUP N rug 60x100 grey  L 760 X 570 W X 1040 </t>
    </r>
    <r>
      <rPr>
        <sz val="8"/>
        <color rgb="FF000000"/>
        <rFont val="Wingdings"/>
        <charset val="2"/>
      </rPr>
      <t>à</t>
    </r>
    <r>
      <rPr>
        <sz val="8"/>
        <color rgb="FF000000"/>
        <rFont val="Tahoma"/>
        <family val="2"/>
      </rPr>
      <t xml:space="preserve">Ikea CB150 BB ( CB/ F K275 - K200 - K275 - K200 - K275 ) ( pad tekuk </t>
    </r>
    <r>
      <rPr>
        <sz val="8"/>
        <color rgb="FF2E75B6"/>
        <rFont val="Tahoma"/>
        <family val="2"/>
      </rPr>
      <t xml:space="preserve">) </t>
    </r>
    <r>
      <rPr>
        <sz val="8"/>
        <color rgb="FFFF0000"/>
        <rFont val="Tahoma"/>
        <family val="2"/>
      </rPr>
      <t xml:space="preserve">REV Pakai </t>
    </r>
    <r>
      <rPr>
        <sz val="8"/>
        <color rgb="FFFF0000"/>
        <rFont val="Calibri"/>
        <family val="2"/>
        <scheme val="minor"/>
      </rPr>
      <t>CB 60</t>
    </r>
  </si>
  <si>
    <r>
      <t>v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Tahoma"/>
        <family val="2"/>
      </rPr>
      <t>BERTIL chr pad 33 grey    L 1050 X W 710 X H 50 Lb05 (CB / F K275 - K200 - K200 - K200 - K275 )</t>
    </r>
    <r>
      <rPr>
        <sz val="8"/>
        <color rgb="FFFF0000"/>
        <rFont val="Tahoma"/>
        <family val="2"/>
      </rPr>
      <t xml:space="preserve"> PALLET REV </t>
    </r>
    <r>
      <rPr>
        <sz val="8"/>
        <color rgb="FFFF0000"/>
        <rFont val="Wingdings"/>
        <charset val="2"/>
      </rPr>
      <t>à</t>
    </r>
    <r>
      <rPr>
        <sz val="8"/>
        <color rgb="FFFF0000"/>
        <rFont val="Tahoma"/>
        <family val="2"/>
      </rPr>
      <t xml:space="preserve"> </t>
    </r>
    <r>
      <rPr>
        <sz val="11"/>
        <color rgb="FFFF0000"/>
        <rFont val="Calibri"/>
        <family val="2"/>
        <scheme val="minor"/>
      </rPr>
      <t>Rev Size 1070*710*50 mm</t>
    </r>
  </si>
  <si>
    <t>1140 x 375 x 450</t>
  </si>
  <si>
    <t>BLÅVINGAD soft toy 60 orca/black white</t>
  </si>
  <si>
    <t>7D</t>
  </si>
  <si>
    <t>VIRGIN</t>
  </si>
  <si>
    <t>15D</t>
  </si>
  <si>
    <t>Recycle</t>
  </si>
  <si>
    <t xml:space="preserve">KLAPPAR KANGGURU </t>
  </si>
  <si>
    <t>ONSKAD</t>
  </si>
  <si>
    <t xml:space="preserve"> ONSKAD RUGBY</t>
  </si>
  <si>
    <t xml:space="preserve"> ONSKAD TURTLE</t>
  </si>
  <si>
    <t xml:space="preserve"> ONSKAD PARROT</t>
  </si>
  <si>
    <t xml:space="preserve"> ONSKAD PUFFIN</t>
  </si>
  <si>
    <t xml:space="preserve"> 570 X 375 X 230 </t>
  </si>
  <si>
    <t xml:space="preserve"> ONSKAD TIGER</t>
  </si>
  <si>
    <t xml:space="preserve"> ONSKAD RHINO</t>
  </si>
  <si>
    <t>AFTONSPARV soft toy rabbit</t>
  </si>
  <si>
    <t>AFTONSPARV soft toy bear</t>
  </si>
  <si>
    <t>JÄTTELIK  Ankylo 55 soft toy EU</t>
  </si>
  <si>
    <t>DJUNGLESKOG BROWN BEAR CUB</t>
  </si>
  <si>
    <t>SNUTIG POLLAR BEAR CUB</t>
  </si>
  <si>
    <t>AFTONSPARV soft toy  cat</t>
  </si>
  <si>
    <t>BARNDRÖM cushion w pocket 32x8 beige</t>
  </si>
  <si>
    <t>BLANGVINGAD TURTLE</t>
  </si>
  <si>
    <t>TREVNAD csh 50x50 green ID</t>
  </si>
  <si>
    <t>TREVNAD csh 50x50 light blue ID</t>
  </si>
  <si>
    <t>TREVNAD csh 50x50 orange ID</t>
  </si>
  <si>
    <t>TREVNAD csh 50x50 yellow ID</t>
  </si>
  <si>
    <t>TREVNAD csh 50x50 (D.Blue)</t>
  </si>
  <si>
    <t xml:space="preserve"> 1140 X 750 X 450</t>
  </si>
  <si>
    <t xml:space="preserve"> INNER 40 X 58</t>
  </si>
  <si>
    <t xml:space="preserve"> INNER 50 X 50</t>
  </si>
  <si>
    <t xml:space="preserve"> INNER 65 X 65</t>
  </si>
  <si>
    <t>Item Name</t>
  </si>
  <si>
    <t>Ctn Size (cm)</t>
  </si>
  <si>
    <t>Qty/MP</t>
  </si>
  <si>
    <t>Qty/UL</t>
  </si>
  <si>
    <t>INNER N cush pad 40x58 white/firm ID</t>
  </si>
  <si>
    <t>INNER N cush pad 50x50 white/firm ID</t>
  </si>
  <si>
    <t>INNER N cush pad 65x65 white/firm ID</t>
  </si>
  <si>
    <t>VINTERFINT 2024 deco 31 Santa Claus sitting/red EU/AP/CA/US</t>
  </si>
  <si>
    <t>VINTERFINT 2024 deco 71 Santa Claus grey/red EU/AP/CA/US</t>
  </si>
  <si>
    <t>LAPTATEL High 50 x 80</t>
  </si>
  <si>
    <t>LAPTATEL low 50 x 80</t>
  </si>
  <si>
    <t>VILDKORN High 50 x 80 AP</t>
  </si>
  <si>
    <t>VILDKORN Low AP</t>
  </si>
  <si>
    <t>SKOGSDUVA acorn</t>
  </si>
  <si>
    <t>SKOGSDUVA mushroom</t>
  </si>
  <si>
    <t>SKOGSDUVA flower</t>
  </si>
  <si>
    <t>SKOGSDUVA soft toy 63 lynx/orange brown EU/AP/ME/NA</t>
  </si>
  <si>
    <t>SKOGSDUVA soft toy 60 arctic fox/white EU/AP/ME/NA</t>
  </si>
  <si>
    <t>DYKAND csh arrow/black AP</t>
  </si>
  <si>
    <t>DYKAND csh arrow/blue AP</t>
  </si>
  <si>
    <t>FISKUV csh cloud/blue EU/AP/GB</t>
  </si>
  <si>
    <t>FISKUV csh cloud/white AP</t>
  </si>
  <si>
    <t>Qty ctn/plt</t>
  </si>
  <si>
    <t xml:space="preserve">VINTERFINT 2024 deco 31 Santa Claus </t>
  </si>
  <si>
    <t xml:space="preserve">VINTERFINT 2024 deco 71 Santa Claus </t>
  </si>
  <si>
    <t>SKOGSDUVA soft toy 60 arctic fox</t>
  </si>
  <si>
    <t xml:space="preserve">SKOGSDUVA soft toy 63 lynx/orange brown </t>
  </si>
  <si>
    <t>0.05 x 70 x 80</t>
  </si>
  <si>
    <t xml:space="preserve">0.05 x 55 x 65 </t>
  </si>
  <si>
    <t>DJUNGELSKOG glove puppet snake</t>
  </si>
  <si>
    <t xml:space="preserve"> AFSTON BEAR</t>
  </si>
  <si>
    <t xml:space="preserve"> AFSTON CAT</t>
  </si>
  <si>
    <t xml:space="preserve"> AFSTON RABBIT</t>
  </si>
  <si>
    <t xml:space="preserve"> BLANGVINGAD TURTLE</t>
  </si>
  <si>
    <t>Gosig Golden 70 DE</t>
  </si>
  <si>
    <t>Kramig DE</t>
  </si>
  <si>
    <t>DJ Orangutan DE</t>
  </si>
  <si>
    <t>Remarks</t>
  </si>
  <si>
    <t>POÄNG csh ach Hillared ,POÄNG csh ach Skiftebo</t>
  </si>
  <si>
    <t>POÄNG csh FTST Hillared,POÄNG csh FTST Skiftebo,POÄNG csh FTST Knisa</t>
  </si>
  <si>
    <t>Box Bottom</t>
  </si>
  <si>
    <t>Lid /Tutup</t>
  </si>
  <si>
    <t>Sheet ( Bagian dalam )</t>
  </si>
  <si>
    <t>ITEM</t>
  </si>
  <si>
    <t>POANG ARTICLE</t>
  </si>
  <si>
    <t>POÄNG csh ach Knisa ( roll pack )</t>
  </si>
  <si>
    <t xml:space="preserve">CB Quality </t>
  </si>
  <si>
    <t>IKEA CB 100 BB</t>
  </si>
  <si>
    <t>IKEA CB 80 BB</t>
  </si>
  <si>
    <t>IKEA CB 70 BB</t>
  </si>
  <si>
    <t xml:space="preserve">IKEA LB 05 </t>
  </si>
  <si>
    <t>Teawon sample</t>
  </si>
  <si>
    <t>Quty adjust</t>
  </si>
  <si>
    <t>118 x 748 x 445</t>
  </si>
  <si>
    <t>1204 x 774 x  150</t>
  </si>
  <si>
    <t>730 x 450</t>
  </si>
  <si>
    <t>565 x 510 x 450</t>
  </si>
  <si>
    <t>570 x 515 x 150</t>
  </si>
  <si>
    <t>598x576x800</t>
  </si>
  <si>
    <t xml:space="preserve">
705x583x120
</t>
  </si>
  <si>
    <t>682x792</t>
  </si>
  <si>
    <t>705x583x50</t>
  </si>
  <si>
    <t xml:space="preserve">
1188x748x445
</t>
  </si>
  <si>
    <t xml:space="preserve">
1204x774x150
</t>
  </si>
  <si>
    <t>730x450</t>
  </si>
  <si>
    <t>1204x774x50</t>
  </si>
  <si>
    <t xml:space="preserve">
565x510x451
</t>
  </si>
  <si>
    <t xml:space="preserve">
572x517x150
</t>
  </si>
  <si>
    <t>550x407</t>
  </si>
  <si>
    <t>1034x572x50</t>
  </si>
  <si>
    <t>565 x 450</t>
  </si>
  <si>
    <t>1140 x 515 x 50</t>
  </si>
  <si>
    <t>678 x 564 x 792</t>
  </si>
  <si>
    <t>690 x 568 x 120</t>
  </si>
  <si>
    <t>682 x 792</t>
  </si>
  <si>
    <t>710 x 586 x 50</t>
  </si>
  <si>
    <t>IKEA CB 60 BB</t>
  </si>
  <si>
    <t>IKEA CB 50</t>
  </si>
  <si>
    <t>LB 05</t>
  </si>
  <si>
    <t>Paper Pallet ( feet 6 Uk 180*90 )</t>
  </si>
  <si>
    <t>Paper Pallet ( feet 6 Uk 90*90 )</t>
  </si>
  <si>
    <t>Paper Pallet ( ( feet 9 Uk 180*90 )</t>
  </si>
  <si>
    <t>1205 x 775 x 50</t>
  </si>
  <si>
    <t>Qty</t>
  </si>
  <si>
    <t>POANG ACH HILLARED/ACH SKIFTEBO</t>
  </si>
  <si>
    <t>Outside 698 X 576 X 800</t>
  </si>
  <si>
    <t>682 X 792</t>
  </si>
  <si>
    <t>Inside 690 x 568 x 120</t>
  </si>
  <si>
    <t>705 x 583 x 50</t>
  </si>
  <si>
    <t>Inside 1188 x 748 x 445</t>
  </si>
  <si>
    <t>Inside 1204 x 774 x 150</t>
  </si>
  <si>
    <t>1204 x 774 x 50</t>
  </si>
  <si>
    <t>inside 565 x 510 x 415</t>
  </si>
  <si>
    <t>550 x 407</t>
  </si>
  <si>
    <t>572 x 517 x 150</t>
  </si>
  <si>
    <t>1034 x 572 x 50</t>
  </si>
  <si>
    <t>Paper Pallet ( feet 9 Uk 180*90 )</t>
  </si>
  <si>
    <t>1 ull</t>
  </si>
  <si>
    <t>Remark</t>
  </si>
  <si>
    <t>Outside 600 X 580 X 800</t>
  </si>
  <si>
    <t>Outside 610 x 590 x 120</t>
  </si>
  <si>
    <t>610 x 590 x 50</t>
  </si>
  <si>
    <t>580 x 780</t>
  </si>
  <si>
    <t>Outside 1200 x 760 x 460</t>
  </si>
  <si>
    <t>Outside 1210 x 770 x 150</t>
  </si>
  <si>
    <t>740 x 450</t>
  </si>
  <si>
    <t>1210 x 770 x 50</t>
  </si>
  <si>
    <t>Outsise 585 x 530 x 150</t>
  </si>
  <si>
    <t>1070 x 585 x 50</t>
  </si>
  <si>
    <t>inside 572 x 517 x 150</t>
  </si>
  <si>
    <t>Outside 575 x 520 x 430</t>
  </si>
  <si>
    <t>555 x 420</t>
  </si>
  <si>
    <t>Out Side 710 x 590 x 120</t>
  </si>
  <si>
    <t>Paper Pallet (feet 9 Uk 180*90 )</t>
  </si>
  <si>
    <t>Polybag Size Poang</t>
  </si>
  <si>
    <t>SIZE</t>
  </si>
  <si>
    <t xml:space="preserve"> POLY BAG SIZE 68 X 93 CM </t>
  </si>
  <si>
    <t>Thickness</t>
  </si>
  <si>
    <t>POLY BAG SIZE 62 X 63 CM</t>
  </si>
  <si>
    <t>PE. LD. 0.08mm</t>
  </si>
  <si>
    <t>PCS/CTN</t>
  </si>
  <si>
    <t>PCS/PALLET</t>
  </si>
  <si>
    <t>pad layer</t>
  </si>
  <si>
    <t>705 x 583</t>
  </si>
  <si>
    <t>1204 x 774</t>
  </si>
  <si>
    <t>1070 x 585</t>
  </si>
  <si>
    <t>IKEA CB 10 BB</t>
  </si>
  <si>
    <t>CARTON SIZE POANG</t>
  </si>
  <si>
    <t>PRICE</t>
  </si>
  <si>
    <t>Outside 1196 x 756 x 458</t>
  </si>
  <si>
    <t>Outside 1210 x 782 x 150</t>
  </si>
  <si>
    <t>Outside 578 x 523 x 150</t>
  </si>
  <si>
    <t>#PDOC</t>
  </si>
  <si>
    <t>#QUTY</t>
  </si>
  <si>
    <t>APPROVE</t>
  </si>
  <si>
    <t>Outside 571 x 516 x 424</t>
  </si>
  <si>
    <t>1040*575*50</t>
  </si>
  <si>
    <t>SKOGSDUVA cushion pocket acorn</t>
  </si>
  <si>
    <t>sample#1</t>
  </si>
  <si>
    <t>1060*570*50</t>
  </si>
  <si>
    <t>sample#2</t>
  </si>
  <si>
    <t xml:space="preserve">SKOGSDUVA   stool Cover  mushroom </t>
  </si>
  <si>
    <t>SKOGSDUVA Csh Flower</t>
  </si>
  <si>
    <t xml:space="preserve">DJUNGELSKOG N soft toy 11 mini/panda    </t>
  </si>
  <si>
    <t>DJUNGELSKOG N soft toy 12 mini/elephant</t>
  </si>
  <si>
    <t>DJUNGELSKOG N soft toy 13 mini/lion</t>
  </si>
  <si>
    <t>DJUNGELSKOG N soft toy 13 mini/tiger</t>
  </si>
  <si>
    <t>DJUNGELSKOG N soft toy 20 mini/orangutan</t>
  </si>
  <si>
    <t>375 x 285 x 150</t>
  </si>
  <si>
    <t>CB 60 C/F K125/M135/K200</t>
  </si>
  <si>
    <t>KUSTFYR 2025 soft toy 44 cat black</t>
  </si>
  <si>
    <t xml:space="preserve"> PALLET KUSTFYR </t>
  </si>
  <si>
    <t>1120 X 750 X 50</t>
  </si>
  <si>
    <t>GREJSIMOJS soft toy 100 bear/beige</t>
  </si>
  <si>
    <t>GREJSIMOJS soft toy 38 bear/green</t>
  </si>
  <si>
    <t>GREJSIMOJS soft toy 38 bear/off-white</t>
  </si>
  <si>
    <t>SANDLÖPARE soft toy 70 giraffe/brown</t>
  </si>
  <si>
    <t>SANDLÖPARE soft toy giraffe calf/brown</t>
  </si>
  <si>
    <t>SANDLÖPARE soft toy 16 meerkat/beige</t>
  </si>
  <si>
    <t>SANDLÖPARE soft toy 8 meerkat/mini beige</t>
  </si>
  <si>
    <t xml:space="preserve">VINTERFINT 2025 deco 35 Santa Claus red </t>
  </si>
  <si>
    <t xml:space="preserve">VINTERFINT 2025 deco 14 Santa Claus red </t>
  </si>
  <si>
    <t xml:space="preserve">VINTERFINT 2025 deco 74 Santa Claus red </t>
  </si>
  <si>
    <t xml:space="preserve">VINTERFINT 2025 deco 30 Santa Claus sitting/red </t>
  </si>
  <si>
    <t>VINTERFINT 2025 deco 19 Santa Claus red</t>
  </si>
  <si>
    <t>next po pakai ini</t>
  </si>
  <si>
    <t>375 X 285 X 150</t>
  </si>
  <si>
    <t xml:space="preserve">    719 X 509 X 55                                             753 X 546 X 441</t>
  </si>
  <si>
    <t xml:space="preserve">VILDKORN High 50 x 80 </t>
  </si>
  <si>
    <t xml:space="preserve"> PALLET Animal mini</t>
  </si>
  <si>
    <t>1170 x 750 x 50</t>
  </si>
  <si>
    <t>150*120</t>
  </si>
  <si>
    <t>BARNDRÖM Cushion Car</t>
  </si>
  <si>
    <t>BARNDRÖM Cushion Cloud Pile</t>
  </si>
  <si>
    <t>BLAHAJ SHARK ( SKIN )</t>
  </si>
  <si>
    <t>GREJSIMOJS soft toy 100 bear/beige ( SKIN )</t>
  </si>
  <si>
    <t>BARNDRÖM Cushion Car TAXI</t>
  </si>
  <si>
    <t>GREJSIMOJS soft toy 100 bear/beig ( AP ME NA )</t>
  </si>
  <si>
    <t>DJUNGELSKOG soft toy OrangUtan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</si>
</sst>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??_-;_-@_-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  <font>
      <b/>
      <sz val="14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theme="1"/>
      <name val="Calibri"/>
      <family val="2"/>
      <scheme val="minor"/>
    </font>
    <font>
      <b/>
      <i/>
      <sz val="11"/>
      <name val="Verdana"/>
      <family val="2"/>
    </font>
    <font>
      <sz val="11"/>
      <name val="Verdana"/>
      <family val="2"/>
    </font>
    <font>
      <sz val="12"/>
      <name val="Verdana"/>
      <family val="2"/>
    </font>
    <font>
      <b/>
      <sz val="1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b/>
      <u/>
      <sz val="20"/>
      <color theme="1"/>
      <name val="Calibri"/>
      <family val="2"/>
      <scheme val="minor"/>
    </font>
    <font>
      <b/>
      <sz val="11"/>
      <name val="Arial"/>
      <family val="2"/>
    </font>
    <font>
      <b/>
      <u/>
      <sz val="18"/>
      <name val="Verdana"/>
      <family val="2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Verdana"/>
      <family val="2"/>
    </font>
    <font>
      <b/>
      <sz val="11"/>
      <color theme="1"/>
      <name val="돋움"/>
      <family val="3"/>
      <charset val="129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Verdana"/>
      <family val="2"/>
    </font>
    <font>
      <sz val="14"/>
      <name val="Calibri"/>
      <family val="2"/>
      <scheme val="minor"/>
    </font>
    <font>
      <sz val="11"/>
      <name val="Tahoma"/>
      <family val="2"/>
    </font>
    <font>
      <sz val="12"/>
      <name val="Tahoma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8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6"/>
      <color theme="1"/>
      <name val="Calibri"/>
      <family val="2"/>
      <charset val="1"/>
      <scheme val="minor"/>
    </font>
    <font>
      <u/>
      <sz val="20"/>
      <color theme="1"/>
      <name val="Calibri"/>
      <family val="2"/>
      <scheme val="minor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sz val="11"/>
      <color rgb="FFFF0000"/>
      <name val="Verdana"/>
      <family val="2"/>
    </font>
    <font>
      <b/>
      <sz val="24"/>
      <color theme="1"/>
      <name val="Verdana"/>
      <family val="2"/>
    </font>
    <font>
      <b/>
      <sz val="11"/>
      <color rgb="FFFF0000"/>
      <name val="Verdana"/>
      <family val="2"/>
    </font>
    <font>
      <b/>
      <sz val="12"/>
      <color theme="1"/>
      <name val="Comic Sans MS"/>
      <family val="4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sz val="10"/>
      <color theme="1"/>
      <name val="Comic Sans MS"/>
      <family val="4"/>
    </font>
    <font>
      <sz val="10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8"/>
      <color rgb="FF000000"/>
      <name val="Wingdings"/>
      <charset val="2"/>
    </font>
    <font>
      <sz val="7"/>
      <color rgb="FF000000"/>
      <name val="Times New Roman"/>
      <family val="1"/>
    </font>
    <font>
      <sz val="8"/>
      <color rgb="FF000000"/>
      <name val="Tahoma"/>
      <family val="2"/>
    </font>
    <font>
      <sz val="8"/>
      <color rgb="FF2E75B6"/>
      <name val="Tahoma"/>
      <family val="2"/>
    </font>
    <font>
      <b/>
      <sz val="26"/>
      <color theme="1"/>
      <name val="Comic Sans MS"/>
      <family val="4"/>
    </font>
    <font>
      <sz val="11"/>
      <color rgb="FFFF0000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8"/>
      <color rgb="FFFF0000"/>
      <name val="Tahoma"/>
      <family val="2"/>
    </font>
    <font>
      <sz val="8"/>
      <color rgb="FFFF0000"/>
      <name val="Calibri"/>
      <family val="2"/>
      <scheme val="minor"/>
    </font>
    <font>
      <sz val="8"/>
      <color rgb="FFFF0000"/>
      <name val="Wingdings"/>
      <charset val="2"/>
    </font>
    <font>
      <sz val="10"/>
      <color rgb="FFFF0000"/>
      <name val="Arial"/>
      <family val="2"/>
    </font>
    <font>
      <sz val="8"/>
      <name val="Noto IKEA Latin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Verdan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34" fillId="0" borderId="0"/>
  </cellStyleXfs>
  <cellXfs count="1368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4" xfId="1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4" fontId="2" fillId="0" borderId="5" xfId="1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1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5" fillId="0" borderId="5" xfId="1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4" fontId="2" fillId="3" borderId="3" xfId="1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164" fontId="2" fillId="0" borderId="6" xfId="1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64" fontId="5" fillId="0" borderId="0" xfId="1" applyNumberFormat="1" applyFont="1" applyBorder="1" applyAlignment="1">
      <alignment vertical="center"/>
    </xf>
    <xf numFmtId="164" fontId="2" fillId="4" borderId="8" xfId="1" applyNumberFormat="1" applyFont="1" applyFill="1" applyBorder="1" applyAlignment="1">
      <alignment vertical="center"/>
    </xf>
    <xf numFmtId="164" fontId="2" fillId="4" borderId="1" xfId="1" applyNumberFormat="1" applyFont="1" applyFill="1" applyBorder="1" applyAlignment="1">
      <alignment vertical="center"/>
    </xf>
    <xf numFmtId="164" fontId="2" fillId="4" borderId="2" xfId="1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4" fontId="5" fillId="4" borderId="5" xfId="1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7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 vertical="top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3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3" fontId="14" fillId="0" borderId="13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5" fillId="0" borderId="6" xfId="1" applyNumberFormat="1" applyFont="1" applyBorder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164" fontId="16" fillId="4" borderId="17" xfId="1" applyNumberFormat="1" applyFont="1" applyFill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vertical="center"/>
    </xf>
    <xf numFmtId="1" fontId="3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4" borderId="1" xfId="1" quotePrefix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vertical="center"/>
    </xf>
    <xf numFmtId="0" fontId="3" fillId="4" borderId="4" xfId="1" applyNumberFormat="1" applyFont="1" applyFill="1" applyBorder="1" applyAlignment="1">
      <alignment horizontal="center" vertical="center"/>
    </xf>
    <xf numFmtId="0" fontId="0" fillId="0" borderId="0" xfId="0" applyAlignment="1"/>
    <xf numFmtId="0" fontId="18" fillId="0" borderId="0" xfId="0" applyFont="1" applyAlignment="1"/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Fill="1" applyBorder="1"/>
    <xf numFmtId="0" fontId="20" fillId="4" borderId="0" xfId="0" applyFont="1" applyFill="1" applyBorder="1" applyAlignment="1">
      <alignment horizontal="center" vertical="center"/>
    </xf>
    <xf numFmtId="0" fontId="25" fillId="0" borderId="0" xfId="3" applyFont="1" applyFill="1" applyBorder="1"/>
    <xf numFmtId="0" fontId="20" fillId="0" borderId="0" xfId="4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/>
    </xf>
    <xf numFmtId="164" fontId="19" fillId="10" borderId="1" xfId="0" applyNumberFormat="1" applyFont="1" applyFill="1" applyBorder="1" applyAlignment="1">
      <alignment horizontal="center"/>
    </xf>
    <xf numFmtId="164" fontId="19" fillId="17" borderId="4" xfId="4" applyNumberFormat="1" applyFont="1" applyFill="1" applyBorder="1" applyAlignment="1">
      <alignment horizontal="center"/>
    </xf>
    <xf numFmtId="164" fontId="19" fillId="17" borderId="1" xfId="3" applyNumberFormat="1" applyFont="1" applyFill="1" applyBorder="1" applyAlignment="1">
      <alignment horizontal="center"/>
    </xf>
    <xf numFmtId="164" fontId="19" fillId="10" borderId="1" xfId="4" applyNumberFormat="1" applyFont="1" applyFill="1" applyBorder="1" applyAlignment="1">
      <alignment horizontal="center"/>
    </xf>
    <xf numFmtId="164" fontId="19" fillId="18" borderId="1" xfId="1" applyNumberFormat="1" applyFont="1" applyFill="1" applyBorder="1" applyAlignment="1">
      <alignment horizontal="center"/>
    </xf>
    <xf numFmtId="164" fontId="19" fillId="14" borderId="1" xfId="1" applyNumberFormat="1" applyFont="1" applyFill="1" applyBorder="1" applyAlignment="1">
      <alignment horizontal="center"/>
    </xf>
    <xf numFmtId="164" fontId="19" fillId="19" borderId="1" xfId="4" applyNumberFormat="1" applyFont="1" applyFill="1" applyBorder="1" applyAlignment="1">
      <alignment horizontal="center"/>
    </xf>
    <xf numFmtId="164" fontId="19" fillId="19" borderId="1" xfId="1" applyNumberFormat="1" applyFont="1" applyFill="1" applyBorder="1" applyAlignment="1">
      <alignment horizontal="center"/>
    </xf>
    <xf numFmtId="164" fontId="19" fillId="19" borderId="1" xfId="3" applyNumberFormat="1" applyFont="1" applyFill="1" applyBorder="1" applyAlignment="1">
      <alignment horizontal="center"/>
    </xf>
    <xf numFmtId="0" fontId="23" fillId="17" borderId="28" xfId="3" applyFont="1" applyFill="1" applyBorder="1"/>
    <xf numFmtId="0" fontId="23" fillId="17" borderId="21" xfId="3" applyFont="1" applyFill="1" applyBorder="1"/>
    <xf numFmtId="0" fontId="23" fillId="10" borderId="21" xfId="3" applyFont="1" applyFill="1" applyBorder="1"/>
    <xf numFmtId="0" fontId="23" fillId="6" borderId="21" xfId="3" applyFont="1" applyFill="1" applyBorder="1"/>
    <xf numFmtId="0" fontId="19" fillId="6" borderId="21" xfId="3" applyFont="1" applyFill="1" applyBorder="1"/>
    <xf numFmtId="0" fontId="23" fillId="18" borderId="21" xfId="3" applyFont="1" applyFill="1" applyBorder="1"/>
    <xf numFmtId="0" fontId="23" fillId="19" borderId="21" xfId="3" applyFont="1" applyFill="1" applyBorder="1"/>
    <xf numFmtId="0" fontId="23" fillId="14" borderId="21" xfId="3" applyFont="1" applyFill="1" applyBorder="1"/>
    <xf numFmtId="0" fontId="19" fillId="18" borderId="2" xfId="0" applyFont="1" applyFill="1" applyBorder="1" applyAlignment="1">
      <alignment horizontal="center" vertical="center"/>
    </xf>
    <xf numFmtId="0" fontId="20" fillId="18" borderId="32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24" fillId="13" borderId="6" xfId="0" applyFont="1" applyFill="1" applyBorder="1" applyAlignment="1">
      <alignment horizontal="center" vertical="center"/>
    </xf>
    <xf numFmtId="0" fontId="20" fillId="13" borderId="34" xfId="0" applyFont="1" applyFill="1" applyBorder="1" applyAlignment="1">
      <alignment horizontal="center" vertical="center"/>
    </xf>
    <xf numFmtId="164" fontId="21" fillId="19" borderId="4" xfId="1" applyNumberFormat="1" applyFont="1" applyFill="1" applyBorder="1" applyAlignment="1">
      <alignment horizontal="center" vertical="center"/>
    </xf>
    <xf numFmtId="164" fontId="21" fillId="19" borderId="1" xfId="1" applyNumberFormat="1" applyFont="1" applyFill="1" applyBorder="1" applyAlignment="1">
      <alignment horizontal="center" vertical="center"/>
    </xf>
    <xf numFmtId="164" fontId="21" fillId="19" borderId="5" xfId="1" applyNumberFormat="1" applyFont="1" applyFill="1" applyBorder="1" applyAlignment="1">
      <alignment horizontal="center" vertical="center"/>
    </xf>
    <xf numFmtId="164" fontId="21" fillId="16" borderId="1" xfId="1" applyNumberFormat="1" applyFont="1" applyFill="1" applyBorder="1" applyAlignment="1">
      <alignment horizontal="center" vertical="center"/>
    </xf>
    <xf numFmtId="164" fontId="21" fillId="16" borderId="5" xfId="1" applyNumberFormat="1" applyFont="1" applyFill="1" applyBorder="1" applyAlignment="1">
      <alignment horizontal="center" vertical="center"/>
    </xf>
    <xf numFmtId="164" fontId="21" fillId="13" borderId="5" xfId="1" applyNumberFormat="1" applyFont="1" applyFill="1" applyBorder="1" applyAlignment="1">
      <alignment horizontal="center" vertical="center"/>
    </xf>
    <xf numFmtId="0" fontId="22" fillId="19" borderId="28" xfId="3" applyFont="1" applyFill="1" applyBorder="1" applyAlignment="1">
      <alignment vertical="center"/>
    </xf>
    <xf numFmtId="0" fontId="21" fillId="19" borderId="21" xfId="0" applyFont="1" applyFill="1" applyBorder="1" applyAlignment="1">
      <alignment horizontal="left" vertical="center"/>
    </xf>
    <xf numFmtId="0" fontId="22" fillId="19" borderId="21" xfId="3" applyFont="1" applyFill="1" applyBorder="1" applyAlignment="1">
      <alignment vertical="center"/>
    </xf>
    <xf numFmtId="0" fontId="22" fillId="19" borderId="33" xfId="3" applyFont="1" applyFill="1" applyBorder="1" applyAlignment="1">
      <alignment vertical="center"/>
    </xf>
    <xf numFmtId="0" fontId="21" fillId="16" borderId="21" xfId="0" applyFont="1" applyFill="1" applyBorder="1" applyAlignment="1">
      <alignment horizontal="left" vertical="center"/>
    </xf>
    <xf numFmtId="0" fontId="22" fillId="16" borderId="33" xfId="3" applyFont="1" applyFill="1" applyBorder="1" applyAlignment="1">
      <alignment vertical="center"/>
    </xf>
    <xf numFmtId="0" fontId="22" fillId="13" borderId="33" xfId="3" applyFont="1" applyFill="1" applyBorder="1" applyAlignment="1">
      <alignment vertical="center"/>
    </xf>
    <xf numFmtId="0" fontId="30" fillId="0" borderId="0" xfId="0" applyFont="1"/>
    <xf numFmtId="0" fontId="23" fillId="14" borderId="43" xfId="3" applyFont="1" applyFill="1" applyBorder="1"/>
    <xf numFmtId="164" fontId="19" fillId="14" borderId="6" xfId="0" applyNumberFormat="1" applyFont="1" applyFill="1" applyBorder="1" applyAlignment="1">
      <alignment horizontal="center"/>
    </xf>
    <xf numFmtId="0" fontId="23" fillId="14" borderId="1" xfId="3" applyFont="1" applyFill="1" applyBorder="1"/>
    <xf numFmtId="164" fontId="19" fillId="14" borderId="1" xfId="0" applyNumberFormat="1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23" fillId="4" borderId="0" xfId="3" applyFont="1" applyFill="1" applyBorder="1"/>
    <xf numFmtId="164" fontId="19" fillId="4" borderId="0" xfId="0" applyNumberFormat="1" applyFont="1" applyFill="1" applyBorder="1" applyAlignment="1">
      <alignment horizontal="center"/>
    </xf>
    <xf numFmtId="0" fontId="19" fillId="4" borderId="0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3" fillId="7" borderId="21" xfId="3" applyFont="1" applyFill="1" applyBorder="1"/>
    <xf numFmtId="164" fontId="19" fillId="7" borderId="1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/>
    </xf>
    <xf numFmtId="0" fontId="0" fillId="7" borderId="0" xfId="0" applyFill="1"/>
    <xf numFmtId="0" fontId="19" fillId="7" borderId="2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3" fillId="7" borderId="44" xfId="3" applyFont="1" applyFill="1" applyBorder="1"/>
    <xf numFmtId="164" fontId="19" fillId="7" borderId="2" xfId="0" applyNumberFormat="1" applyFont="1" applyFill="1" applyBorder="1" applyAlignment="1">
      <alignment horizontal="center"/>
    </xf>
    <xf numFmtId="0" fontId="23" fillId="7" borderId="1" xfId="3" applyFont="1" applyFill="1" applyBorder="1"/>
    <xf numFmtId="0" fontId="20" fillId="7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0" fillId="4" borderId="0" xfId="0" applyFill="1" applyBorder="1"/>
    <xf numFmtId="0" fontId="22" fillId="4" borderId="0" xfId="3" applyFont="1" applyFill="1" applyBorder="1" applyAlignment="1">
      <alignment vertical="center"/>
    </xf>
    <xf numFmtId="164" fontId="21" fillId="4" borderId="0" xfId="1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left" vertical="center"/>
    </xf>
    <xf numFmtId="0" fontId="24" fillId="4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 wrapText="1"/>
    </xf>
    <xf numFmtId="0" fontId="20" fillId="4" borderId="0" xfId="0" applyFont="1" applyFill="1" applyBorder="1" applyAlignment="1">
      <alignment vertical="center"/>
    </xf>
    <xf numFmtId="0" fontId="24" fillId="4" borderId="0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/>
    </xf>
    <xf numFmtId="0" fontId="23" fillId="4" borderId="21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3" fillId="4" borderId="20" xfId="3" applyFont="1" applyFill="1" applyBorder="1" applyAlignment="1">
      <alignment vertical="center"/>
    </xf>
    <xf numFmtId="164" fontId="19" fillId="4" borderId="1" xfId="1" applyNumberFormat="1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vertical="center"/>
    </xf>
    <xf numFmtId="0" fontId="32" fillId="4" borderId="20" xfId="3" applyFont="1" applyFill="1" applyBorder="1"/>
    <xf numFmtId="164" fontId="33" fillId="4" borderId="1" xfId="0" applyNumberFormat="1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 vertical="center"/>
    </xf>
    <xf numFmtId="0" fontId="32" fillId="4" borderId="51" xfId="3" applyFont="1" applyFill="1" applyBorder="1"/>
    <xf numFmtId="164" fontId="33" fillId="4" borderId="2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4" fillId="4" borderId="1" xfId="0" applyFont="1" applyFill="1" applyBorder="1"/>
    <xf numFmtId="0" fontId="32" fillId="4" borderId="20" xfId="3" applyFont="1" applyFill="1" applyBorder="1" applyAlignment="1">
      <alignment vertical="center"/>
    </xf>
    <xf numFmtId="164" fontId="33" fillId="4" borderId="1" xfId="1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2" fillId="10" borderId="20" xfId="3" applyFont="1" applyFill="1" applyBorder="1" applyAlignment="1">
      <alignment vertical="center"/>
    </xf>
    <xf numFmtId="164" fontId="33" fillId="10" borderId="1" xfId="1" applyNumberFormat="1" applyFont="1" applyFill="1" applyBorder="1" applyAlignment="1">
      <alignment horizontal="center" vertical="center"/>
    </xf>
    <xf numFmtId="0" fontId="33" fillId="10" borderId="20" xfId="0" applyFont="1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  <xf numFmtId="0" fontId="33" fillId="20" borderId="20" xfId="0" applyFont="1" applyFill="1" applyBorder="1" applyAlignment="1">
      <alignment horizontal="left" vertical="center"/>
    </xf>
    <xf numFmtId="164" fontId="33" fillId="20" borderId="1" xfId="1" applyNumberFormat="1" applyFont="1" applyFill="1" applyBorder="1" applyAlignment="1">
      <alignment horizontal="center" vertical="center"/>
    </xf>
    <xf numFmtId="0" fontId="32" fillId="20" borderId="20" xfId="3" applyFont="1" applyFill="1" applyBorder="1" applyAlignment="1">
      <alignment vertical="center"/>
    </xf>
    <xf numFmtId="0" fontId="0" fillId="21" borderId="1" xfId="0" applyFill="1" applyBorder="1" applyAlignment="1">
      <alignment horizontal="center" vertical="center"/>
    </xf>
    <xf numFmtId="0" fontId="32" fillId="21" borderId="20" xfId="0" applyFont="1" applyFill="1" applyBorder="1" applyAlignment="1">
      <alignment vertical="center"/>
    </xf>
    <xf numFmtId="0" fontId="32" fillId="21" borderId="1" xfId="0" applyFont="1" applyFill="1" applyBorder="1" applyAlignment="1">
      <alignment vertical="center"/>
    </xf>
    <xf numFmtId="164" fontId="32" fillId="21" borderId="1" xfId="1" applyNumberFormat="1" applyFont="1" applyFill="1" applyBorder="1" applyAlignment="1">
      <alignment vertical="center"/>
    </xf>
    <xf numFmtId="0" fontId="34" fillId="21" borderId="1" xfId="0" applyFont="1" applyFill="1" applyBorder="1" applyAlignment="1">
      <alignment horizontal="center" vertical="center"/>
    </xf>
    <xf numFmtId="0" fontId="32" fillId="21" borderId="51" xfId="0" applyFont="1" applyFill="1" applyBorder="1" applyAlignment="1">
      <alignment vertical="center"/>
    </xf>
    <xf numFmtId="0" fontId="32" fillId="21" borderId="2" xfId="0" applyFont="1" applyFill="1" applyBorder="1" applyAlignment="1">
      <alignment vertical="center"/>
    </xf>
    <xf numFmtId="164" fontId="32" fillId="21" borderId="2" xfId="1" applyNumberFormat="1" applyFont="1" applyFill="1" applyBorder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32" fillId="22" borderId="20" xfId="0" applyFont="1" applyFill="1" applyBorder="1" applyAlignment="1">
      <alignment vertical="center"/>
    </xf>
    <xf numFmtId="0" fontId="32" fillId="22" borderId="1" xfId="0" applyFont="1" applyFill="1" applyBorder="1" applyAlignment="1">
      <alignment vertical="center"/>
    </xf>
    <xf numFmtId="164" fontId="32" fillId="22" borderId="1" xfId="1" applyNumberFormat="1" applyFont="1" applyFill="1" applyBorder="1" applyAlignment="1">
      <alignment vertical="center"/>
    </xf>
    <xf numFmtId="0" fontId="34" fillId="22" borderId="1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2" fillId="9" borderId="20" xfId="0" applyFont="1" applyFill="1" applyBorder="1" applyAlignment="1">
      <alignment vertical="center"/>
    </xf>
    <xf numFmtId="164" fontId="32" fillId="9" borderId="1" xfId="0" applyNumberFormat="1" applyFont="1" applyFill="1" applyBorder="1" applyAlignment="1">
      <alignment vertical="center"/>
    </xf>
    <xf numFmtId="164" fontId="32" fillId="9" borderId="1" xfId="1" applyNumberFormat="1" applyFont="1" applyFill="1" applyBorder="1" applyAlignment="1">
      <alignment vertical="center"/>
    </xf>
    <xf numFmtId="0" fontId="34" fillId="9" borderId="1" xfId="0" applyFont="1" applyFill="1" applyBorder="1" applyAlignment="1">
      <alignment horizontal="center"/>
    </xf>
    <xf numFmtId="0" fontId="34" fillId="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32" fillId="19" borderId="20" xfId="0" applyFont="1" applyFill="1" applyBorder="1" applyAlignment="1">
      <alignment vertical="center"/>
    </xf>
    <xf numFmtId="0" fontId="32" fillId="19" borderId="1" xfId="0" applyFont="1" applyFill="1" applyBorder="1" applyAlignment="1">
      <alignment vertical="center"/>
    </xf>
    <xf numFmtId="164" fontId="32" fillId="19" borderId="1" xfId="1" applyNumberFormat="1" applyFont="1" applyFill="1" applyBorder="1" applyAlignment="1">
      <alignment vertical="center"/>
    </xf>
    <xf numFmtId="0" fontId="33" fillId="19" borderId="20" xfId="0" applyFont="1" applyFill="1" applyBorder="1" applyAlignment="1">
      <alignment vertical="center"/>
    </xf>
    <xf numFmtId="0" fontId="33" fillId="19" borderId="1" xfId="0" applyFont="1" applyFill="1" applyBorder="1" applyAlignment="1">
      <alignment vertical="center"/>
    </xf>
    <xf numFmtId="0" fontId="34" fillId="19" borderId="17" xfId="0" applyFont="1" applyFill="1" applyBorder="1" applyAlignment="1">
      <alignment horizontal="center" vertical="center"/>
    </xf>
    <xf numFmtId="164" fontId="33" fillId="12" borderId="1" xfId="0" applyNumberFormat="1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2" fillId="8" borderId="20" xfId="3" applyFont="1" applyFill="1" applyBorder="1"/>
    <xf numFmtId="164" fontId="33" fillId="8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 vertical="center"/>
    </xf>
    <xf numFmtId="0" fontId="33" fillId="8" borderId="17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2" fillId="11" borderId="20" xfId="3" applyFont="1" applyFill="1" applyBorder="1"/>
    <xf numFmtId="164" fontId="33" fillId="11" borderId="1" xfId="0" applyNumberFormat="1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17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32" fillId="23" borderId="20" xfId="3" applyFont="1" applyFill="1" applyBorder="1"/>
    <xf numFmtId="164" fontId="33" fillId="23" borderId="1" xfId="0" applyNumberFormat="1" applyFont="1" applyFill="1" applyBorder="1" applyAlignment="1">
      <alignment horizontal="center"/>
    </xf>
    <xf numFmtId="0" fontId="33" fillId="23" borderId="4" xfId="0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32" fillId="24" borderId="20" xfId="3" applyFont="1" applyFill="1" applyBorder="1"/>
    <xf numFmtId="164" fontId="33" fillId="24" borderId="1" xfId="0" applyNumberFormat="1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32" fillId="22" borderId="51" xfId="0" applyFont="1" applyFill="1" applyBorder="1" applyAlignment="1">
      <alignment vertical="center"/>
    </xf>
    <xf numFmtId="0" fontId="32" fillId="22" borderId="2" xfId="0" applyFont="1" applyFill="1" applyBorder="1" applyAlignment="1">
      <alignment vertical="center"/>
    </xf>
    <xf numFmtId="164" fontId="32" fillId="22" borderId="2" xfId="1" applyNumberFormat="1" applyFont="1" applyFill="1" applyBorder="1" applyAlignment="1">
      <alignment vertical="center"/>
    </xf>
    <xf numFmtId="164" fontId="19" fillId="4" borderId="4" xfId="4" applyNumberFormat="1" applyFont="1" applyFill="1" applyBorder="1" applyAlignment="1">
      <alignment horizontal="center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1" xfId="3" applyNumberFormat="1" applyFont="1" applyFill="1" applyBorder="1" applyAlignment="1">
      <alignment horizontal="center" vertical="center"/>
    </xf>
    <xf numFmtId="0" fontId="19" fillId="4" borderId="53" xfId="0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23" fillId="25" borderId="21" xfId="0" applyFont="1" applyFill="1" applyBorder="1" applyAlignment="1">
      <alignment horizontal="center" vertical="center"/>
    </xf>
    <xf numFmtId="0" fontId="23" fillId="25" borderId="20" xfId="3" applyFont="1" applyFill="1" applyBorder="1" applyAlignment="1">
      <alignment vertical="center"/>
    </xf>
    <xf numFmtId="164" fontId="19" fillId="25" borderId="1" xfId="0" applyNumberFormat="1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20" fillId="25" borderId="32" xfId="0" applyFont="1" applyFill="1" applyBorder="1" applyAlignment="1">
      <alignment horizontal="center" vertical="center"/>
    </xf>
    <xf numFmtId="0" fontId="0" fillId="25" borderId="0" xfId="0" applyFill="1" applyAlignment="1">
      <alignment vertical="center"/>
    </xf>
    <xf numFmtId="164" fontId="19" fillId="25" borderId="1" xfId="1" applyNumberFormat="1" applyFont="1" applyFill="1" applyBorder="1" applyAlignment="1">
      <alignment horizontal="center" vertical="center"/>
    </xf>
    <xf numFmtId="0" fontId="19" fillId="25" borderId="4" xfId="0" applyFont="1" applyFill="1" applyBorder="1" applyAlignment="1">
      <alignment horizontal="center" vertical="center"/>
    </xf>
    <xf numFmtId="0" fontId="20" fillId="25" borderId="54" xfId="0" applyFont="1" applyFill="1" applyBorder="1" applyAlignment="1">
      <alignment horizontal="center" vertical="center"/>
    </xf>
    <xf numFmtId="0" fontId="33" fillId="12" borderId="17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20" xfId="3" applyFont="1" applyFill="1" applyBorder="1" applyAlignment="1">
      <alignment vertical="center"/>
    </xf>
    <xf numFmtId="164" fontId="36" fillId="4" borderId="1" xfId="0" applyNumberFormat="1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7" fillId="4" borderId="32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33" fillId="4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4" borderId="46" xfId="3" applyFont="1" applyFill="1" applyBorder="1" applyAlignment="1">
      <alignment vertical="center"/>
    </xf>
    <xf numFmtId="0" fontId="19" fillId="4" borderId="20" xfId="3" applyFont="1" applyFill="1" applyBorder="1" applyAlignment="1">
      <alignment vertical="center"/>
    </xf>
    <xf numFmtId="0" fontId="27" fillId="4" borderId="0" xfId="0" applyFont="1" applyFill="1" applyBorder="1" applyAlignment="1">
      <alignment vertical="center"/>
    </xf>
    <xf numFmtId="0" fontId="25" fillId="0" borderId="0" xfId="3" applyFont="1" applyFill="1" applyBorder="1" applyAlignment="1">
      <alignment vertical="center"/>
    </xf>
    <xf numFmtId="0" fontId="0" fillId="0" borderId="0" xfId="0" applyAlignment="1">
      <alignment vertical="center"/>
    </xf>
    <xf numFmtId="0" fontId="33" fillId="4" borderId="1" xfId="0" applyFont="1" applyFill="1" applyBorder="1" applyAlignment="1">
      <alignment horizontal="center" vertical="center"/>
    </xf>
    <xf numFmtId="0" fontId="0" fillId="0" borderId="0" xfId="0" applyFont="1"/>
    <xf numFmtId="0" fontId="23" fillId="9" borderId="21" xfId="0" applyFont="1" applyFill="1" applyBorder="1" applyAlignment="1">
      <alignment horizontal="center" vertical="center"/>
    </xf>
    <xf numFmtId="0" fontId="23" fillId="9" borderId="20" xfId="3" applyFont="1" applyFill="1" applyBorder="1" applyAlignment="1">
      <alignment vertical="center"/>
    </xf>
    <xf numFmtId="164" fontId="19" fillId="9" borderId="1" xfId="0" applyNumberFormat="1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3" fillId="4" borderId="1" xfId="3" applyFont="1" applyFill="1" applyBorder="1" applyAlignment="1">
      <alignment vertical="center"/>
    </xf>
    <xf numFmtId="164" fontId="19" fillId="4" borderId="1" xfId="4" applyNumberFormat="1" applyFont="1" applyFill="1" applyBorder="1" applyAlignment="1">
      <alignment horizontal="center" vertical="center"/>
    </xf>
    <xf numFmtId="164" fontId="19" fillId="4" borderId="1" xfId="4" applyNumberFormat="1" applyFont="1" applyFill="1" applyBorder="1" applyAlignment="1">
      <alignment horizontal="left" vertical="center"/>
    </xf>
    <xf numFmtId="0" fontId="19" fillId="4" borderId="1" xfId="3" applyFont="1" applyFill="1" applyBorder="1" applyAlignment="1">
      <alignment vertical="center"/>
    </xf>
    <xf numFmtId="164" fontId="19" fillId="4" borderId="1" xfId="0" applyNumberFormat="1" applyFont="1" applyFill="1" applyBorder="1" applyAlignment="1">
      <alignment horizontal="left" vertical="center"/>
    </xf>
    <xf numFmtId="0" fontId="18" fillId="0" borderId="41" xfId="0" applyFont="1" applyBorder="1" applyAlignment="1"/>
    <xf numFmtId="0" fontId="19" fillId="0" borderId="41" xfId="0" applyFont="1" applyBorder="1" applyAlignment="1">
      <alignment horizontal="center" vertical="center"/>
    </xf>
    <xf numFmtId="164" fontId="33" fillId="14" borderId="1" xfId="0" applyNumberFormat="1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 vertical="center"/>
    </xf>
    <xf numFmtId="164" fontId="36" fillId="14" borderId="1" xfId="0" applyNumberFormat="1" applyFont="1" applyFill="1" applyBorder="1" applyAlignment="1">
      <alignment horizontal="center" vertical="center"/>
    </xf>
    <xf numFmtId="0" fontId="38" fillId="0" borderId="41" xfId="0" applyFont="1" applyBorder="1" applyAlignment="1"/>
    <xf numFmtId="0" fontId="1" fillId="14" borderId="1" xfId="3" applyFont="1" applyFill="1" applyBorder="1" applyAlignment="1">
      <alignment vertical="center"/>
    </xf>
    <xf numFmtId="0" fontId="19" fillId="4" borderId="2" xfId="0" applyFont="1" applyFill="1" applyBorder="1" applyAlignment="1">
      <alignment horizontal="center" vertical="center"/>
    </xf>
    <xf numFmtId="0" fontId="0" fillId="14" borderId="1" xfId="3" applyFont="1" applyFill="1" applyBorder="1" applyAlignment="1">
      <alignment vertical="center"/>
    </xf>
    <xf numFmtId="0" fontId="32" fillId="5" borderId="20" xfId="3" applyFont="1" applyFill="1" applyBorder="1"/>
    <xf numFmtId="164" fontId="33" fillId="5" borderId="1" xfId="0" applyNumberFormat="1" applyFont="1" applyFill="1" applyBorder="1" applyAlignment="1">
      <alignment horizontal="center"/>
    </xf>
    <xf numFmtId="0" fontId="34" fillId="0" borderId="0" xfId="0" applyFont="1"/>
    <xf numFmtId="0" fontId="32" fillId="5" borderId="20" xfId="0" applyFont="1" applyFill="1" applyBorder="1" applyAlignment="1">
      <alignment vertical="center"/>
    </xf>
    <xf numFmtId="0" fontId="32" fillId="5" borderId="1" xfId="0" applyFont="1" applyFill="1" applyBorder="1" applyAlignment="1">
      <alignment vertical="center"/>
    </xf>
    <xf numFmtId="0" fontId="32" fillId="5" borderId="47" xfId="0" applyFont="1" applyFill="1" applyBorder="1" applyAlignment="1">
      <alignment vertical="center"/>
    </xf>
    <xf numFmtId="0" fontId="32" fillId="5" borderId="5" xfId="0" applyFont="1" applyFill="1" applyBorder="1" applyAlignment="1">
      <alignment vertical="center"/>
    </xf>
    <xf numFmtId="164" fontId="32" fillId="5" borderId="1" xfId="1" applyNumberFormat="1" applyFont="1" applyFill="1" applyBorder="1" applyAlignment="1">
      <alignment vertical="center"/>
    </xf>
    <xf numFmtId="164" fontId="32" fillId="5" borderId="5" xfId="1" applyNumberFormat="1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2" fillId="5" borderId="46" xfId="3" applyFont="1" applyFill="1" applyBorder="1"/>
    <xf numFmtId="164" fontId="33" fillId="5" borderId="4" xfId="0" applyNumberFormat="1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 vertical="center"/>
    </xf>
    <xf numFmtId="0" fontId="32" fillId="15" borderId="20" xfId="3" applyFont="1" applyFill="1" applyBorder="1"/>
    <xf numFmtId="164" fontId="33" fillId="15" borderId="1" xfId="0" applyNumberFormat="1" applyFont="1" applyFill="1" applyBorder="1" applyAlignment="1">
      <alignment horizontal="center"/>
    </xf>
    <xf numFmtId="0" fontId="33" fillId="15" borderId="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0" fillId="0" borderId="42" xfId="0" applyFont="1" applyBorder="1"/>
    <xf numFmtId="0" fontId="0" fillId="15" borderId="28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34" fillId="5" borderId="21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5" borderId="0" xfId="0" applyFill="1"/>
    <xf numFmtId="0" fontId="33" fillId="15" borderId="23" xfId="0" applyFont="1" applyFill="1" applyBorder="1" applyAlignment="1">
      <alignment vertical="center"/>
    </xf>
    <xf numFmtId="0" fontId="32" fillId="15" borderId="53" xfId="3" applyFont="1" applyFill="1" applyBorder="1"/>
    <xf numFmtId="164" fontId="33" fillId="15" borderId="53" xfId="0" applyNumberFormat="1" applyFont="1" applyFill="1" applyBorder="1" applyAlignment="1">
      <alignment horizontal="center"/>
    </xf>
    <xf numFmtId="0" fontId="32" fillId="15" borderId="1" xfId="3" applyFont="1" applyFill="1" applyBorder="1"/>
    <xf numFmtId="164" fontId="33" fillId="17" borderId="4" xfId="0" applyNumberFormat="1" applyFont="1" applyFill="1" applyBorder="1" applyAlignment="1">
      <alignment horizontal="center"/>
    </xf>
    <xf numFmtId="164" fontId="33" fillId="17" borderId="1" xfId="0" applyNumberFormat="1" applyFont="1" applyFill="1" applyBorder="1" applyAlignment="1">
      <alignment horizontal="center"/>
    </xf>
    <xf numFmtId="0" fontId="33" fillId="17" borderId="4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164" fontId="33" fillId="17" borderId="2" xfId="0" applyNumberFormat="1" applyFont="1" applyFill="1" applyBorder="1" applyAlignment="1">
      <alignment horizontal="center"/>
    </xf>
    <xf numFmtId="0" fontId="0" fillId="17" borderId="28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44" xfId="0" applyFill="1" applyBorder="1" applyAlignment="1">
      <alignment horizontal="center" vertical="center"/>
    </xf>
    <xf numFmtId="0" fontId="32" fillId="15" borderId="46" xfId="3" applyFont="1" applyFill="1" applyBorder="1"/>
    <xf numFmtId="164" fontId="33" fillId="15" borderId="4" xfId="0" applyNumberFormat="1" applyFont="1" applyFill="1" applyBorder="1" applyAlignment="1">
      <alignment horizontal="center"/>
    </xf>
    <xf numFmtId="0" fontId="34" fillId="15" borderId="0" xfId="0" applyFont="1" applyFill="1"/>
    <xf numFmtId="0" fontId="33" fillId="15" borderId="4" xfId="0" applyFont="1" applyFill="1" applyBorder="1" applyAlignment="1">
      <alignment vertical="center"/>
    </xf>
    <xf numFmtId="0" fontId="33" fillId="15" borderId="2" xfId="0" applyFont="1" applyFill="1" applyBorder="1" applyAlignment="1">
      <alignment vertical="center"/>
    </xf>
    <xf numFmtId="0" fontId="40" fillId="14" borderId="21" xfId="0" applyFont="1" applyFill="1" applyBorder="1" applyAlignment="1">
      <alignment horizontal="center" vertical="center"/>
    </xf>
    <xf numFmtId="164" fontId="42" fillId="14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64" fontId="3" fillId="4" borderId="1" xfId="1" quotePrefix="1" applyNumberFormat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164" fontId="3" fillId="4" borderId="17" xfId="1" quotePrefix="1" applyNumberFormat="1" applyFont="1" applyFill="1" applyBorder="1" applyAlignment="1">
      <alignment horizontal="right" vertical="center"/>
    </xf>
    <xf numFmtId="164" fontId="3" fillId="4" borderId="16" xfId="1" applyNumberFormat="1" applyFont="1" applyFill="1" applyBorder="1" applyAlignment="1">
      <alignment horizontal="right" vertical="center"/>
    </xf>
    <xf numFmtId="164" fontId="3" fillId="4" borderId="17" xfId="1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/>
    </xf>
    <xf numFmtId="0" fontId="40" fillId="9" borderId="21" xfId="0" applyFont="1" applyFill="1" applyBorder="1" applyAlignment="1">
      <alignment horizontal="center" vertical="center"/>
    </xf>
    <xf numFmtId="164" fontId="42" fillId="9" borderId="2" xfId="0" applyNumberFormat="1" applyFont="1" applyFill="1" applyBorder="1" applyAlignment="1">
      <alignment horizontal="center"/>
    </xf>
    <xf numFmtId="164" fontId="33" fillId="9" borderId="2" xfId="0" applyNumberFormat="1" applyFont="1" applyFill="1" applyBorder="1" applyAlignment="1">
      <alignment horizontal="center"/>
    </xf>
    <xf numFmtId="0" fontId="0" fillId="17" borderId="0" xfId="0" applyFill="1"/>
    <xf numFmtId="0" fontId="34" fillId="17" borderId="17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2" borderId="1" xfId="0" applyFont="1" applyFill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/>
    </xf>
    <xf numFmtId="0" fontId="45" fillId="0" borderId="0" xfId="0" applyFont="1" applyAlignment="1">
      <alignment horizontal="left"/>
    </xf>
    <xf numFmtId="0" fontId="44" fillId="4" borderId="1" xfId="0" applyFont="1" applyFill="1" applyBorder="1" applyAlignment="1">
      <alignment vertical="center" wrapText="1"/>
    </xf>
    <xf numFmtId="0" fontId="33" fillId="4" borderId="30" xfId="0" applyFont="1" applyFill="1" applyBorder="1" applyAlignment="1">
      <alignment vertical="center"/>
    </xf>
    <xf numFmtId="0" fontId="33" fillId="14" borderId="4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5" xfId="3" applyFont="1" applyFill="1" applyBorder="1"/>
    <xf numFmtId="164" fontId="44" fillId="4" borderId="1" xfId="0" applyNumberFormat="1" applyFont="1" applyFill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right" vertical="center"/>
    </xf>
    <xf numFmtId="0" fontId="43" fillId="0" borderId="0" xfId="0" applyFont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41" fillId="14" borderId="8" xfId="3" applyFont="1" applyFill="1" applyBorder="1"/>
    <xf numFmtId="164" fontId="42" fillId="14" borderId="8" xfId="0" applyNumberFormat="1" applyFont="1" applyFill="1" applyBorder="1" applyAlignment="1">
      <alignment horizontal="center"/>
    </xf>
    <xf numFmtId="164" fontId="33" fillId="14" borderId="8" xfId="0" applyNumberFormat="1" applyFont="1" applyFill="1" applyBorder="1" applyAlignment="1">
      <alignment horizontal="center"/>
    </xf>
    <xf numFmtId="0" fontId="41" fillId="14" borderId="1" xfId="3" applyFont="1" applyFill="1" applyBorder="1"/>
    <xf numFmtId="0" fontId="41" fillId="9" borderId="2" xfId="3" applyFont="1" applyFill="1" applyBorder="1"/>
    <xf numFmtId="0" fontId="0" fillId="14" borderId="4" xfId="3" applyFont="1" applyFill="1" applyBorder="1" applyAlignment="1">
      <alignment vertical="center"/>
    </xf>
    <xf numFmtId="164" fontId="36" fillId="14" borderId="4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/>
    </xf>
    <xf numFmtId="0" fontId="46" fillId="5" borderId="21" xfId="0" applyFont="1" applyFill="1" applyBorder="1" applyAlignment="1">
      <alignment horizontal="center" vertical="center"/>
    </xf>
    <xf numFmtId="164" fontId="46" fillId="5" borderId="1" xfId="0" applyNumberFormat="1" applyFont="1" applyFill="1" applyBorder="1" applyAlignment="1">
      <alignment horizontal="right" vertical="center"/>
    </xf>
    <xf numFmtId="164" fontId="46" fillId="5" borderId="4" xfId="0" applyNumberFormat="1" applyFont="1" applyFill="1" applyBorder="1" applyAlignment="1">
      <alignment horizontal="right" vertical="center"/>
    </xf>
    <xf numFmtId="164" fontId="46" fillId="5" borderId="3" xfId="0" applyNumberFormat="1" applyFont="1" applyFill="1" applyBorder="1" applyAlignment="1">
      <alignment horizontal="right" vertical="center"/>
    </xf>
    <xf numFmtId="0" fontId="46" fillId="5" borderId="1" xfId="0" applyFont="1" applyFill="1" applyBorder="1" applyAlignment="1">
      <alignment horizontal="left" vertical="center" wrapText="1"/>
    </xf>
    <xf numFmtId="0" fontId="46" fillId="5" borderId="46" xfId="3" applyFont="1" applyFill="1" applyBorder="1" applyAlignment="1">
      <alignment horizontal="left" vertical="center"/>
    </xf>
    <xf numFmtId="0" fontId="46" fillId="5" borderId="52" xfId="3" applyFont="1" applyFill="1" applyBorder="1" applyAlignment="1">
      <alignment horizontal="left" vertical="center"/>
    </xf>
    <xf numFmtId="0" fontId="33" fillId="14" borderId="2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vertical="center"/>
    </xf>
    <xf numFmtId="0" fontId="45" fillId="0" borderId="4" xfId="0" applyFont="1" applyFill="1" applyBorder="1" applyAlignment="1">
      <alignment horizontal="right" vertical="center"/>
    </xf>
    <xf numFmtId="0" fontId="45" fillId="0" borderId="1" xfId="0" applyFont="1" applyFill="1" applyBorder="1" applyAlignment="1">
      <alignment horizontal="left" vertical="center"/>
    </xf>
    <xf numFmtId="164" fontId="48" fillId="4" borderId="1" xfId="4" applyNumberFormat="1" applyFont="1" applyFill="1" applyBorder="1" applyAlignment="1">
      <alignment vertical="center"/>
    </xf>
    <xf numFmtId="0" fontId="45" fillId="0" borderId="1" xfId="0" applyFont="1" applyBorder="1" applyAlignment="1">
      <alignment vertical="center"/>
    </xf>
    <xf numFmtId="164" fontId="48" fillId="4" borderId="1" xfId="0" applyNumberFormat="1" applyFont="1" applyFill="1" applyBorder="1" applyAlignment="1">
      <alignment vertical="center"/>
    </xf>
    <xf numFmtId="0" fontId="45" fillId="0" borderId="4" xfId="0" applyFont="1" applyBorder="1" applyAlignment="1">
      <alignment vertical="center"/>
    </xf>
    <xf numFmtId="164" fontId="48" fillId="4" borderId="4" xfId="3" applyNumberFormat="1" applyFont="1" applyFill="1" applyBorder="1" applyAlignment="1">
      <alignment horizontal="center" vertical="center"/>
    </xf>
    <xf numFmtId="164" fontId="48" fillId="4" borderId="4" xfId="4" applyNumberFormat="1" applyFont="1" applyFill="1" applyBorder="1" applyAlignment="1">
      <alignment horizontal="center" vertical="center"/>
    </xf>
    <xf numFmtId="164" fontId="48" fillId="4" borderId="1" xfId="0" applyNumberFormat="1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vertical="center"/>
    </xf>
    <xf numFmtId="0" fontId="47" fillId="4" borderId="2" xfId="0" applyFont="1" applyFill="1" applyBorder="1" applyAlignment="1">
      <alignment vertical="center"/>
    </xf>
    <xf numFmtId="0" fontId="0" fillId="5" borderId="56" xfId="0" applyFill="1" applyBorder="1" applyAlignment="1">
      <alignment horizontal="center" vertical="center"/>
    </xf>
    <xf numFmtId="164" fontId="33" fillId="5" borderId="3" xfId="0" applyNumberFormat="1" applyFont="1" applyFill="1" applyBorder="1" applyAlignment="1">
      <alignment horizontal="center"/>
    </xf>
    <xf numFmtId="0" fontId="33" fillId="5" borderId="1" xfId="3" applyFont="1" applyFill="1" applyBorder="1"/>
    <xf numFmtId="0" fontId="49" fillId="4" borderId="0" xfId="0" applyFont="1" applyFill="1" applyBorder="1" applyAlignment="1">
      <alignment horizontal="center"/>
    </xf>
    <xf numFmtId="14" fontId="37" fillId="4" borderId="1" xfId="0" applyNumberFormat="1" applyFont="1" applyFill="1" applyBorder="1" applyAlignment="1">
      <alignment horizontal="center" vertical="center" wrapText="1"/>
    </xf>
    <xf numFmtId="164" fontId="37" fillId="4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/>
    </xf>
    <xf numFmtId="164" fontId="50" fillId="4" borderId="1" xfId="1" applyNumberFormat="1" applyFont="1" applyFill="1" applyBorder="1"/>
    <xf numFmtId="0" fontId="8" fillId="0" borderId="1" xfId="0" applyFont="1" applyBorder="1"/>
    <xf numFmtId="164" fontId="50" fillId="4" borderId="1" xfId="1" applyNumberFormat="1" applyFont="1" applyFill="1" applyBorder="1" applyAlignment="1">
      <alignment horizontal="left"/>
    </xf>
    <xf numFmtId="0" fontId="51" fillId="17" borderId="9" xfId="5" applyFont="1" applyFill="1" applyBorder="1" applyAlignment="1">
      <alignment horizontal="left" vertical="center"/>
    </xf>
    <xf numFmtId="164" fontId="33" fillId="17" borderId="4" xfId="0" applyNumberFormat="1" applyFont="1" applyFill="1" applyBorder="1" applyAlignment="1">
      <alignment horizontal="right" vertical="center"/>
    </xf>
    <xf numFmtId="164" fontId="33" fillId="17" borderId="1" xfId="0" applyNumberFormat="1" applyFont="1" applyFill="1" applyBorder="1" applyAlignment="1">
      <alignment horizontal="right" vertical="center"/>
    </xf>
    <xf numFmtId="164" fontId="33" fillId="17" borderId="2" xfId="0" applyNumberFormat="1" applyFont="1" applyFill="1" applyBorder="1" applyAlignment="1">
      <alignment horizontal="right" vertical="center"/>
    </xf>
    <xf numFmtId="0" fontId="32" fillId="17" borderId="46" xfId="3" applyFont="1" applyFill="1" applyBorder="1" applyAlignment="1">
      <alignment horizontal="left"/>
    </xf>
    <xf numFmtId="0" fontId="32" fillId="17" borderId="20" xfId="3" applyFont="1" applyFill="1" applyBorder="1" applyAlignment="1">
      <alignment horizontal="left"/>
    </xf>
    <xf numFmtId="0" fontId="32" fillId="17" borderId="51" xfId="3" applyFont="1" applyFill="1" applyBorder="1" applyAlignment="1">
      <alignment horizontal="left"/>
    </xf>
    <xf numFmtId="0" fontId="32" fillId="17" borderId="1" xfId="3" applyFont="1" applyFill="1" applyBorder="1" applyAlignment="1">
      <alignment horizontal="left"/>
    </xf>
    <xf numFmtId="0" fontId="32" fillId="17" borderId="2" xfId="3" applyFont="1" applyFill="1" applyBorder="1" applyAlignment="1">
      <alignment horizontal="left"/>
    </xf>
    <xf numFmtId="0" fontId="52" fillId="17" borderId="17" xfId="5" applyFont="1" applyFill="1" applyBorder="1" applyAlignment="1">
      <alignment horizontal="left" vertical="center"/>
    </xf>
    <xf numFmtId="0" fontId="0" fillId="13" borderId="2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52" fillId="12" borderId="58" xfId="5" applyFont="1" applyFill="1" applyBorder="1" applyAlignment="1">
      <alignment horizontal="left" vertical="center"/>
    </xf>
    <xf numFmtId="0" fontId="53" fillId="0" borderId="0" xfId="0" applyFont="1" applyBorder="1" applyAlignment="1"/>
    <xf numFmtId="0" fontId="55" fillId="0" borderId="1" xfId="0" applyFont="1" applyBorder="1" applyAlignment="1">
      <alignment horizontal="center" vertical="center"/>
    </xf>
    <xf numFmtId="0" fontId="53" fillId="0" borderId="0" xfId="0" applyFont="1" applyBorder="1" applyAlignment="1">
      <alignment horizontal="left" indent="29"/>
    </xf>
    <xf numFmtId="0" fontId="53" fillId="0" borderId="0" xfId="0" applyFont="1" applyBorder="1" applyAlignment="1">
      <alignment horizontal="left" indent="20"/>
    </xf>
    <xf numFmtId="0" fontId="55" fillId="0" borderId="0" xfId="0" applyFont="1" applyBorder="1" applyAlignment="1">
      <alignment horizontal="center" vertical="center"/>
    </xf>
    <xf numFmtId="0" fontId="50" fillId="4" borderId="0" xfId="0" applyFont="1" applyFill="1" applyBorder="1" applyAlignment="1">
      <alignment horizontal="center"/>
    </xf>
    <xf numFmtId="164" fontId="50" fillId="4" borderId="0" xfId="1" applyNumberFormat="1" applyFont="1" applyFill="1" applyBorder="1"/>
    <xf numFmtId="0" fontId="8" fillId="0" borderId="0" xfId="0" applyFont="1" applyBorder="1"/>
    <xf numFmtId="0" fontId="55" fillId="0" borderId="1" xfId="0" applyFont="1" applyBorder="1" applyAlignment="1">
      <alignment vertical="center"/>
    </xf>
    <xf numFmtId="164" fontId="48" fillId="4" borderId="1" xfId="3" applyNumberFormat="1" applyFont="1" applyFill="1" applyBorder="1" applyAlignment="1">
      <alignment horizontal="center" vertical="center"/>
    </xf>
    <xf numFmtId="164" fontId="48" fillId="4" borderId="1" xfId="4" applyNumberFormat="1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0" fontId="32" fillId="17" borderId="9" xfId="3" applyFont="1" applyFill="1" applyBorder="1" applyAlignment="1">
      <alignment horizontal="left"/>
    </xf>
    <xf numFmtId="0" fontId="52" fillId="17" borderId="58" xfId="5" applyFont="1" applyFill="1" applyBorder="1" applyAlignment="1">
      <alignment horizontal="left" vertical="center"/>
    </xf>
    <xf numFmtId="0" fontId="33" fillId="17" borderId="17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0" fontId="57" fillId="4" borderId="1" xfId="3" applyFont="1" applyFill="1" applyBorder="1"/>
    <xf numFmtId="164" fontId="49" fillId="4" borderId="1" xfId="0" applyNumberFormat="1" applyFont="1" applyFill="1" applyBorder="1" applyAlignment="1">
      <alignment horizontal="center"/>
    </xf>
    <xf numFmtId="0" fontId="57" fillId="0" borderId="0" xfId="0" applyFont="1"/>
    <xf numFmtId="0" fontId="49" fillId="4" borderId="1" xfId="0" applyFont="1" applyFill="1" applyBorder="1" applyAlignment="1">
      <alignment horizontal="center" vertical="center"/>
    </xf>
    <xf numFmtId="0" fontId="49" fillId="4" borderId="1" xfId="3" applyFont="1" applyFill="1" applyBorder="1"/>
    <xf numFmtId="164" fontId="57" fillId="4" borderId="1" xfId="0" applyNumberFormat="1" applyFont="1" applyFill="1" applyBorder="1" applyAlignment="1">
      <alignment horizontal="center"/>
    </xf>
    <xf numFmtId="0" fontId="49" fillId="4" borderId="1" xfId="0" applyFont="1" applyFill="1" applyBorder="1" applyAlignment="1">
      <alignment vertical="center"/>
    </xf>
    <xf numFmtId="164" fontId="57" fillId="4" borderId="1" xfId="0" applyNumberFormat="1" applyFont="1" applyFill="1" applyBorder="1" applyAlignment="1"/>
    <xf numFmtId="0" fontId="57" fillId="4" borderId="1" xfId="3" applyFont="1" applyFill="1" applyBorder="1" applyAlignment="1">
      <alignment vertical="center"/>
    </xf>
    <xf numFmtId="164" fontId="57" fillId="4" borderId="1" xfId="0" applyNumberFormat="1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left" vertical="center" wrapText="1"/>
    </xf>
    <xf numFmtId="0" fontId="57" fillId="4" borderId="1" xfId="0" applyFont="1" applyFill="1" applyBorder="1" applyAlignment="1">
      <alignment horizontal="right" vertical="center"/>
    </xf>
    <xf numFmtId="164" fontId="57" fillId="4" borderId="1" xfId="0" applyNumberFormat="1" applyFont="1" applyFill="1" applyBorder="1" applyAlignment="1">
      <alignment horizontal="right" vertical="center"/>
    </xf>
    <xf numFmtId="0" fontId="57" fillId="4" borderId="1" xfId="3" applyFont="1" applyFill="1" applyBorder="1" applyAlignment="1">
      <alignment horizontal="left" vertical="center"/>
    </xf>
    <xf numFmtId="0" fontId="57" fillId="4" borderId="1" xfId="0" applyFont="1" applyFill="1" applyBorder="1" applyAlignment="1">
      <alignment vertical="center"/>
    </xf>
    <xf numFmtId="164" fontId="57" fillId="4" borderId="1" xfId="1" applyNumberFormat="1" applyFont="1" applyFill="1" applyBorder="1" applyAlignment="1">
      <alignment vertical="center"/>
    </xf>
    <xf numFmtId="0" fontId="57" fillId="4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8" fillId="0" borderId="62" xfId="0" applyFont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0" fontId="0" fillId="0" borderId="21" xfId="0" quotePrefix="1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4" borderId="43" xfId="0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9" fillId="4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17" borderId="1" xfId="0" applyFill="1" applyBorder="1" applyAlignment="1">
      <alignment horizontal="left" vertical="center"/>
    </xf>
    <xf numFmtId="0" fontId="0" fillId="17" borderId="1" xfId="0" applyFont="1" applyFill="1" applyBorder="1" applyAlignment="1">
      <alignment horizontal="right" vertical="center"/>
    </xf>
    <xf numFmtId="0" fontId="33" fillId="17" borderId="1" xfId="0" applyFont="1" applyFill="1" applyBorder="1" applyAlignment="1">
      <alignment vertical="center"/>
    </xf>
    <xf numFmtId="0" fontId="0" fillId="14" borderId="20" xfId="0" applyFill="1" applyBorder="1" applyAlignment="1">
      <alignment horizontal="center" vertical="center"/>
    </xf>
    <xf numFmtId="0" fontId="0" fillId="14" borderId="4" xfId="3" applyFont="1" applyFill="1" applyBorder="1" applyAlignment="1">
      <alignment horizontal="left" vertical="center"/>
    </xf>
    <xf numFmtId="0" fontId="33" fillId="17" borderId="3" xfId="0" applyFont="1" applyFill="1" applyBorder="1" applyAlignment="1">
      <alignment vertical="center"/>
    </xf>
    <xf numFmtId="0" fontId="61" fillId="17" borderId="1" xfId="3" applyFont="1" applyFill="1" applyBorder="1" applyAlignment="1">
      <alignment horizontal="left"/>
    </xf>
    <xf numFmtId="0" fontId="23" fillId="4" borderId="1" xfId="0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>
      <alignment vertical="center"/>
    </xf>
    <xf numFmtId="164" fontId="19" fillId="4" borderId="1" xfId="4" applyNumberFormat="1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0" fontId="19" fillId="4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61" fillId="17" borderId="9" xfId="3" applyFont="1" applyFill="1" applyBorder="1" applyAlignment="1">
      <alignment horizontal="left"/>
    </xf>
    <xf numFmtId="164" fontId="61" fillId="17" borderId="2" xfId="0" applyNumberFormat="1" applyFont="1" applyFill="1" applyBorder="1" applyAlignment="1">
      <alignment horizontal="center"/>
    </xf>
    <xf numFmtId="164" fontId="61" fillId="17" borderId="2" xfId="0" applyNumberFormat="1" applyFont="1" applyFill="1" applyBorder="1" applyAlignment="1">
      <alignment horizontal="right" vertical="center"/>
    </xf>
    <xf numFmtId="164" fontId="61" fillId="17" borderId="1" xfId="0" applyNumberFormat="1" applyFont="1" applyFill="1" applyBorder="1" applyAlignment="1">
      <alignment horizontal="center"/>
    </xf>
    <xf numFmtId="0" fontId="62" fillId="17" borderId="4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33" fillId="4" borderId="59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46" fillId="4" borderId="1" xfId="0" applyFont="1" applyFill="1" applyBorder="1"/>
    <xf numFmtId="0" fontId="46" fillId="4" borderId="1" xfId="0" applyFont="1" applyFill="1" applyBorder="1" applyAlignment="1">
      <alignment horizontal="center"/>
    </xf>
    <xf numFmtId="0" fontId="46" fillId="4" borderId="6" xfId="0" applyFont="1" applyFill="1" applyBorder="1"/>
    <xf numFmtId="0" fontId="46" fillId="0" borderId="4" xfId="0" applyFont="1" applyBorder="1"/>
    <xf numFmtId="0" fontId="46" fillId="0" borderId="0" xfId="0" applyFont="1" applyAlignment="1">
      <alignment horizontal="center"/>
    </xf>
    <xf numFmtId="0" fontId="61" fillId="4" borderId="1" xfId="0" applyFont="1" applyFill="1" applyBorder="1" applyAlignment="1">
      <alignment vertical="center"/>
    </xf>
    <xf numFmtId="164" fontId="61" fillId="4" borderId="1" xfId="1" applyNumberFormat="1" applyFont="1" applyFill="1" applyBorder="1" applyAlignment="1">
      <alignment vertical="center"/>
    </xf>
    <xf numFmtId="0" fontId="63" fillId="4" borderId="1" xfId="0" applyFont="1" applyFill="1" applyBorder="1" applyAlignment="1">
      <alignment horizontal="center"/>
    </xf>
    <xf numFmtId="0" fontId="61" fillId="4" borderId="3" xfId="0" applyFont="1" applyFill="1" applyBorder="1" applyAlignment="1">
      <alignment vertical="center"/>
    </xf>
    <xf numFmtId="164" fontId="61" fillId="4" borderId="3" xfId="1" applyNumberFormat="1" applyFont="1" applyFill="1" applyBorder="1" applyAlignment="1">
      <alignment vertical="center"/>
    </xf>
    <xf numFmtId="0" fontId="63" fillId="4" borderId="3" xfId="0" applyFont="1" applyFill="1" applyBorder="1" applyAlignment="1">
      <alignment horizontal="center"/>
    </xf>
    <xf numFmtId="0" fontId="0" fillId="4" borderId="56" xfId="0" applyFill="1" applyBorder="1" applyAlignment="1">
      <alignment horizontal="center" vertical="center"/>
    </xf>
    <xf numFmtId="0" fontId="61" fillId="5" borderId="20" xfId="0" applyFont="1" applyFill="1" applyBorder="1" applyAlignment="1">
      <alignment vertical="center"/>
    </xf>
    <xf numFmtId="0" fontId="61" fillId="5" borderId="1" xfId="0" applyFont="1" applyFill="1" applyBorder="1" applyAlignment="1">
      <alignment vertical="center"/>
    </xf>
    <xf numFmtId="164" fontId="61" fillId="5" borderId="1" xfId="1" applyNumberFormat="1" applyFont="1" applyFill="1" applyBorder="1" applyAlignment="1">
      <alignment vertical="center"/>
    </xf>
    <xf numFmtId="0" fontId="63" fillId="5" borderId="1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164" fontId="46" fillId="5" borderId="4" xfId="0" applyNumberFormat="1" applyFont="1" applyFill="1" applyBorder="1" applyAlignment="1">
      <alignment horizontal="center" vertical="center"/>
    </xf>
    <xf numFmtId="164" fontId="46" fillId="5" borderId="3" xfId="0" applyNumberFormat="1" applyFont="1" applyFill="1" applyBorder="1" applyAlignment="1">
      <alignment horizontal="center" vertical="center"/>
    </xf>
    <xf numFmtId="0" fontId="61" fillId="5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61" fillId="4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33" fillId="4" borderId="59" xfId="0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40" fillId="14" borderId="28" xfId="0" applyFont="1" applyFill="1" applyBorder="1" applyAlignment="1">
      <alignment horizontal="center" vertical="center"/>
    </xf>
    <xf numFmtId="0" fontId="41" fillId="14" borderId="4" xfId="3" applyFont="1" applyFill="1" applyBorder="1"/>
    <xf numFmtId="164" fontId="42" fillId="14" borderId="4" xfId="0" applyNumberFormat="1" applyFont="1" applyFill="1" applyBorder="1" applyAlignment="1">
      <alignment horizontal="center"/>
    </xf>
    <xf numFmtId="164" fontId="33" fillId="14" borderId="4" xfId="0" applyNumberFormat="1" applyFont="1" applyFill="1" applyBorder="1" applyAlignment="1">
      <alignment horizontal="center"/>
    </xf>
    <xf numFmtId="0" fontId="0" fillId="5" borderId="43" xfId="0" applyFill="1" applyBorder="1" applyAlignment="1">
      <alignment horizontal="center" vertical="center"/>
    </xf>
    <xf numFmtId="164" fontId="33" fillId="5" borderId="6" xfId="0" applyNumberFormat="1" applyFont="1" applyFill="1" applyBorder="1" applyAlignment="1">
      <alignment horizontal="center"/>
    </xf>
    <xf numFmtId="0" fontId="46" fillId="14" borderId="1" xfId="0" applyFont="1" applyFill="1" applyBorder="1" applyAlignment="1">
      <alignment horizontal="left" vertical="center" wrapText="1"/>
    </xf>
    <xf numFmtId="0" fontId="46" fillId="14" borderId="1" xfId="0" applyFont="1" applyFill="1" applyBorder="1" applyAlignment="1">
      <alignment horizontal="right" vertical="center"/>
    </xf>
    <xf numFmtId="164" fontId="46" fillId="14" borderId="1" xfId="0" applyNumberFormat="1" applyFont="1" applyFill="1" applyBorder="1" applyAlignment="1">
      <alignment horizontal="right" vertical="center"/>
    </xf>
    <xf numFmtId="164" fontId="46" fillId="14" borderId="4" xfId="0" applyNumberFormat="1" applyFont="1" applyFill="1" applyBorder="1" applyAlignment="1">
      <alignment horizontal="right" vertical="center"/>
    </xf>
    <xf numFmtId="0" fontId="61" fillId="5" borderId="1" xfId="0" applyFont="1" applyFill="1" applyBorder="1" applyAlignment="1">
      <alignment horizontal="right" vertical="center"/>
    </xf>
    <xf numFmtId="0" fontId="32" fillId="22" borderId="1" xfId="0" applyFont="1" applyFill="1" applyBorder="1" applyAlignment="1">
      <alignment horizontal="right" vertical="center"/>
    </xf>
    <xf numFmtId="0" fontId="61" fillId="4" borderId="1" xfId="0" applyFont="1" applyFill="1" applyBorder="1" applyAlignment="1">
      <alignment horizontal="right" vertical="center"/>
    </xf>
    <xf numFmtId="0" fontId="61" fillId="4" borderId="3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/>
    </xf>
    <xf numFmtId="43" fontId="0" fillId="0" borderId="1" xfId="1" applyNumberFormat="1" applyFont="1" applyBorder="1"/>
    <xf numFmtId="0" fontId="64" fillId="0" borderId="1" xfId="0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51" fillId="4" borderId="0" xfId="5" applyFont="1" applyFill="1" applyBorder="1" applyAlignment="1">
      <alignment vertical="center"/>
    </xf>
    <xf numFmtId="0" fontId="6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7" borderId="9" xfId="0" applyFill="1" applyBorder="1" applyAlignment="1">
      <alignment horizontal="left" vertical="center"/>
    </xf>
    <xf numFmtId="0" fontId="0" fillId="17" borderId="2" xfId="0" applyFont="1" applyFill="1" applyBorder="1" applyAlignment="1">
      <alignment horizontal="right" vertical="center"/>
    </xf>
    <xf numFmtId="164" fontId="0" fillId="17" borderId="1" xfId="0" applyNumberFormat="1" applyFont="1" applyFill="1" applyBorder="1" applyAlignment="1">
      <alignment horizontal="right" vertical="center"/>
    </xf>
    <xf numFmtId="0" fontId="46" fillId="14" borderId="1" xfId="3" applyFont="1" applyFill="1" applyBorder="1" applyAlignment="1">
      <alignment horizontal="left" vertical="center"/>
    </xf>
    <xf numFmtId="164" fontId="46" fillId="14" borderId="1" xfId="0" applyNumberFormat="1" applyFont="1" applyFill="1" applyBorder="1" applyAlignment="1">
      <alignment horizontal="center" vertical="center"/>
    </xf>
    <xf numFmtId="0" fontId="46" fillId="14" borderId="6" xfId="3" applyFont="1" applyFill="1" applyBorder="1" applyAlignment="1">
      <alignment horizontal="left" vertical="center"/>
    </xf>
    <xf numFmtId="164" fontId="46" fillId="14" borderId="6" xfId="0" applyNumberFormat="1" applyFont="1" applyFill="1" applyBorder="1" applyAlignment="1">
      <alignment horizontal="center" vertical="center"/>
    </xf>
    <xf numFmtId="164" fontId="46" fillId="14" borderId="6" xfId="0" applyNumberFormat="1" applyFont="1" applyFill="1" applyBorder="1" applyAlignment="1">
      <alignment horizontal="right" vertical="center"/>
    </xf>
    <xf numFmtId="0" fontId="32" fillId="5" borderId="1" xfId="3" applyFont="1" applyFill="1" applyBorder="1"/>
    <xf numFmtId="0" fontId="32" fillId="5" borderId="4" xfId="3" applyFont="1" applyFill="1" applyBorder="1"/>
    <xf numFmtId="0" fontId="32" fillId="5" borderId="5" xfId="3" applyFont="1" applyFill="1" applyBorder="1"/>
    <xf numFmtId="164" fontId="33" fillId="5" borderId="5" xfId="0" applyNumberFormat="1" applyFont="1" applyFill="1" applyBorder="1" applyAlignment="1">
      <alignment horizontal="center"/>
    </xf>
    <xf numFmtId="0" fontId="33" fillId="17" borderId="4" xfId="0" applyFont="1" applyFill="1" applyBorder="1" applyAlignment="1">
      <alignment horizontal="center" vertical="center"/>
    </xf>
    <xf numFmtId="164" fontId="33" fillId="17" borderId="3" xfId="0" applyNumberFormat="1" applyFont="1" applyFill="1" applyBorder="1" applyAlignment="1">
      <alignment horizontal="center"/>
    </xf>
    <xf numFmtId="0" fontId="40" fillId="7" borderId="21" xfId="0" applyFont="1" applyFill="1" applyBorder="1" applyAlignment="1">
      <alignment horizontal="center" vertical="center"/>
    </xf>
    <xf numFmtId="0" fontId="41" fillId="7" borderId="4" xfId="3" applyFont="1" applyFill="1" applyBorder="1"/>
    <xf numFmtId="164" fontId="42" fillId="7" borderId="4" xfId="0" applyNumberFormat="1" applyFont="1" applyFill="1" applyBorder="1" applyAlignment="1">
      <alignment horizontal="center"/>
    </xf>
    <xf numFmtId="164" fontId="33" fillId="7" borderId="4" xfId="0" applyNumberFormat="1" applyFont="1" applyFill="1" applyBorder="1" applyAlignment="1">
      <alignment horizontal="center"/>
    </xf>
    <xf numFmtId="0" fontId="1" fillId="7" borderId="1" xfId="3" applyFont="1" applyFill="1" applyBorder="1" applyAlignment="1">
      <alignment vertical="center"/>
    </xf>
    <xf numFmtId="164" fontId="36" fillId="7" borderId="1" xfId="0" applyNumberFormat="1" applyFont="1" applyFill="1" applyBorder="1" applyAlignment="1">
      <alignment horizontal="center" vertical="center"/>
    </xf>
    <xf numFmtId="0" fontId="0" fillId="7" borderId="1" xfId="3" applyFont="1" applyFill="1" applyBorder="1" applyAlignment="1">
      <alignment vertical="center"/>
    </xf>
    <xf numFmtId="0" fontId="0" fillId="7" borderId="4" xfId="3" applyFont="1" applyFill="1" applyBorder="1" applyAlignment="1">
      <alignment horizontal="left" vertical="center"/>
    </xf>
    <xf numFmtId="164" fontId="36" fillId="7" borderId="4" xfId="0" applyNumberFormat="1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left" vertical="center" wrapText="1"/>
    </xf>
    <xf numFmtId="0" fontId="46" fillId="7" borderId="1" xfId="0" applyFont="1" applyFill="1" applyBorder="1" applyAlignment="1">
      <alignment horizontal="right" vertical="center"/>
    </xf>
    <xf numFmtId="164" fontId="46" fillId="7" borderId="1" xfId="0" applyNumberFormat="1" applyFont="1" applyFill="1" applyBorder="1" applyAlignment="1">
      <alignment horizontal="right" vertical="center"/>
    </xf>
    <xf numFmtId="164" fontId="46" fillId="7" borderId="4" xfId="0" applyNumberFormat="1" applyFont="1" applyFill="1" applyBorder="1" applyAlignment="1">
      <alignment horizontal="right" vertical="center"/>
    </xf>
    <xf numFmtId="0" fontId="46" fillId="7" borderId="1" xfId="3" applyFont="1" applyFill="1" applyBorder="1" applyAlignment="1">
      <alignment horizontal="left" vertical="center"/>
    </xf>
    <xf numFmtId="164" fontId="46" fillId="7" borderId="1" xfId="0" applyNumberFormat="1" applyFont="1" applyFill="1" applyBorder="1" applyAlignment="1">
      <alignment horizontal="center" vertical="center"/>
    </xf>
    <xf numFmtId="0" fontId="46" fillId="7" borderId="6" xfId="3" applyFont="1" applyFill="1" applyBorder="1" applyAlignment="1">
      <alignment horizontal="left" vertical="center"/>
    </xf>
    <xf numFmtId="164" fontId="46" fillId="7" borderId="6" xfId="0" applyNumberFormat="1" applyFont="1" applyFill="1" applyBorder="1" applyAlignment="1">
      <alignment horizontal="center" vertical="center"/>
    </xf>
    <xf numFmtId="164" fontId="46" fillId="7" borderId="6" xfId="0" applyNumberFormat="1" applyFont="1" applyFill="1" applyBorder="1" applyAlignment="1">
      <alignment horizontal="right" vertical="center"/>
    </xf>
    <xf numFmtId="0" fontId="62" fillId="7" borderId="1" xfId="0" applyFont="1" applyFill="1" applyBorder="1" applyAlignment="1">
      <alignment vertical="center"/>
    </xf>
    <xf numFmtId="164" fontId="65" fillId="7" borderId="1" xfId="0" applyNumberFormat="1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33" fillId="7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6" fillId="0" borderId="35" xfId="0" applyFont="1" applyBorder="1" applyAlignment="1">
      <alignment vertical="center"/>
    </xf>
    <xf numFmtId="0" fontId="16" fillId="0" borderId="63" xfId="0" applyFont="1" applyBorder="1" applyAlignment="1">
      <alignment vertical="center"/>
    </xf>
    <xf numFmtId="0" fontId="16" fillId="0" borderId="3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0" fillId="0" borderId="35" xfId="0" applyBorder="1"/>
    <xf numFmtId="49" fontId="6" fillId="0" borderId="45" xfId="3" applyNumberFormat="1" applyFont="1" applyBorder="1" applyAlignment="1"/>
    <xf numFmtId="0" fontId="0" fillId="0" borderId="38" xfId="0" applyBorder="1"/>
    <xf numFmtId="49" fontId="6" fillId="0" borderId="64" xfId="3" applyNumberFormat="1" applyFont="1" applyBorder="1" applyAlignment="1"/>
    <xf numFmtId="0" fontId="0" fillId="0" borderId="40" xfId="0" applyBorder="1"/>
    <xf numFmtId="49" fontId="6" fillId="0" borderId="65" xfId="3" applyNumberFormat="1" applyFont="1" applyBorder="1" applyAlignment="1"/>
    <xf numFmtId="0" fontId="67" fillId="7" borderId="1" xfId="0" applyFont="1" applyFill="1" applyBorder="1" applyAlignment="1">
      <alignment vertical="center"/>
    </xf>
    <xf numFmtId="0" fontId="69" fillId="26" borderId="63" xfId="6" applyFont="1" applyFill="1" applyBorder="1" applyAlignment="1">
      <alignment horizontal="center" vertical="center"/>
    </xf>
    <xf numFmtId="0" fontId="69" fillId="26" borderId="41" xfId="6" applyFont="1" applyFill="1" applyBorder="1" applyAlignment="1">
      <alignment horizontal="center" vertical="center"/>
    </xf>
    <xf numFmtId="0" fontId="69" fillId="7" borderId="65" xfId="6" applyFont="1" applyFill="1" applyBorder="1" applyAlignment="1">
      <alignment horizontal="center" vertical="center"/>
    </xf>
    <xf numFmtId="0" fontId="69" fillId="7" borderId="42" xfId="6" applyFont="1" applyFill="1" applyBorder="1" applyAlignment="1">
      <alignment horizontal="center" vertical="center"/>
    </xf>
    <xf numFmtId="0" fontId="70" fillId="0" borderId="67" xfId="6" applyFont="1" applyBorder="1" applyAlignment="1">
      <alignment horizontal="center" vertical="center"/>
    </xf>
    <xf numFmtId="0" fontId="70" fillId="0" borderId="68" xfId="6" applyFont="1" applyBorder="1" applyAlignment="1">
      <alignment vertical="center"/>
    </xf>
    <xf numFmtId="0" fontId="70" fillId="26" borderId="68" xfId="6" applyFont="1" applyFill="1" applyBorder="1" applyAlignment="1">
      <alignment horizontal="center" vertical="center"/>
    </xf>
    <xf numFmtId="0" fontId="70" fillId="7" borderId="68" xfId="6" applyFont="1" applyFill="1" applyBorder="1" applyAlignment="1">
      <alignment horizontal="center" vertical="center"/>
    </xf>
    <xf numFmtId="0" fontId="70" fillId="7" borderId="58" xfId="6" applyFont="1" applyFill="1" applyBorder="1" applyAlignment="1">
      <alignment horizontal="center" vertical="center"/>
    </xf>
    <xf numFmtId="0" fontId="71" fillId="26" borderId="68" xfId="6" applyFont="1" applyFill="1" applyBorder="1" applyAlignment="1">
      <alignment horizontal="center" vertical="center"/>
    </xf>
    <xf numFmtId="0" fontId="71" fillId="7" borderId="69" xfId="6" applyFont="1" applyFill="1" applyBorder="1" applyAlignment="1">
      <alignment horizontal="center" vertical="center"/>
    </xf>
    <xf numFmtId="0" fontId="71" fillId="26" borderId="69" xfId="6" applyFont="1" applyFill="1" applyBorder="1" applyAlignment="1">
      <alignment horizontal="center" vertical="center"/>
    </xf>
    <xf numFmtId="0" fontId="71" fillId="7" borderId="68" xfId="6" applyFont="1" applyFill="1" applyBorder="1" applyAlignment="1">
      <alignment horizontal="center" vertical="center"/>
    </xf>
    <xf numFmtId="0" fontId="70" fillId="5" borderId="58" xfId="6" applyFont="1" applyFill="1" applyBorder="1" applyAlignment="1">
      <alignment horizontal="center" vertical="center"/>
    </xf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  <xf numFmtId="49" fontId="6" fillId="17" borderId="45" xfId="3" applyNumberFormat="1" applyFont="1" applyFill="1" applyBorder="1" applyAlignment="1"/>
    <xf numFmtId="0" fontId="72" fillId="0" borderId="1" xfId="0" applyFont="1" applyFill="1" applyBorder="1" applyAlignment="1">
      <alignment vertical="center"/>
    </xf>
    <xf numFmtId="0" fontId="72" fillId="0" borderId="1" xfId="1" applyNumberFormat="1" applyFont="1" applyFill="1" applyBorder="1" applyAlignment="1">
      <alignment horizontal="left" vertical="center"/>
    </xf>
    <xf numFmtId="164" fontId="0" fillId="0" borderId="0" xfId="1" applyNumberFormat="1" applyFont="1"/>
    <xf numFmtId="0" fontId="0" fillId="17" borderId="1" xfId="0" applyFont="1" applyFill="1" applyBorder="1" applyAlignment="1">
      <alignment horizontal="center" vertical="center"/>
    </xf>
    <xf numFmtId="0" fontId="0" fillId="17" borderId="2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33" fillId="17" borderId="4" xfId="0" applyNumberFormat="1" applyFont="1" applyFill="1" applyBorder="1" applyAlignment="1">
      <alignment horizontal="center"/>
    </xf>
    <xf numFmtId="0" fontId="33" fillId="17" borderId="1" xfId="0" applyNumberFormat="1" applyFont="1" applyFill="1" applyBorder="1" applyAlignment="1">
      <alignment horizontal="center"/>
    </xf>
    <xf numFmtId="0" fontId="33" fillId="17" borderId="2" xfId="0" applyNumberFormat="1" applyFont="1" applyFill="1" applyBorder="1" applyAlignment="1">
      <alignment horizontal="center"/>
    </xf>
    <xf numFmtId="0" fontId="32" fillId="17" borderId="2" xfId="0" applyNumberFormat="1" applyFont="1" applyFill="1" applyBorder="1" applyAlignment="1">
      <alignment horizontal="center"/>
    </xf>
    <xf numFmtId="0" fontId="32" fillId="17" borderId="1" xfId="0" applyNumberFormat="1" applyFont="1" applyFill="1" applyBorder="1" applyAlignment="1">
      <alignment horizontal="center"/>
    </xf>
    <xf numFmtId="0" fontId="33" fillId="17" borderId="3" xfId="0" applyNumberFormat="1" applyFont="1" applyFill="1" applyBorder="1" applyAlignment="1">
      <alignment horizontal="center"/>
    </xf>
    <xf numFmtId="0" fontId="61" fillId="17" borderId="1" xfId="0" applyNumberFormat="1" applyFont="1" applyFill="1" applyBorder="1" applyAlignment="1">
      <alignment horizontal="center"/>
    </xf>
    <xf numFmtId="0" fontId="61" fillId="17" borderId="2" xfId="0" applyNumberFormat="1" applyFont="1" applyFill="1" applyBorder="1" applyAlignment="1">
      <alignment horizontal="center"/>
    </xf>
    <xf numFmtId="0" fontId="33" fillId="12" borderId="1" xfId="0" applyNumberFormat="1" applyFont="1" applyFill="1" applyBorder="1" applyAlignment="1">
      <alignment horizontal="center"/>
    </xf>
    <xf numFmtId="0" fontId="0" fillId="17" borderId="1" xfId="0" applyNumberFormat="1" applyFont="1" applyFill="1" applyBorder="1" applyAlignment="1">
      <alignment horizontal="center" vertical="center"/>
    </xf>
    <xf numFmtId="0" fontId="33" fillId="5" borderId="1" xfId="0" applyNumberFormat="1" applyFont="1" applyFill="1" applyBorder="1" applyAlignment="1">
      <alignment horizontal="center"/>
    </xf>
    <xf numFmtId="0" fontId="33" fillId="5" borderId="4" xfId="0" applyNumberFormat="1" applyFont="1" applyFill="1" applyBorder="1" applyAlignment="1">
      <alignment horizontal="center"/>
    </xf>
    <xf numFmtId="0" fontId="33" fillId="5" borderId="3" xfId="0" applyNumberFormat="1" applyFont="1" applyFill="1" applyBorder="1" applyAlignment="1">
      <alignment horizontal="center"/>
    </xf>
    <xf numFmtId="0" fontId="32" fillId="7" borderId="1" xfId="0" applyNumberFormat="1" applyFont="1" applyFill="1" applyBorder="1" applyAlignment="1">
      <alignment horizontal="center" vertical="center"/>
    </xf>
    <xf numFmtId="0" fontId="75" fillId="4" borderId="1" xfId="0" applyFont="1" applyFill="1" applyBorder="1" applyAlignment="1">
      <alignment horizontal="left" vertical="center"/>
    </xf>
    <xf numFmtId="0" fontId="75" fillId="0" borderId="1" xfId="0" applyFont="1" applyFill="1" applyBorder="1" applyAlignment="1">
      <alignment horizontal="center" vertical="center"/>
    </xf>
    <xf numFmtId="0" fontId="75" fillId="4" borderId="1" xfId="0" applyFont="1" applyFill="1" applyBorder="1" applyAlignment="1">
      <alignment vertical="center"/>
    </xf>
    <xf numFmtId="0" fontId="75" fillId="0" borderId="1" xfId="0" applyFont="1" applyFill="1" applyBorder="1" applyAlignment="1">
      <alignment vertical="center"/>
    </xf>
    <xf numFmtId="0" fontId="35" fillId="4" borderId="1" xfId="3" applyFont="1" applyFill="1" applyBorder="1" applyAlignment="1">
      <alignment horizontal="left" vertical="center"/>
    </xf>
    <xf numFmtId="0" fontId="0" fillId="17" borderId="4" xfId="0" applyNumberFormat="1" applyFont="1" applyFill="1" applyBorder="1" applyAlignment="1">
      <alignment horizontal="center" vertical="center"/>
    </xf>
    <xf numFmtId="0" fontId="33" fillId="5" borderId="2" xfId="0" applyNumberFormat="1" applyFont="1" applyFill="1" applyBorder="1" applyAlignment="1">
      <alignment horizontal="center"/>
    </xf>
    <xf numFmtId="0" fontId="78" fillId="0" borderId="0" xfId="0" applyFont="1" applyAlignment="1">
      <alignment horizontal="left" vertical="center" indent="5"/>
    </xf>
    <xf numFmtId="0" fontId="78" fillId="0" borderId="0" xfId="0" applyFont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9" fillId="26" borderId="63" xfId="0" applyFont="1" applyFill="1" applyBorder="1" applyAlignment="1">
      <alignment horizontal="center" vertical="center"/>
    </xf>
    <xf numFmtId="0" fontId="69" fillId="26" borderId="11" xfId="0" applyFont="1" applyFill="1" applyBorder="1" applyAlignment="1">
      <alignment horizontal="center" vertical="center"/>
    </xf>
    <xf numFmtId="0" fontId="69" fillId="7" borderId="63" xfId="0" applyFont="1" applyFill="1" applyBorder="1" applyAlignment="1">
      <alignment horizontal="center" vertical="center"/>
    </xf>
    <xf numFmtId="0" fontId="69" fillId="7" borderId="7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0" fillId="26" borderId="1" xfId="0" applyFont="1" applyFill="1" applyBorder="1" applyAlignment="1">
      <alignment horizontal="center" vertical="center"/>
    </xf>
    <xf numFmtId="0" fontId="70" fillId="26" borderId="4" xfId="0" applyFont="1" applyFill="1" applyBorder="1" applyAlignment="1">
      <alignment horizontal="center" vertical="center"/>
    </xf>
    <xf numFmtId="0" fontId="70" fillId="7" borderId="1" xfId="0" applyFont="1" applyFill="1" applyBorder="1" applyAlignment="1">
      <alignment horizontal="center" vertical="center"/>
    </xf>
    <xf numFmtId="0" fontId="70" fillId="7" borderId="4" xfId="0" applyFont="1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34" fillId="5" borderId="67" xfId="0" applyFont="1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40" fillId="7" borderId="17" xfId="0" applyFont="1" applyFill="1" applyBorder="1" applyAlignment="1">
      <alignment horizontal="center" vertical="center"/>
    </xf>
    <xf numFmtId="0" fontId="0" fillId="17" borderId="60" xfId="0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4" borderId="72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32" fillId="5" borderId="21" xfId="3" applyFont="1" applyFill="1" applyBorder="1"/>
    <xf numFmtId="0" fontId="32" fillId="5" borderId="28" xfId="3" applyFont="1" applyFill="1" applyBorder="1"/>
    <xf numFmtId="0" fontId="32" fillId="5" borderId="44" xfId="3" applyFont="1" applyFill="1" applyBorder="1"/>
    <xf numFmtId="0" fontId="1" fillId="7" borderId="21" xfId="3" applyFont="1" applyFill="1" applyBorder="1" applyAlignment="1">
      <alignment vertical="center"/>
    </xf>
    <xf numFmtId="0" fontId="32" fillId="7" borderId="54" xfId="0" applyFont="1" applyFill="1" applyBorder="1" applyAlignment="1">
      <alignment horizontal="center" vertical="center"/>
    </xf>
    <xf numFmtId="0" fontId="1" fillId="7" borderId="21" xfId="3" applyFont="1" applyFill="1" applyBorder="1" applyAlignment="1">
      <alignment horizontal="left" vertical="center"/>
    </xf>
    <xf numFmtId="49" fontId="35" fillId="7" borderId="21" xfId="3" applyNumberFormat="1" applyFont="1" applyFill="1" applyBorder="1" applyAlignment="1">
      <alignment vertical="center"/>
    </xf>
    <xf numFmtId="0" fontId="23" fillId="7" borderId="21" xfId="0" applyFont="1" applyFill="1" applyBorder="1" applyAlignment="1">
      <alignment vertical="center"/>
    </xf>
    <xf numFmtId="0" fontId="32" fillId="17" borderId="28" xfId="3" applyFont="1" applyFill="1" applyBorder="1" applyAlignment="1">
      <alignment horizontal="left"/>
    </xf>
    <xf numFmtId="0" fontId="33" fillId="17" borderId="31" xfId="0" applyFont="1" applyFill="1" applyBorder="1" applyAlignment="1">
      <alignment horizontal="center" vertical="center"/>
    </xf>
    <xf numFmtId="0" fontId="32" fillId="17" borderId="44" xfId="3" applyFont="1" applyFill="1" applyBorder="1" applyAlignment="1">
      <alignment horizontal="left"/>
    </xf>
    <xf numFmtId="0" fontId="33" fillId="17" borderId="54" xfId="0" applyFont="1" applyFill="1" applyBorder="1" applyAlignment="1">
      <alignment horizontal="center" vertical="center"/>
    </xf>
    <xf numFmtId="0" fontId="32" fillId="17" borderId="21" xfId="3" applyFont="1" applyFill="1" applyBorder="1" applyAlignment="1">
      <alignment horizontal="left"/>
    </xf>
    <xf numFmtId="0" fontId="32" fillId="17" borderId="60" xfId="3" applyFont="1" applyFill="1" applyBorder="1" applyAlignment="1">
      <alignment horizontal="left"/>
    </xf>
    <xf numFmtId="0" fontId="33" fillId="17" borderId="30" xfId="0" applyFont="1" applyFill="1" applyBorder="1" applyAlignment="1">
      <alignment horizontal="center" vertical="center"/>
    </xf>
    <xf numFmtId="0" fontId="52" fillId="17" borderId="67" xfId="5" applyFont="1" applyFill="1" applyBorder="1" applyAlignment="1">
      <alignment horizontal="left" vertical="center"/>
    </xf>
    <xf numFmtId="0" fontId="0" fillId="17" borderId="21" xfId="0" applyFill="1" applyBorder="1" applyAlignment="1">
      <alignment horizontal="left" vertical="center"/>
    </xf>
    <xf numFmtId="0" fontId="0" fillId="17" borderId="60" xfId="0" applyFill="1" applyBorder="1" applyAlignment="1">
      <alignment horizontal="left" vertical="center"/>
    </xf>
    <xf numFmtId="0" fontId="61" fillId="17" borderId="60" xfId="3" applyFont="1" applyFill="1" applyBorder="1" applyAlignment="1">
      <alignment horizontal="left"/>
    </xf>
    <xf numFmtId="0" fontId="32" fillId="17" borderId="38" xfId="3" applyFont="1" applyFill="1" applyBorder="1" applyAlignment="1">
      <alignment horizontal="left"/>
    </xf>
    <xf numFmtId="0" fontId="33" fillId="17" borderId="32" xfId="0" applyFont="1" applyFill="1" applyBorder="1" applyAlignment="1">
      <alignment horizontal="center" vertical="center"/>
    </xf>
    <xf numFmtId="49" fontId="6" fillId="17" borderId="21" xfId="3" applyNumberFormat="1" applyFont="1" applyFill="1" applyBorder="1" applyAlignment="1"/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0" fontId="76" fillId="0" borderId="0" xfId="0" applyFont="1" applyAlignment="1">
      <alignment vertical="center"/>
    </xf>
    <xf numFmtId="0" fontId="82" fillId="0" borderId="0" xfId="0" applyFont="1"/>
    <xf numFmtId="0" fontId="1" fillId="7" borderId="4" xfId="0" applyNumberFormat="1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0" fillId="7" borderId="28" xfId="3" applyFont="1" applyFill="1" applyBorder="1" applyAlignment="1">
      <alignment horizontal="left" vertical="center"/>
    </xf>
    <xf numFmtId="0" fontId="52" fillId="12" borderId="1" xfId="5" applyFont="1" applyFill="1" applyBorder="1" applyAlignment="1">
      <alignment horizontal="left" vertical="center"/>
    </xf>
    <xf numFmtId="0" fontId="35" fillId="4" borderId="1" xfId="0" applyFont="1" applyFill="1" applyBorder="1" applyAlignment="1">
      <alignment horizontal="center" vertical="center"/>
    </xf>
    <xf numFmtId="0" fontId="75" fillId="4" borderId="1" xfId="0" applyFont="1" applyFill="1" applyBorder="1" applyAlignment="1">
      <alignment horizontal="center" vertical="center"/>
    </xf>
    <xf numFmtId="0" fontId="75" fillId="4" borderId="1" xfId="1" applyNumberFormat="1" applyFont="1" applyFill="1" applyBorder="1" applyAlignment="1">
      <alignment horizontal="left" vertical="center"/>
    </xf>
    <xf numFmtId="0" fontId="75" fillId="4" borderId="1" xfId="1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49" fontId="6" fillId="19" borderId="21" xfId="3" applyNumberFormat="1" applyFont="1" applyFill="1" applyBorder="1" applyAlignment="1"/>
    <xf numFmtId="0" fontId="6" fillId="19" borderId="1" xfId="0" applyFont="1" applyFill="1" applyBorder="1" applyAlignment="1">
      <alignment horizontal="center"/>
    </xf>
    <xf numFmtId="0" fontId="32" fillId="19" borderId="1" xfId="0" applyNumberFormat="1" applyFont="1" applyFill="1" applyBorder="1" applyAlignment="1">
      <alignment horizontal="center"/>
    </xf>
    <xf numFmtId="0" fontId="33" fillId="19" borderId="4" xfId="0" applyFont="1" applyFill="1" applyBorder="1" applyAlignment="1">
      <alignment horizontal="center" vertical="center"/>
    </xf>
    <xf numFmtId="0" fontId="33" fillId="19" borderId="54" xfId="0" applyFont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72" fillId="5" borderId="1" xfId="0" applyFont="1" applyFill="1" applyBorder="1" applyAlignment="1">
      <alignment vertical="center"/>
    </xf>
    <xf numFmtId="0" fontId="6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3" fillId="25" borderId="20" xfId="3" applyFont="1" applyFill="1" applyBorder="1" applyAlignment="1">
      <alignment horizontal="left" vertical="center"/>
    </xf>
    <xf numFmtId="0" fontId="51" fillId="0" borderId="1" xfId="5" applyFont="1" applyBorder="1" applyAlignment="1">
      <alignment horizontal="left" vertical="center"/>
    </xf>
    <xf numFmtId="0" fontId="52" fillId="0" borderId="1" xfId="5" applyFont="1" applyFill="1" applyBorder="1" applyAlignment="1">
      <alignment horizontal="center" vertical="center"/>
    </xf>
    <xf numFmtId="0" fontId="51" fillId="0" borderId="1" xfId="5" applyFont="1" applyBorder="1" applyAlignment="1">
      <alignment vertical="center"/>
    </xf>
    <xf numFmtId="0" fontId="0" fillId="0" borderId="1" xfId="0" quotePrefix="1" applyFont="1" applyFill="1" applyBorder="1" applyAlignment="1">
      <alignment horizontal="center" vertical="center"/>
    </xf>
    <xf numFmtId="0" fontId="52" fillId="0" borderId="1" xfId="5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51" fillId="0" borderId="1" xfId="5" applyFont="1" applyBorder="1" applyAlignment="1">
      <alignment horizontal="center" vertical="center"/>
    </xf>
    <xf numFmtId="0" fontId="40" fillId="7" borderId="17" xfId="0" applyFont="1" applyFill="1" applyBorder="1" applyAlignment="1">
      <alignment horizontal="center" vertical="center"/>
    </xf>
    <xf numFmtId="0" fontId="52" fillId="17" borderId="1" xfId="5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52" fillId="28" borderId="1" xfId="5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center"/>
    </xf>
    <xf numFmtId="0" fontId="32" fillId="28" borderId="1" xfId="0" applyNumberFormat="1" applyFont="1" applyFill="1" applyBorder="1" applyAlignment="1">
      <alignment horizontal="center"/>
    </xf>
    <xf numFmtId="0" fontId="33" fillId="28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/>
    </xf>
    <xf numFmtId="0" fontId="32" fillId="27" borderId="1" xfId="0" applyNumberFormat="1" applyFont="1" applyFill="1" applyBorder="1" applyAlignment="1">
      <alignment horizontal="center"/>
    </xf>
    <xf numFmtId="0" fontId="33" fillId="27" borderId="1" xfId="0" applyFont="1" applyFill="1" applyBorder="1" applyAlignment="1">
      <alignment horizontal="center" vertical="center"/>
    </xf>
    <xf numFmtId="49" fontId="6" fillId="27" borderId="1" xfId="3" applyNumberFormat="1" applyFont="1" applyFill="1" applyBorder="1" applyAlignment="1"/>
    <xf numFmtId="0" fontId="1" fillId="7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38" fillId="0" borderId="0" xfId="0" applyFont="1" applyBorder="1" applyAlignment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/>
    <xf numFmtId="0" fontId="19" fillId="0" borderId="0" xfId="0" applyFont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49" fontId="35" fillId="7" borderId="1" xfId="3" applyNumberFormat="1" applyFont="1" applyFill="1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0" fillId="7" borderId="1" xfId="3" applyFont="1" applyFill="1" applyBorder="1" applyAlignment="1">
      <alignment horizontal="left" vertical="center"/>
    </xf>
    <xf numFmtId="0" fontId="81" fillId="7" borderId="1" xfId="3" applyFont="1" applyFill="1" applyBorder="1" applyAlignment="1">
      <alignment horizontal="left" vertical="center"/>
    </xf>
    <xf numFmtId="0" fontId="0" fillId="17" borderId="1" xfId="0" applyFill="1" applyBorder="1" applyAlignment="1">
      <alignment horizontal="center" vertical="center"/>
    </xf>
    <xf numFmtId="49" fontId="6" fillId="17" borderId="1" xfId="3" applyNumberFormat="1" applyFont="1" applyFill="1" applyBorder="1" applyAlignment="1"/>
    <xf numFmtId="0" fontId="0" fillId="0" borderId="0" xfId="0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1" fillId="7" borderId="4" xfId="3" applyFont="1" applyFill="1" applyBorder="1" applyAlignment="1">
      <alignment horizontal="left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164" fontId="0" fillId="4" borderId="0" xfId="1" applyNumberFormat="1" applyFont="1" applyFill="1"/>
    <xf numFmtId="49" fontId="86" fillId="17" borderId="1" xfId="3" applyNumberFormat="1" applyFont="1" applyFill="1" applyBorder="1" applyAlignment="1"/>
    <xf numFmtId="0" fontId="33" fillId="17" borderId="1" xfId="0" applyFont="1" applyFill="1" applyBorder="1" applyAlignment="1">
      <alignment horizontal="center" vertical="center"/>
    </xf>
    <xf numFmtId="0" fontId="87" fillId="0" borderId="1" xfId="0" applyFont="1" applyBorder="1" applyAlignment="1">
      <alignment wrapText="1"/>
    </xf>
    <xf numFmtId="0" fontId="87" fillId="0" borderId="1" xfId="5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49" fontId="6" fillId="5" borderId="1" xfId="3" applyNumberFormat="1" applyFont="1" applyFill="1" applyBorder="1" applyAlignment="1"/>
    <xf numFmtId="0" fontId="6" fillId="5" borderId="1" xfId="0" applyFont="1" applyFill="1" applyBorder="1" applyAlignment="1">
      <alignment horizontal="center"/>
    </xf>
    <xf numFmtId="0" fontId="32" fillId="5" borderId="1" xfId="0" applyNumberFormat="1" applyFont="1" applyFill="1" applyBorder="1" applyAlignment="1">
      <alignment horizontal="center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34" fillId="5" borderId="1" xfId="0" applyFont="1" applyFill="1" applyBorder="1"/>
    <xf numFmtId="0" fontId="1" fillId="5" borderId="1" xfId="3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 vertical="center"/>
    </xf>
    <xf numFmtId="0" fontId="0" fillId="5" borderId="1" xfId="3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3" fontId="0" fillId="4" borderId="0" xfId="1" applyFont="1" applyFill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1" xfId="0" applyNumberFormat="1" applyFont="1" applyBorder="1" applyAlignment="1">
      <alignment horizontal="center" vertical="center"/>
    </xf>
    <xf numFmtId="0" fontId="88" fillId="0" borderId="2" xfId="0" applyNumberFormat="1" applyFont="1" applyBorder="1" applyAlignment="1">
      <alignment horizontal="center"/>
    </xf>
    <xf numFmtId="0" fontId="33" fillId="17" borderId="1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Fill="1" applyBorder="1"/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7" xfId="0" applyBorder="1"/>
    <xf numFmtId="0" fontId="0" fillId="4" borderId="4" xfId="0" applyFill="1" applyBorder="1" applyAlignment="1">
      <alignment horizontal="center"/>
    </xf>
    <xf numFmtId="0" fontId="34" fillId="4" borderId="73" xfId="0" applyFont="1" applyFill="1" applyBorder="1" applyAlignment="1">
      <alignment horizontal="center"/>
    </xf>
    <xf numFmtId="0" fontId="34" fillId="0" borderId="73" xfId="0" applyFont="1" applyBorder="1" applyAlignment="1">
      <alignment horizontal="center" vertical="center"/>
    </xf>
    <xf numFmtId="0" fontId="0" fillId="0" borderId="74" xfId="0" applyFill="1" applyBorder="1"/>
    <xf numFmtId="0" fontId="0" fillId="4" borderId="73" xfId="0" applyFill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0" fillId="0" borderId="75" xfId="0" applyBorder="1"/>
    <xf numFmtId="0" fontId="34" fillId="4" borderId="73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34" fillId="10" borderId="53" xfId="0" applyFont="1" applyFill="1" applyBorder="1" applyAlignment="1">
      <alignment horizontal="center" vertical="center"/>
    </xf>
    <xf numFmtId="0" fontId="34" fillId="10" borderId="53" xfId="0" applyFont="1" applyFill="1" applyBorder="1" applyAlignment="1">
      <alignment horizontal="center"/>
    </xf>
    <xf numFmtId="0" fontId="0" fillId="10" borderId="75" xfId="0" applyFill="1" applyBorder="1"/>
    <xf numFmtId="0" fontId="0" fillId="10" borderId="4" xfId="0" applyFill="1" applyBorder="1" applyAlignment="1">
      <alignment horizontal="center"/>
    </xf>
    <xf numFmtId="0" fontId="34" fillId="10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/>
    </xf>
    <xf numFmtId="0" fontId="0" fillId="10" borderId="17" xfId="0" applyFill="1" applyBorder="1"/>
    <xf numFmtId="0" fontId="0" fillId="10" borderId="1" xfId="0" applyFill="1" applyBorder="1" applyAlignment="1">
      <alignment horizontal="center"/>
    </xf>
    <xf numFmtId="0" fontId="34" fillId="4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34" fillId="4" borderId="53" xfId="0" applyFont="1" applyFill="1" applyBorder="1" applyAlignment="1">
      <alignment horizontal="center"/>
    </xf>
    <xf numFmtId="0" fontId="0" fillId="4" borderId="4" xfId="0" applyFill="1" applyBorder="1"/>
    <xf numFmtId="0" fontId="0" fillId="4" borderId="73" xfId="0" applyFill="1" applyBorder="1"/>
    <xf numFmtId="0" fontId="0" fillId="4" borderId="53" xfId="0" applyFill="1" applyBorder="1"/>
    <xf numFmtId="0" fontId="34" fillId="4" borderId="0" xfId="0" applyFont="1" applyFill="1" applyBorder="1" applyAlignment="1">
      <alignment horizontal="left" vertical="center"/>
    </xf>
    <xf numFmtId="0" fontId="34" fillId="4" borderId="0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/>
    </xf>
    <xf numFmtId="0" fontId="0" fillId="4" borderId="2" xfId="0" applyFill="1" applyBorder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16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73" xfId="0" applyNumberFormat="1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0" fontId="90" fillId="4" borderId="1" xfId="0" applyFont="1" applyFill="1" applyBorder="1" applyAlignment="1">
      <alignment horizontal="center"/>
    </xf>
    <xf numFmtId="0" fontId="90" fillId="4" borderId="73" xfId="0" applyFont="1" applyFill="1" applyBorder="1" applyAlignment="1">
      <alignment horizontal="center" vertical="center"/>
    </xf>
    <xf numFmtId="0" fontId="0" fillId="0" borderId="9" xfId="0" applyBorder="1" applyAlignment="1"/>
    <xf numFmtId="0" fontId="91" fillId="4" borderId="1" xfId="0" applyFont="1" applyFill="1" applyBorder="1" applyAlignment="1">
      <alignment horizontal="center"/>
    </xf>
    <xf numFmtId="0" fontId="62" fillId="5" borderId="3" xfId="0" applyFont="1" applyFill="1" applyBorder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49" fontId="35" fillId="17" borderId="1" xfId="3" applyNumberFormat="1" applyFont="1" applyFill="1" applyBorder="1" applyAlignment="1"/>
    <xf numFmtId="0" fontId="0" fillId="7" borderId="1" xfId="0" applyNumberFormat="1" applyFont="1" applyFill="1" applyBorder="1" applyAlignment="1">
      <alignment horizontal="center" vertical="center"/>
    </xf>
    <xf numFmtId="0" fontId="0" fillId="4" borderId="0" xfId="0" applyFont="1" applyFill="1"/>
    <xf numFmtId="0" fontId="33" fillId="17" borderId="1" xfId="0" applyFont="1" applyFill="1" applyBorder="1" applyAlignment="1">
      <alignment horizontal="center" vertical="center"/>
    </xf>
    <xf numFmtId="0" fontId="93" fillId="17" borderId="1" xfId="5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0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ont="1" applyFill="1" applyBorder="1"/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0" fillId="5" borderId="1" xfId="0" applyFont="1" applyFill="1" applyBorder="1"/>
    <xf numFmtId="0" fontId="94" fillId="17" borderId="1" xfId="5" applyFont="1" applyFill="1" applyBorder="1" applyAlignment="1">
      <alignment horizontal="left" vertical="center"/>
    </xf>
    <xf numFmtId="0" fontId="81" fillId="5" borderId="1" xfId="0" applyFont="1" applyFill="1" applyBorder="1"/>
    <xf numFmtId="0" fontId="40" fillId="7" borderId="1" xfId="0" applyFont="1" applyFill="1" applyBorder="1" applyAlignment="1">
      <alignment horizontal="center" vertical="center"/>
    </xf>
    <xf numFmtId="0" fontId="93" fillId="7" borderId="1" xfId="5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32" fillId="7" borderId="1" xfId="0" applyNumberFormat="1" applyFont="1" applyFill="1" applyBorder="1" applyAlignment="1">
      <alignment horizontal="center"/>
    </xf>
    <xf numFmtId="0" fontId="0" fillId="17" borderId="57" xfId="0" applyFill="1" applyBorder="1" applyAlignment="1">
      <alignment horizontal="center" vertical="center"/>
    </xf>
    <xf numFmtId="0" fontId="93" fillId="17" borderId="8" xfId="5" applyFont="1" applyFill="1" applyBorder="1" applyAlignment="1">
      <alignment horizontal="left" vertical="center"/>
    </xf>
    <xf numFmtId="0" fontId="6" fillId="17" borderId="8" xfId="0" applyFont="1" applyFill="1" applyBorder="1" applyAlignment="1">
      <alignment horizontal="center"/>
    </xf>
    <xf numFmtId="0" fontId="32" fillId="17" borderId="8" xfId="0" applyNumberFormat="1" applyFont="1" applyFill="1" applyBorder="1" applyAlignment="1">
      <alignment horizontal="center"/>
    </xf>
    <xf numFmtId="0" fontId="33" fillId="17" borderId="62" xfId="0" applyFont="1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/>
    </xf>
    <xf numFmtId="0" fontId="32" fillId="17" borderId="5" xfId="0" applyNumberFormat="1" applyFont="1" applyFill="1" applyBorder="1" applyAlignment="1">
      <alignment horizontal="center"/>
    </xf>
    <xf numFmtId="0" fontId="33" fillId="17" borderId="7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4" fillId="17" borderId="5" xfId="5" applyFont="1" applyFill="1" applyBorder="1" applyAlignment="1">
      <alignment horizontal="left" vertical="center"/>
    </xf>
    <xf numFmtId="0" fontId="34" fillId="5" borderId="73" xfId="0" applyFont="1" applyFill="1" applyBorder="1" applyAlignment="1">
      <alignment horizontal="center"/>
    </xf>
    <xf numFmtId="0" fontId="34" fillId="5" borderId="0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86" fillId="17" borderId="1" xfId="0" applyFont="1" applyFill="1" applyBorder="1" applyAlignment="1">
      <alignment horizontal="center"/>
    </xf>
    <xf numFmtId="0" fontId="62" fillId="17" borderId="1" xfId="0" applyNumberFormat="1" applyFont="1" applyFill="1" applyBorder="1" applyAlignment="1">
      <alignment horizontal="center"/>
    </xf>
    <xf numFmtId="0" fontId="32" fillId="17" borderId="3" xfId="0" applyFont="1" applyFill="1" applyBorder="1" applyAlignment="1">
      <alignment horizontal="center" vertical="center"/>
    </xf>
    <xf numFmtId="0" fontId="93" fillId="17" borderId="4" xfId="5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3" fillId="17" borderId="1" xfId="0" applyFont="1" applyFill="1" applyBorder="1" applyAlignment="1">
      <alignment horizontal="left" vertical="center"/>
    </xf>
    <xf numFmtId="0" fontId="32" fillId="7" borderId="4" xfId="0" applyFont="1" applyFill="1" applyBorder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88" fillId="0" borderId="3" xfId="0" applyFont="1" applyBorder="1" applyAlignment="1">
      <alignment horizontal="left"/>
    </xf>
    <xf numFmtId="0" fontId="88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88" fillId="0" borderId="8" xfId="0" applyFont="1" applyBorder="1" applyAlignment="1">
      <alignment horizontal="left"/>
    </xf>
    <xf numFmtId="0" fontId="8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88" fillId="0" borderId="5" xfId="0" applyFont="1" applyBorder="1" applyAlignment="1">
      <alignment horizontal="left"/>
    </xf>
    <xf numFmtId="0" fontId="88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6" xfId="0" applyBorder="1" applyAlignment="1">
      <alignment horizontal="center"/>
    </xf>
    <xf numFmtId="49" fontId="6" fillId="5" borderId="3" xfId="3" applyNumberFormat="1" applyFont="1" applyFill="1" applyBorder="1" applyAlignment="1"/>
    <xf numFmtId="0" fontId="6" fillId="5" borderId="3" xfId="0" applyFont="1" applyFill="1" applyBorder="1" applyAlignment="1">
      <alignment horizontal="center"/>
    </xf>
    <xf numFmtId="0" fontId="32" fillId="5" borderId="3" xfId="0" applyNumberFormat="1" applyFont="1" applyFill="1" applyBorder="1" applyAlignment="1">
      <alignment horizontal="center"/>
    </xf>
    <xf numFmtId="0" fontId="87" fillId="0" borderId="8" xfId="0" applyFont="1" applyBorder="1" applyAlignment="1">
      <alignment wrapText="1"/>
    </xf>
    <xf numFmtId="0" fontId="0" fillId="0" borderId="8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33" fillId="4" borderId="5" xfId="0" applyNumberFormat="1" applyFont="1" applyFill="1" applyBorder="1" applyAlignment="1">
      <alignment horizontal="center"/>
    </xf>
    <xf numFmtId="0" fontId="36" fillId="4" borderId="76" xfId="0" applyFont="1" applyFill="1" applyBorder="1" applyAlignment="1">
      <alignment horizontal="center"/>
    </xf>
    <xf numFmtId="0" fontId="0" fillId="17" borderId="2" xfId="0" applyFill="1" applyBorder="1" applyAlignment="1">
      <alignment horizontal="center" vertical="center"/>
    </xf>
    <xf numFmtId="0" fontId="93" fillId="17" borderId="3" xfId="5" applyFont="1" applyFill="1" applyBorder="1" applyAlignment="1">
      <alignment horizontal="left" vertical="center"/>
    </xf>
    <xf numFmtId="0" fontId="6" fillId="17" borderId="3" xfId="0" applyFont="1" applyFill="1" applyBorder="1" applyAlignment="1">
      <alignment horizontal="center"/>
    </xf>
    <xf numFmtId="0" fontId="94" fillId="4" borderId="5" xfId="5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2" fillId="17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2" fillId="17" borderId="3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0" fillId="17" borderId="46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64" fontId="2" fillId="4" borderId="7" xfId="1" applyNumberFormat="1" applyFont="1" applyFill="1" applyBorder="1" applyAlignment="1">
      <alignment horizontal="center" vertical="center"/>
    </xf>
    <xf numFmtId="164" fontId="2" fillId="4" borderId="3" xfId="1" applyNumberFormat="1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2" fillId="0" borderId="1" xfId="5" applyFont="1" applyFill="1" applyBorder="1" applyAlignment="1">
      <alignment horizontal="center" vertical="center"/>
    </xf>
    <xf numFmtId="0" fontId="34" fillId="4" borderId="23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left" vertical="center"/>
    </xf>
    <xf numFmtId="0" fontId="34" fillId="4" borderId="22" xfId="0" applyFont="1" applyFill="1" applyBorder="1" applyAlignment="1">
      <alignment horizontal="left" vertical="center"/>
    </xf>
    <xf numFmtId="0" fontId="0" fillId="4" borderId="2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34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4" fillId="4" borderId="1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34" fillId="4" borderId="4" xfId="0" applyFont="1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2" fillId="17" borderId="2" xfId="0" applyFont="1" applyFill="1" applyBorder="1" applyAlignment="1">
      <alignment horizontal="center" vertical="center"/>
    </xf>
    <xf numFmtId="0" fontId="32" fillId="17" borderId="3" xfId="0" applyFont="1" applyFill="1" applyBorder="1" applyAlignment="1">
      <alignment horizontal="center" vertical="center"/>
    </xf>
    <xf numFmtId="0" fontId="32" fillId="17" borderId="7" xfId="0" applyFont="1" applyFill="1" applyBorder="1" applyAlignment="1">
      <alignment horizontal="center" vertical="center"/>
    </xf>
    <xf numFmtId="0" fontId="32" fillId="17" borderId="6" xfId="0" applyFont="1" applyFill="1" applyBorder="1" applyAlignment="1">
      <alignment horizontal="center" vertical="center"/>
    </xf>
    <xf numFmtId="0" fontId="81" fillId="0" borderId="7" xfId="0" applyFont="1" applyBorder="1" applyAlignment="1">
      <alignment horizontal="center" vertical="center"/>
    </xf>
    <xf numFmtId="0" fontId="81" fillId="0" borderId="3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7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33" fillId="17" borderId="25" xfId="0" applyFont="1" applyFill="1" applyBorder="1" applyAlignment="1">
      <alignment horizontal="center" vertical="center"/>
    </xf>
    <xf numFmtId="0" fontId="33" fillId="17" borderId="30" xfId="0" applyFont="1" applyFill="1" applyBorder="1" applyAlignment="1">
      <alignment horizontal="center" vertical="center"/>
    </xf>
    <xf numFmtId="0" fontId="33" fillId="17" borderId="34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7" fillId="4" borderId="1" xfId="0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92" fillId="4" borderId="1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32" fillId="17" borderId="4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80" fillId="0" borderId="41" xfId="0" applyFont="1" applyBorder="1" applyAlignment="1">
      <alignment horizontal="left"/>
    </xf>
    <xf numFmtId="0" fontId="68" fillId="0" borderId="24" xfId="0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8" fillId="0" borderId="31" xfId="0" applyFont="1" applyBorder="1" applyAlignment="1">
      <alignment horizontal="center" vertical="center"/>
    </xf>
    <xf numFmtId="0" fontId="68" fillId="26" borderId="10" xfId="0" applyFont="1" applyFill="1" applyBorder="1" applyAlignment="1">
      <alignment horizontal="center" vertical="center"/>
    </xf>
    <xf numFmtId="0" fontId="68" fillId="26" borderId="11" xfId="0" applyFont="1" applyFill="1" applyBorder="1" applyAlignment="1">
      <alignment horizontal="center" vertical="center"/>
    </xf>
    <xf numFmtId="0" fontId="68" fillId="26" borderId="71" xfId="0" applyFont="1" applyFill="1" applyBorder="1" applyAlignment="1">
      <alignment horizontal="center" vertical="center"/>
    </xf>
    <xf numFmtId="0" fontId="68" fillId="7" borderId="10" xfId="0" applyFont="1" applyFill="1" applyBorder="1" applyAlignment="1">
      <alignment horizontal="center" vertical="center"/>
    </xf>
    <xf numFmtId="0" fontId="68" fillId="7" borderId="11" xfId="0" applyFont="1" applyFill="1" applyBorder="1" applyAlignment="1">
      <alignment horizontal="center" vertical="center"/>
    </xf>
    <xf numFmtId="0" fontId="68" fillId="7" borderId="71" xfId="0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/>
    </xf>
    <xf numFmtId="0" fontId="23" fillId="4" borderId="38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7" fillId="4" borderId="56" xfId="0" applyFont="1" applyFill="1" applyBorder="1"/>
    <xf numFmtId="0" fontId="18" fillId="4" borderId="7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3" fillId="5" borderId="32" xfId="0" applyFont="1" applyFill="1" applyBorder="1" applyAlignment="1">
      <alignment horizontal="center" vertical="center"/>
    </xf>
    <xf numFmtId="0" fontId="33" fillId="5" borderId="30" xfId="0" applyFont="1" applyFill="1" applyBorder="1" applyAlignment="1">
      <alignment horizontal="center" vertical="center"/>
    </xf>
    <xf numFmtId="0" fontId="40" fillId="7" borderId="17" xfId="0" applyFont="1" applyFill="1" applyBorder="1" applyAlignment="1">
      <alignment horizontal="center" vertical="center"/>
    </xf>
    <xf numFmtId="0" fontId="1" fillId="7" borderId="21" xfId="3" applyFont="1" applyFill="1" applyBorder="1" applyAlignment="1">
      <alignment horizontal="left" vertical="center"/>
    </xf>
    <xf numFmtId="0" fontId="75" fillId="0" borderId="2" xfId="0" applyFont="1" applyFill="1" applyBorder="1" applyAlignment="1">
      <alignment horizontal="left" vertical="center"/>
    </xf>
    <xf numFmtId="0" fontId="75" fillId="0" borderId="3" xfId="0" applyFont="1" applyFill="1" applyBorder="1" applyAlignment="1">
      <alignment horizontal="left" vertical="center"/>
    </xf>
    <xf numFmtId="0" fontId="75" fillId="0" borderId="4" xfId="0" applyFont="1" applyFill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60" fillId="4" borderId="9" xfId="0" applyFont="1" applyFill="1" applyBorder="1" applyAlignment="1">
      <alignment horizontal="center"/>
    </xf>
    <xf numFmtId="0" fontId="60" fillId="4" borderId="0" xfId="0" applyFont="1" applyFill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/>
    </xf>
    <xf numFmtId="0" fontId="40" fillId="7" borderId="28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7" borderId="7" xfId="0" applyFont="1" applyFill="1" applyBorder="1" applyAlignment="1">
      <alignment horizontal="center" vertical="center"/>
    </xf>
    <xf numFmtId="0" fontId="33" fillId="7" borderId="3" xfId="0" applyFont="1" applyFill="1" applyBorder="1" applyAlignment="1">
      <alignment horizontal="center" vertical="center"/>
    </xf>
    <xf numFmtId="0" fontId="33" fillId="7" borderId="6" xfId="0" applyFont="1" applyFill="1" applyBorder="1" applyAlignment="1">
      <alignment horizontal="center" vertical="center"/>
    </xf>
    <xf numFmtId="0" fontId="33" fillId="17" borderId="7" xfId="0" applyFont="1" applyFill="1" applyBorder="1" applyAlignment="1">
      <alignment horizontal="center" vertical="center"/>
    </xf>
    <xf numFmtId="0" fontId="0" fillId="7" borderId="2" xfId="3" applyFont="1" applyFill="1" applyBorder="1" applyAlignment="1">
      <alignment horizontal="left" vertical="center"/>
    </xf>
    <xf numFmtId="0" fontId="0" fillId="7" borderId="4" xfId="3" applyFont="1" applyFill="1" applyBorder="1" applyAlignment="1">
      <alignment horizontal="left" vertical="center"/>
    </xf>
    <xf numFmtId="164" fontId="36" fillId="7" borderId="2" xfId="0" applyNumberFormat="1" applyFont="1" applyFill="1" applyBorder="1" applyAlignment="1">
      <alignment horizontal="center" vertical="center"/>
    </xf>
    <xf numFmtId="164" fontId="36" fillId="7" borderId="4" xfId="0" applyNumberFormat="1" applyFont="1" applyFill="1" applyBorder="1" applyAlignment="1">
      <alignment horizontal="center" vertical="center"/>
    </xf>
    <xf numFmtId="0" fontId="23" fillId="4" borderId="56" xfId="0" applyFont="1" applyFill="1" applyBorder="1" applyAlignment="1">
      <alignment horizontal="center" vertical="center"/>
    </xf>
    <xf numFmtId="0" fontId="21" fillId="4" borderId="52" xfId="0" applyFont="1" applyFill="1" applyBorder="1" applyAlignment="1">
      <alignment horizontal="center" vertical="center"/>
    </xf>
    <xf numFmtId="0" fontId="27" fillId="4" borderId="52" xfId="0" applyFont="1" applyFill="1" applyBorder="1"/>
    <xf numFmtId="0" fontId="68" fillId="0" borderId="57" xfId="6" applyFont="1" applyBorder="1" applyAlignment="1">
      <alignment horizontal="center" vertical="center"/>
    </xf>
    <xf numFmtId="0" fontId="68" fillId="0" borderId="33" xfId="6" applyFont="1" applyBorder="1" applyAlignment="1">
      <alignment horizontal="center" vertical="center"/>
    </xf>
    <xf numFmtId="0" fontId="68" fillId="0" borderId="66" xfId="6" applyFont="1" applyBorder="1" applyAlignment="1">
      <alignment horizontal="center" vertical="center"/>
    </xf>
    <xf numFmtId="0" fontId="68" fillId="0" borderId="70" xfId="6" applyFont="1" applyBorder="1" applyAlignment="1">
      <alignment horizontal="center" vertical="center"/>
    </xf>
    <xf numFmtId="0" fontId="68" fillId="26" borderId="18" xfId="6" applyFont="1" applyFill="1" applyBorder="1" applyAlignment="1">
      <alignment horizontal="center" vertical="center"/>
    </xf>
    <xf numFmtId="0" fontId="68" fillId="26" borderId="13" xfId="6" applyFont="1" applyFill="1" applyBorder="1" applyAlignment="1">
      <alignment horizontal="center" vertical="center"/>
    </xf>
    <xf numFmtId="0" fontId="68" fillId="26" borderId="14" xfId="6" applyFont="1" applyFill="1" applyBorder="1" applyAlignment="1">
      <alignment horizontal="center" vertical="center"/>
    </xf>
    <xf numFmtId="0" fontId="68" fillId="7" borderId="10" xfId="6" applyFont="1" applyFill="1" applyBorder="1" applyAlignment="1">
      <alignment horizontal="center" vertical="center"/>
    </xf>
    <xf numFmtId="0" fontId="68" fillId="7" borderId="11" xfId="6" applyFont="1" applyFill="1" applyBorder="1" applyAlignment="1">
      <alignment horizontal="center" vertical="center"/>
    </xf>
    <xf numFmtId="0" fontId="68" fillId="7" borderId="71" xfId="6" applyFont="1" applyFill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45" xfId="0" applyFont="1" applyFill="1" applyBorder="1" applyAlignment="1">
      <alignment horizontal="center" vertical="center"/>
    </xf>
    <xf numFmtId="0" fontId="23" fillId="0" borderId="64" xfId="0" applyFont="1" applyFill="1" applyBorder="1" applyAlignment="1">
      <alignment horizontal="center" vertical="center"/>
    </xf>
    <xf numFmtId="0" fontId="23" fillId="0" borderId="65" xfId="0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6" fillId="0" borderId="41" xfId="0" applyFont="1" applyBorder="1" applyAlignment="1">
      <alignment horizontal="center"/>
    </xf>
    <xf numFmtId="0" fontId="38" fillId="4" borderId="9" xfId="0" applyFont="1" applyFill="1" applyBorder="1" applyAlignment="1">
      <alignment horizontal="left" vertical="center"/>
    </xf>
    <xf numFmtId="0" fontId="26" fillId="0" borderId="37" xfId="0" applyFont="1" applyBorder="1" applyAlignment="1">
      <alignment horizontal="center"/>
    </xf>
    <xf numFmtId="0" fontId="20" fillId="4" borderId="25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33" fillId="4" borderId="59" xfId="0" applyFont="1" applyFill="1" applyBorder="1" applyAlignment="1">
      <alignment horizontal="center" vertical="center"/>
    </xf>
    <xf numFmtId="0" fontId="33" fillId="14" borderId="3" xfId="0" applyFont="1" applyFill="1" applyBorder="1" applyAlignment="1">
      <alignment horizontal="center" vertical="center"/>
    </xf>
    <xf numFmtId="0" fontId="33" fillId="14" borderId="6" xfId="0" applyFont="1" applyFill="1" applyBorder="1" applyAlignment="1">
      <alignment horizontal="center" vertical="center"/>
    </xf>
    <xf numFmtId="0" fontId="33" fillId="14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8" fillId="15" borderId="2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 vertical="center" wrapText="1"/>
    </xf>
    <xf numFmtId="0" fontId="22" fillId="15" borderId="32" xfId="0" applyFont="1" applyFill="1" applyBorder="1" applyAlignment="1">
      <alignment horizontal="center" vertical="center"/>
    </xf>
    <xf numFmtId="0" fontId="22" fillId="15" borderId="31" xfId="0" applyFont="1" applyFill="1" applyBorder="1" applyAlignment="1">
      <alignment horizontal="center" vertical="center"/>
    </xf>
    <xf numFmtId="0" fontId="21" fillId="15" borderId="44" xfId="0" applyFont="1" applyFill="1" applyBorder="1" applyAlignment="1">
      <alignment horizontal="center" vertical="center"/>
    </xf>
    <xf numFmtId="0" fontId="21" fillId="15" borderId="28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horizontal="center" vertical="center"/>
    </xf>
    <xf numFmtId="0" fontId="48" fillId="4" borderId="3" xfId="0" applyFont="1" applyFill="1" applyBorder="1" applyAlignment="1">
      <alignment horizontal="center" vertical="center"/>
    </xf>
    <xf numFmtId="0" fontId="48" fillId="4" borderId="4" xfId="0" applyFont="1" applyFill="1" applyBorder="1" applyAlignment="1">
      <alignment horizontal="center" vertical="center"/>
    </xf>
    <xf numFmtId="0" fontId="48" fillId="0" borderId="3" xfId="0" applyFont="1" applyFill="1" applyBorder="1" applyAlignment="1">
      <alignment horizontal="center" vertical="center"/>
    </xf>
    <xf numFmtId="0" fontId="48" fillId="0" borderId="4" xfId="0" applyFont="1" applyFill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49" fillId="4" borderId="17" xfId="0" applyFont="1" applyFill="1" applyBorder="1" applyAlignment="1">
      <alignment horizontal="center"/>
    </xf>
    <xf numFmtId="0" fontId="49" fillId="4" borderId="20" xfId="0" applyFont="1" applyFill="1" applyBorder="1" applyAlignment="1">
      <alignment horizontal="center"/>
    </xf>
    <xf numFmtId="0" fontId="25" fillId="4" borderId="17" xfId="0" applyFont="1" applyFill="1" applyBorder="1" applyAlignment="1">
      <alignment horizontal="center" vertical="center"/>
    </xf>
    <xf numFmtId="0" fontId="25" fillId="4" borderId="58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8" fillId="0" borderId="17" xfId="0" applyFont="1" applyFill="1" applyBorder="1" applyAlignment="1">
      <alignment horizontal="center" vertical="center"/>
    </xf>
    <xf numFmtId="0" fontId="48" fillId="0" borderId="20" xfId="0" applyFont="1" applyFill="1" applyBorder="1" applyAlignment="1">
      <alignment horizontal="center" vertical="center"/>
    </xf>
    <xf numFmtId="0" fontId="45" fillId="0" borderId="32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59" fillId="0" borderId="41" xfId="0" applyFont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1" fillId="15" borderId="24" xfId="0" applyFont="1" applyFill="1" applyBorder="1" applyAlignment="1">
      <alignment horizontal="center" vertical="center"/>
    </xf>
    <xf numFmtId="0" fontId="18" fillId="15" borderId="7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/>
    </xf>
    <xf numFmtId="0" fontId="20" fillId="15" borderId="3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2" fillId="15" borderId="45" xfId="0" applyFont="1" applyFill="1" applyBorder="1" applyAlignment="1">
      <alignment horizontal="center" vertical="center"/>
    </xf>
    <xf numFmtId="0" fontId="22" fillId="15" borderId="55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44" fillId="4" borderId="17" xfId="0" applyFont="1" applyFill="1" applyBorder="1" applyAlignment="1">
      <alignment horizontal="center" vertical="center"/>
    </xf>
    <xf numFmtId="0" fontId="44" fillId="4" borderId="20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2" fillId="15" borderId="48" xfId="0" applyFont="1" applyFill="1" applyBorder="1" applyAlignment="1">
      <alignment horizontal="center" vertical="center"/>
    </xf>
    <xf numFmtId="0" fontId="27" fillId="15" borderId="26" xfId="0" applyFont="1" applyFill="1" applyBorder="1" applyAlignment="1">
      <alignment vertical="center"/>
    </xf>
    <xf numFmtId="0" fontId="18" fillId="15" borderId="22" xfId="0" applyFont="1" applyFill="1" applyBorder="1" applyAlignment="1">
      <alignment horizontal="center" vertical="center" wrapText="1"/>
    </xf>
    <xf numFmtId="0" fontId="20" fillId="15" borderId="27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61" xfId="0" applyFont="1" applyBorder="1" applyAlignment="1">
      <alignment horizontal="center"/>
    </xf>
    <xf numFmtId="0" fontId="33" fillId="14" borderId="7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0" fontId="27" fillId="4" borderId="50" xfId="0" applyFont="1" applyFill="1" applyBorder="1"/>
    <xf numFmtId="0" fontId="18" fillId="4" borderId="22" xfId="0" applyFont="1" applyFill="1" applyBorder="1" applyAlignment="1">
      <alignment horizontal="center" vertical="center" wrapText="1"/>
    </xf>
    <xf numFmtId="0" fontId="33" fillId="15" borderId="23" xfId="0" applyFont="1" applyFill="1" applyBorder="1" applyAlignment="1">
      <alignment horizontal="center" vertical="center"/>
    </xf>
    <xf numFmtId="0" fontId="33" fillId="15" borderId="3" xfId="0" applyFont="1" applyFill="1" applyBorder="1" applyAlignment="1">
      <alignment horizontal="center" vertical="center"/>
    </xf>
    <xf numFmtId="0" fontId="33" fillId="15" borderId="4" xfId="0" applyFont="1" applyFill="1" applyBorder="1" applyAlignment="1">
      <alignment horizontal="center" vertical="center"/>
    </xf>
    <xf numFmtId="0" fontId="21" fillId="4" borderId="49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34" fillId="10" borderId="3" xfId="0" applyFont="1" applyFill="1" applyBorder="1" applyAlignment="1">
      <alignment horizontal="center" vertical="center"/>
    </xf>
    <xf numFmtId="0" fontId="34" fillId="10" borderId="4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19" borderId="17" xfId="0" applyFont="1" applyFill="1" applyBorder="1" applyAlignment="1">
      <alignment horizontal="center" vertical="center"/>
    </xf>
    <xf numFmtId="0" fontId="33" fillId="19" borderId="15" xfId="0" applyFont="1" applyFill="1" applyBorder="1" applyAlignment="1">
      <alignment horizontal="center" vertical="center"/>
    </xf>
    <xf numFmtId="0" fontId="34" fillId="21" borderId="2" xfId="0" applyFont="1" applyFill="1" applyBorder="1" applyAlignment="1">
      <alignment horizontal="center" vertical="center"/>
    </xf>
    <xf numFmtId="0" fontId="34" fillId="21" borderId="3" xfId="0" applyFont="1" applyFill="1" applyBorder="1" applyAlignment="1">
      <alignment horizontal="center" vertical="center"/>
    </xf>
    <xf numFmtId="0" fontId="34" fillId="21" borderId="4" xfId="0" applyFont="1" applyFill="1" applyBorder="1" applyAlignment="1">
      <alignment horizontal="center" vertical="center"/>
    </xf>
    <xf numFmtId="0" fontId="33" fillId="24" borderId="2" xfId="0" applyFont="1" applyFill="1" applyBorder="1" applyAlignment="1">
      <alignment horizontal="center" vertical="center"/>
    </xf>
    <xf numFmtId="0" fontId="33" fillId="24" borderId="3" xfId="0" applyFont="1" applyFill="1" applyBorder="1" applyAlignment="1">
      <alignment horizontal="center" vertical="center"/>
    </xf>
    <xf numFmtId="0" fontId="33" fillId="24" borderId="4" xfId="0" applyFont="1" applyFill="1" applyBorder="1" applyAlignment="1">
      <alignment horizontal="center" vertical="center"/>
    </xf>
    <xf numFmtId="164" fontId="35" fillId="19" borderId="2" xfId="1" applyNumberFormat="1" applyFont="1" applyFill="1" applyBorder="1" applyAlignment="1">
      <alignment horizontal="center" vertical="center"/>
    </xf>
    <xf numFmtId="164" fontId="35" fillId="19" borderId="3" xfId="1" applyNumberFormat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32" fillId="4" borderId="51" xfId="0" applyFont="1" applyFill="1" applyBorder="1" applyAlignment="1">
      <alignment horizontal="center" vertical="center"/>
    </xf>
    <xf numFmtId="0" fontId="32" fillId="4" borderId="52" xfId="0" applyFont="1" applyFill="1" applyBorder="1" applyAlignment="1">
      <alignment horizontal="center" vertical="center"/>
    </xf>
    <xf numFmtId="0" fontId="32" fillId="4" borderId="46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164" fontId="32" fillId="4" borderId="2" xfId="1" applyNumberFormat="1" applyFont="1" applyFill="1" applyBorder="1" applyAlignment="1">
      <alignment horizontal="center" vertical="center"/>
    </xf>
    <xf numFmtId="164" fontId="32" fillId="4" borderId="3" xfId="1" applyNumberFormat="1" applyFont="1" applyFill="1" applyBorder="1" applyAlignment="1">
      <alignment horizontal="center" vertical="center"/>
    </xf>
    <xf numFmtId="164" fontId="32" fillId="4" borderId="4" xfId="1" applyNumberFormat="1" applyFont="1" applyFill="1" applyBorder="1" applyAlignment="1">
      <alignment horizontal="center" vertical="center"/>
    </xf>
    <xf numFmtId="0" fontId="33" fillId="4" borderId="23" xfId="0" applyFont="1" applyFill="1" applyBorder="1" applyAlignment="1">
      <alignment horizontal="center" vertical="center"/>
    </xf>
    <xf numFmtId="0" fontId="34" fillId="4" borderId="3" xfId="0" applyFont="1" applyFill="1" applyBorder="1"/>
    <xf numFmtId="0" fontId="34" fillId="4" borderId="4" xfId="0" applyFont="1" applyFill="1" applyBorder="1"/>
    <xf numFmtId="0" fontId="33" fillId="4" borderId="29" xfId="0" applyFont="1" applyFill="1" applyBorder="1" applyAlignment="1">
      <alignment horizontal="center" vertical="center"/>
    </xf>
    <xf numFmtId="0" fontId="33" fillId="4" borderId="30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32" fillId="12" borderId="2" xfId="3" applyFont="1" applyFill="1" applyBorder="1" applyAlignment="1">
      <alignment horizontal="left" vertical="center"/>
    </xf>
    <xf numFmtId="0" fontId="32" fillId="12" borderId="4" xfId="3" applyFont="1" applyFill="1" applyBorder="1" applyAlignment="1">
      <alignment horizontal="left" vertical="center"/>
    </xf>
    <xf numFmtId="164" fontId="31" fillId="3" borderId="0" xfId="1" applyNumberFormat="1" applyFont="1" applyFill="1" applyBorder="1" applyAlignment="1">
      <alignment vertical="center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9" fillId="6" borderId="1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27" fillId="15" borderId="26" xfId="0" applyFont="1" applyFill="1" applyBorder="1"/>
    <xf numFmtId="0" fontId="18" fillId="15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164" fontId="16" fillId="4" borderId="2" xfId="1" applyNumberFormat="1" applyFont="1" applyFill="1" applyBorder="1" applyAlignment="1">
      <alignment horizontal="center" vertical="center"/>
    </xf>
    <xf numFmtId="164" fontId="16" fillId="4" borderId="4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16" fillId="4" borderId="3" xfId="1" applyNumberFormat="1" applyFont="1" applyFill="1" applyBorder="1" applyAlignment="1">
      <alignment horizontal="center" vertical="center" wrapText="1"/>
    </xf>
    <xf numFmtId="164" fontId="16" fillId="4" borderId="4" xfId="1" applyNumberFormat="1" applyFont="1" applyFill="1" applyBorder="1" applyAlignment="1">
      <alignment horizontal="center" vertical="center" wrapText="1"/>
    </xf>
    <xf numFmtId="164" fontId="16" fillId="4" borderId="3" xfId="1" applyNumberFormat="1" applyFont="1" applyFill="1" applyBorder="1" applyAlignment="1">
      <alignment horizontal="center" vertical="center"/>
    </xf>
    <xf numFmtId="0" fontId="24" fillId="19" borderId="3" xfId="0" applyFont="1" applyFill="1" applyBorder="1" applyAlignment="1">
      <alignment horizontal="center" vertical="center"/>
    </xf>
    <xf numFmtId="0" fontId="24" fillId="19" borderId="6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20" fillId="19" borderId="32" xfId="0" applyFont="1" applyFill="1" applyBorder="1" applyAlignment="1">
      <alignment horizontal="center" vertical="center"/>
    </xf>
    <xf numFmtId="0" fontId="20" fillId="19" borderId="30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20" fillId="14" borderId="32" xfId="0" applyFont="1" applyFill="1" applyBorder="1" applyAlignment="1">
      <alignment horizontal="center" vertical="center"/>
    </xf>
    <xf numFmtId="0" fontId="20" fillId="14" borderId="30" xfId="0" applyFont="1" applyFill="1" applyBorder="1" applyAlignment="1">
      <alignment horizontal="center" vertical="center"/>
    </xf>
    <xf numFmtId="0" fontId="20" fillId="14" borderId="31" xfId="0" applyFont="1" applyFill="1" applyBorder="1" applyAlignment="1">
      <alignment horizontal="center" vertical="center"/>
    </xf>
    <xf numFmtId="0" fontId="20" fillId="10" borderId="30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24" fillId="16" borderId="3" xfId="0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/>
    </xf>
    <xf numFmtId="0" fontId="20" fillId="19" borderId="34" xfId="0" applyFont="1" applyFill="1" applyBorder="1" applyAlignment="1">
      <alignment horizontal="center" vertical="center"/>
    </xf>
    <xf numFmtId="0" fontId="20" fillId="16" borderId="30" xfId="0" applyFont="1" applyFill="1" applyBorder="1" applyAlignment="1">
      <alignment horizontal="center" vertical="center"/>
    </xf>
    <xf numFmtId="0" fontId="20" fillId="16" borderId="34" xfId="0" applyFont="1" applyFill="1" applyBorder="1" applyAlignment="1">
      <alignment horizontal="center" vertical="center"/>
    </xf>
    <xf numFmtId="0" fontId="19" fillId="17" borderId="2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20" fillId="17" borderId="29" xfId="0" applyFont="1" applyFill="1" applyBorder="1" applyAlignment="1">
      <alignment horizontal="center" vertical="center"/>
    </xf>
    <xf numFmtId="0" fontId="20" fillId="17" borderId="30" xfId="0" applyFont="1" applyFill="1" applyBorder="1" applyAlignment="1">
      <alignment horizontal="center" vertical="center"/>
    </xf>
    <xf numFmtId="0" fontId="20" fillId="17" borderId="3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left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40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30" fillId="0" borderId="42" xfId="0" applyFont="1" applyBorder="1" applyAlignment="1">
      <alignment horizontal="center"/>
    </xf>
    <xf numFmtId="0" fontId="0" fillId="0" borderId="0" xfId="0" applyAlignment="1"/>
  </cellXfs>
  <cellStyles count="7">
    <cellStyle name="Comma" xfId="1" builtinId="3"/>
    <cellStyle name="Comma [0] 2" xfId="2"/>
    <cellStyle name="Normal" xfId="0" builtinId="0"/>
    <cellStyle name="Normal 2" xfId="3"/>
    <cellStyle name="Normal 3" xfId="4"/>
    <cellStyle name="Normal 4" xfId="6"/>
    <cellStyle name="Normal_ORDER SHEET" xfId="5"/>
  </cellStyles>
  <dxfs count="0"/>
  <tableStyles count="0" defaultTableStyle="TableStyleMedium9" defaultPivotStyle="PivotStyleLight16"/>
  <colors>
    <mruColors>
      <color rgb="FFFF99FF"/>
      <color rgb="FFABF1F3"/>
      <color rgb="FFFF99CC"/>
      <color rgb="FF94368D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4</xdr:row>
      <xdr:rowOff>53340</xdr:rowOff>
    </xdr:from>
    <xdr:to>
      <xdr:col>0</xdr:col>
      <xdr:colOff>914400</xdr:colOff>
      <xdr:row>6</xdr:row>
      <xdr:rowOff>170517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996315"/>
          <a:ext cx="815340" cy="498177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12</xdr:row>
      <xdr:rowOff>45721</xdr:rowOff>
    </xdr:from>
    <xdr:to>
      <xdr:col>0</xdr:col>
      <xdr:colOff>1049685</xdr:colOff>
      <xdr:row>14</xdr:row>
      <xdr:rowOff>182880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" y="2512696"/>
          <a:ext cx="981105" cy="518159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16</xdr:row>
      <xdr:rowOff>60961</xdr:rowOff>
    </xdr:from>
    <xdr:to>
      <xdr:col>0</xdr:col>
      <xdr:colOff>1051561</xdr:colOff>
      <xdr:row>19</xdr:row>
      <xdr:rowOff>23018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3289936"/>
          <a:ext cx="1021080" cy="533557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20</xdr:row>
      <xdr:rowOff>21468</xdr:rowOff>
    </xdr:from>
    <xdr:to>
      <xdr:col>0</xdr:col>
      <xdr:colOff>853440</xdr:colOff>
      <xdr:row>22</xdr:row>
      <xdr:rowOff>146977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" y="3964818"/>
          <a:ext cx="746760" cy="50650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53340</xdr:rowOff>
    </xdr:from>
    <xdr:to>
      <xdr:col>0</xdr:col>
      <xdr:colOff>891540</xdr:colOff>
      <xdr:row>10</xdr:row>
      <xdr:rowOff>170517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758315"/>
          <a:ext cx="815340" cy="498177"/>
        </a:xfrm>
        <a:prstGeom prst="rect">
          <a:avLst/>
        </a:prstGeom>
      </xdr:spPr>
    </xdr:pic>
    <xdr:clientData/>
  </xdr:twoCellAnchor>
  <xdr:twoCellAnchor editAs="oneCell">
    <xdr:from>
      <xdr:col>0</xdr:col>
      <xdr:colOff>89535</xdr:colOff>
      <xdr:row>24</xdr:row>
      <xdr:rowOff>34803</xdr:rowOff>
    </xdr:from>
    <xdr:to>
      <xdr:col>0</xdr:col>
      <xdr:colOff>836295</xdr:colOff>
      <xdr:row>26</xdr:row>
      <xdr:rowOff>166027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35" y="4863978"/>
          <a:ext cx="746760" cy="512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</xdr:rowOff>
    </xdr:from>
    <xdr:to>
      <xdr:col>1</xdr:col>
      <xdr:colOff>266700</xdr:colOff>
      <xdr:row>3</xdr:row>
      <xdr:rowOff>171451</xdr:rowOff>
    </xdr:to>
    <xdr:sp macro="" textlink="">
      <xdr:nvSpPr>
        <xdr:cNvPr id="3" name="Rectangle 2"/>
        <xdr:cNvSpPr/>
      </xdr:nvSpPr>
      <xdr:spPr>
        <a:xfrm>
          <a:off x="619125" y="561976"/>
          <a:ext cx="257175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11431</xdr:colOff>
      <xdr:row>5</xdr:row>
      <xdr:rowOff>19049</xdr:rowOff>
    </xdr:from>
    <xdr:to>
      <xdr:col>1</xdr:col>
      <xdr:colOff>257175</xdr:colOff>
      <xdr:row>5</xdr:row>
      <xdr:rowOff>180974</xdr:rowOff>
    </xdr:to>
    <xdr:sp macro="" textlink="">
      <xdr:nvSpPr>
        <xdr:cNvPr id="4" name="Rectangle 3"/>
        <xdr:cNvSpPr/>
      </xdr:nvSpPr>
      <xdr:spPr>
        <a:xfrm flipV="1">
          <a:off x="621031" y="962024"/>
          <a:ext cx="245744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85725</xdr:colOff>
      <xdr:row>3</xdr:row>
      <xdr:rowOff>19050</xdr:rowOff>
    </xdr:from>
    <xdr:to>
      <xdr:col>3</xdr:col>
      <xdr:colOff>571500</xdr:colOff>
      <xdr:row>4</xdr:row>
      <xdr:rowOff>47625</xdr:rowOff>
    </xdr:to>
    <xdr:sp macro="" textlink="">
      <xdr:nvSpPr>
        <xdr:cNvPr id="6" name="Rectangle 5"/>
        <xdr:cNvSpPr/>
      </xdr:nvSpPr>
      <xdr:spPr>
        <a:xfrm>
          <a:off x="1809750" y="676275"/>
          <a:ext cx="485775" cy="219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95249</xdr:colOff>
      <xdr:row>5</xdr:row>
      <xdr:rowOff>19048</xdr:rowOff>
    </xdr:from>
    <xdr:to>
      <xdr:col>3</xdr:col>
      <xdr:colOff>571499</xdr:colOff>
      <xdr:row>6</xdr:row>
      <xdr:rowOff>38099</xdr:rowOff>
    </xdr:to>
    <xdr:sp macro="" textlink="">
      <xdr:nvSpPr>
        <xdr:cNvPr id="7" name="Rectangle 6"/>
        <xdr:cNvSpPr/>
      </xdr:nvSpPr>
      <xdr:spPr>
        <a:xfrm flipV="1">
          <a:off x="1819274" y="1057273"/>
          <a:ext cx="476250" cy="2095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85724</xdr:colOff>
      <xdr:row>7</xdr:row>
      <xdr:rowOff>66675</xdr:rowOff>
    </xdr:from>
    <xdr:to>
      <xdr:col>3</xdr:col>
      <xdr:colOff>590549</xdr:colOff>
      <xdr:row>7</xdr:row>
      <xdr:rowOff>285750</xdr:rowOff>
    </xdr:to>
    <xdr:sp macro="" textlink="">
      <xdr:nvSpPr>
        <xdr:cNvPr id="8" name="Rectangle 7"/>
        <xdr:cNvSpPr/>
      </xdr:nvSpPr>
      <xdr:spPr>
        <a:xfrm>
          <a:off x="1809749" y="1485900"/>
          <a:ext cx="504825" cy="219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485775</xdr:colOff>
      <xdr:row>3</xdr:row>
      <xdr:rowOff>9525</xdr:rowOff>
    </xdr:from>
    <xdr:to>
      <xdr:col>5</xdr:col>
      <xdr:colOff>742950</xdr:colOff>
      <xdr:row>3</xdr:row>
      <xdr:rowOff>171450</xdr:rowOff>
    </xdr:to>
    <xdr:sp macro="" textlink="">
      <xdr:nvSpPr>
        <xdr:cNvPr id="9" name="Rectangle 8"/>
        <xdr:cNvSpPr/>
      </xdr:nvSpPr>
      <xdr:spPr>
        <a:xfrm>
          <a:off x="3390900" y="666750"/>
          <a:ext cx="257175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466725</xdr:colOff>
      <xdr:row>5</xdr:row>
      <xdr:rowOff>19048</xdr:rowOff>
    </xdr:from>
    <xdr:to>
      <xdr:col>5</xdr:col>
      <xdr:colOff>721994</xdr:colOff>
      <xdr:row>6</xdr:row>
      <xdr:rowOff>0</xdr:rowOff>
    </xdr:to>
    <xdr:sp macro="" textlink="">
      <xdr:nvSpPr>
        <xdr:cNvPr id="10" name="Rectangle 9"/>
        <xdr:cNvSpPr/>
      </xdr:nvSpPr>
      <xdr:spPr>
        <a:xfrm flipV="1">
          <a:off x="3371850" y="1057273"/>
          <a:ext cx="255269" cy="1714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7</xdr:row>
      <xdr:rowOff>114300</xdr:rowOff>
    </xdr:from>
    <xdr:to>
      <xdr:col>1</xdr:col>
      <xdr:colOff>264794</xdr:colOff>
      <xdr:row>7</xdr:row>
      <xdr:rowOff>285749</xdr:rowOff>
    </xdr:to>
    <xdr:sp macro="" textlink="">
      <xdr:nvSpPr>
        <xdr:cNvPr id="11" name="Rectangle 10"/>
        <xdr:cNvSpPr/>
      </xdr:nvSpPr>
      <xdr:spPr>
        <a:xfrm flipV="1">
          <a:off x="628650" y="1438275"/>
          <a:ext cx="245744" cy="1714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466725</xdr:colOff>
      <xdr:row>7</xdr:row>
      <xdr:rowOff>114299</xdr:rowOff>
    </xdr:from>
    <xdr:to>
      <xdr:col>5</xdr:col>
      <xdr:colOff>741044</xdr:colOff>
      <xdr:row>7</xdr:row>
      <xdr:rowOff>295275</xdr:rowOff>
    </xdr:to>
    <xdr:sp macro="" textlink="">
      <xdr:nvSpPr>
        <xdr:cNvPr id="12" name="Rectangle 11"/>
        <xdr:cNvSpPr/>
      </xdr:nvSpPr>
      <xdr:spPr>
        <a:xfrm flipV="1">
          <a:off x="3343275" y="1533524"/>
          <a:ext cx="274319" cy="1809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721994</xdr:colOff>
      <xdr:row>4</xdr:row>
      <xdr:rowOff>76202</xdr:rowOff>
    </xdr:from>
    <xdr:to>
      <xdr:col>6</xdr:col>
      <xdr:colOff>476250</xdr:colOff>
      <xdr:row>5</xdr:row>
      <xdr:rowOff>104774</xdr:rowOff>
    </xdr:to>
    <xdr:cxnSp macro="">
      <xdr:nvCxnSpPr>
        <xdr:cNvPr id="14" name="Elbow Connector 13"/>
        <xdr:cNvCxnSpPr>
          <a:stCxn id="10" idx="3"/>
        </xdr:cNvCxnSpPr>
      </xdr:nvCxnSpPr>
      <xdr:spPr>
        <a:xfrm flipV="1">
          <a:off x="3627119" y="923927"/>
          <a:ext cx="506731" cy="21907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571499</xdr:colOff>
      <xdr:row>5</xdr:row>
      <xdr:rowOff>123823</xdr:rowOff>
    </xdr:from>
    <xdr:to>
      <xdr:col>6</xdr:col>
      <xdr:colOff>533400</xdr:colOff>
      <xdr:row>6</xdr:row>
      <xdr:rowOff>104775</xdr:rowOff>
    </xdr:to>
    <xdr:cxnSp macro="">
      <xdr:nvCxnSpPr>
        <xdr:cNvPr id="16" name="Elbow Connector 15"/>
        <xdr:cNvCxnSpPr>
          <a:stCxn id="7" idx="3"/>
        </xdr:cNvCxnSpPr>
      </xdr:nvCxnSpPr>
      <xdr:spPr>
        <a:xfrm>
          <a:off x="2295524" y="1162048"/>
          <a:ext cx="1895476" cy="17145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11</xdr:row>
      <xdr:rowOff>19049</xdr:rowOff>
    </xdr:from>
    <xdr:to>
      <xdr:col>1</xdr:col>
      <xdr:colOff>333375</xdr:colOff>
      <xdr:row>12</xdr:row>
      <xdr:rowOff>9525</xdr:rowOff>
    </xdr:to>
    <xdr:sp macro="" textlink="">
      <xdr:nvSpPr>
        <xdr:cNvPr id="19" name="Rectangle 18"/>
        <xdr:cNvSpPr/>
      </xdr:nvSpPr>
      <xdr:spPr>
        <a:xfrm>
          <a:off x="619124" y="2466974"/>
          <a:ext cx="323851" cy="1809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12</xdr:row>
      <xdr:rowOff>180975</xdr:rowOff>
    </xdr:from>
    <xdr:to>
      <xdr:col>1</xdr:col>
      <xdr:colOff>323850</xdr:colOff>
      <xdr:row>13</xdr:row>
      <xdr:rowOff>180975</xdr:rowOff>
    </xdr:to>
    <xdr:sp macro="" textlink="">
      <xdr:nvSpPr>
        <xdr:cNvPr id="20" name="Rectangle 19"/>
        <xdr:cNvSpPr/>
      </xdr:nvSpPr>
      <xdr:spPr>
        <a:xfrm>
          <a:off x="609600" y="2819400"/>
          <a:ext cx="3238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15</xdr:row>
      <xdr:rowOff>19050</xdr:rowOff>
    </xdr:from>
    <xdr:to>
      <xdr:col>1</xdr:col>
      <xdr:colOff>323850</xdr:colOff>
      <xdr:row>15</xdr:row>
      <xdr:rowOff>180975</xdr:rowOff>
    </xdr:to>
    <xdr:sp macro="" textlink="">
      <xdr:nvSpPr>
        <xdr:cNvPr id="22" name="Rectangle 21"/>
        <xdr:cNvSpPr/>
      </xdr:nvSpPr>
      <xdr:spPr>
        <a:xfrm>
          <a:off x="609600" y="3228975"/>
          <a:ext cx="323850" cy="161925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161925</xdr:colOff>
      <xdr:row>11</xdr:row>
      <xdr:rowOff>28575</xdr:rowOff>
    </xdr:from>
    <xdr:to>
      <xdr:col>3</xdr:col>
      <xdr:colOff>495300</xdr:colOff>
      <xdr:row>12</xdr:row>
      <xdr:rowOff>9525</xdr:rowOff>
    </xdr:to>
    <xdr:sp macro="" textlink="">
      <xdr:nvSpPr>
        <xdr:cNvPr id="23" name="Rectangle 22"/>
        <xdr:cNvSpPr/>
      </xdr:nvSpPr>
      <xdr:spPr>
        <a:xfrm>
          <a:off x="1885950" y="2486025"/>
          <a:ext cx="333375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152400</xdr:colOff>
      <xdr:row>13</xdr:row>
      <xdr:rowOff>0</xdr:rowOff>
    </xdr:from>
    <xdr:to>
      <xdr:col>3</xdr:col>
      <xdr:colOff>485775</xdr:colOff>
      <xdr:row>13</xdr:row>
      <xdr:rowOff>171450</xdr:rowOff>
    </xdr:to>
    <xdr:sp macro="" textlink="">
      <xdr:nvSpPr>
        <xdr:cNvPr id="24" name="Rectangle 23"/>
        <xdr:cNvSpPr/>
      </xdr:nvSpPr>
      <xdr:spPr>
        <a:xfrm>
          <a:off x="1876425" y="2838450"/>
          <a:ext cx="333375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142875</xdr:colOff>
      <xdr:row>14</xdr:row>
      <xdr:rowOff>180975</xdr:rowOff>
    </xdr:from>
    <xdr:to>
      <xdr:col>3</xdr:col>
      <xdr:colOff>495300</xdr:colOff>
      <xdr:row>15</xdr:row>
      <xdr:rowOff>180975</xdr:rowOff>
    </xdr:to>
    <xdr:sp macro="" textlink="">
      <xdr:nvSpPr>
        <xdr:cNvPr id="25" name="Rectangle 24"/>
        <xdr:cNvSpPr/>
      </xdr:nvSpPr>
      <xdr:spPr>
        <a:xfrm>
          <a:off x="1866900" y="3209925"/>
          <a:ext cx="352425" cy="19050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409575</xdr:colOff>
      <xdr:row>11</xdr:row>
      <xdr:rowOff>9525</xdr:rowOff>
    </xdr:from>
    <xdr:to>
      <xdr:col>6</xdr:col>
      <xdr:colOff>0</xdr:colOff>
      <xdr:row>12</xdr:row>
      <xdr:rowOff>0</xdr:rowOff>
    </xdr:to>
    <xdr:sp macro="" textlink="">
      <xdr:nvSpPr>
        <xdr:cNvPr id="26" name="Rectangle 25"/>
        <xdr:cNvSpPr/>
      </xdr:nvSpPr>
      <xdr:spPr>
        <a:xfrm>
          <a:off x="3314700" y="2466975"/>
          <a:ext cx="342900" cy="1809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409574</xdr:colOff>
      <xdr:row>12</xdr:row>
      <xdr:rowOff>190499</xdr:rowOff>
    </xdr:from>
    <xdr:to>
      <xdr:col>5</xdr:col>
      <xdr:colOff>752473</xdr:colOff>
      <xdr:row>13</xdr:row>
      <xdr:rowOff>180974</xdr:rowOff>
    </xdr:to>
    <xdr:sp macro="" textlink="">
      <xdr:nvSpPr>
        <xdr:cNvPr id="27" name="Rectangle 26"/>
        <xdr:cNvSpPr/>
      </xdr:nvSpPr>
      <xdr:spPr>
        <a:xfrm>
          <a:off x="3314699" y="2838449"/>
          <a:ext cx="342899" cy="180975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66675</xdr:colOff>
      <xdr:row>12</xdr:row>
      <xdr:rowOff>190499</xdr:rowOff>
    </xdr:from>
    <xdr:to>
      <xdr:col>4</xdr:col>
      <xdr:colOff>400050</xdr:colOff>
      <xdr:row>13</xdr:row>
      <xdr:rowOff>180975</xdr:rowOff>
    </xdr:to>
    <xdr:sp macro="" textlink="">
      <xdr:nvSpPr>
        <xdr:cNvPr id="29" name="Rectangle 28"/>
        <xdr:cNvSpPr/>
      </xdr:nvSpPr>
      <xdr:spPr>
        <a:xfrm>
          <a:off x="2362200" y="2838449"/>
          <a:ext cx="333375" cy="180976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400050</xdr:colOff>
      <xdr:row>14</xdr:row>
      <xdr:rowOff>171450</xdr:rowOff>
    </xdr:from>
    <xdr:to>
      <xdr:col>5</xdr:col>
      <xdr:colOff>723900</xdr:colOff>
      <xdr:row>15</xdr:row>
      <xdr:rowOff>180974</xdr:rowOff>
    </xdr:to>
    <xdr:sp macro="" textlink="">
      <xdr:nvSpPr>
        <xdr:cNvPr id="31" name="Rectangle 30"/>
        <xdr:cNvSpPr/>
      </xdr:nvSpPr>
      <xdr:spPr>
        <a:xfrm>
          <a:off x="3305175" y="3200400"/>
          <a:ext cx="323850" cy="200024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66675</xdr:colOff>
      <xdr:row>15</xdr:row>
      <xdr:rowOff>9526</xdr:rowOff>
    </xdr:from>
    <xdr:to>
      <xdr:col>4</xdr:col>
      <xdr:colOff>409575</xdr:colOff>
      <xdr:row>15</xdr:row>
      <xdr:rowOff>180976</xdr:rowOff>
    </xdr:to>
    <xdr:sp macro="" textlink="">
      <xdr:nvSpPr>
        <xdr:cNvPr id="32" name="Rectangle 31"/>
        <xdr:cNvSpPr/>
      </xdr:nvSpPr>
      <xdr:spPr>
        <a:xfrm>
          <a:off x="2362200" y="3228976"/>
          <a:ext cx="342900" cy="1714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47625</xdr:colOff>
      <xdr:row>10</xdr:row>
      <xdr:rowOff>200024</xdr:rowOff>
    </xdr:from>
    <xdr:to>
      <xdr:col>4</xdr:col>
      <xdr:colOff>400049</xdr:colOff>
      <xdr:row>12</xdr:row>
      <xdr:rowOff>9525</xdr:rowOff>
    </xdr:to>
    <xdr:sp macro="" textlink="">
      <xdr:nvSpPr>
        <xdr:cNvPr id="33" name="Rectangle 32"/>
        <xdr:cNvSpPr/>
      </xdr:nvSpPr>
      <xdr:spPr>
        <a:xfrm>
          <a:off x="2343150" y="2457449"/>
          <a:ext cx="352424" cy="200026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104775</xdr:colOff>
      <xdr:row>26</xdr:row>
      <xdr:rowOff>171450</xdr:rowOff>
    </xdr:from>
    <xdr:to>
      <xdr:col>2</xdr:col>
      <xdr:colOff>76200</xdr:colOff>
      <xdr:row>27</xdr:row>
      <xdr:rowOff>171450</xdr:rowOff>
    </xdr:to>
    <xdr:sp macro="" textlink="">
      <xdr:nvSpPr>
        <xdr:cNvPr id="34" name="Rectangle 33"/>
        <xdr:cNvSpPr/>
      </xdr:nvSpPr>
      <xdr:spPr>
        <a:xfrm>
          <a:off x="714375" y="4629150"/>
          <a:ext cx="476250" cy="19050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85725</xdr:colOff>
      <xdr:row>30</xdr:row>
      <xdr:rowOff>19050</xdr:rowOff>
    </xdr:from>
    <xdr:to>
      <xdr:col>2</xdr:col>
      <xdr:colOff>57150</xdr:colOff>
      <xdr:row>31</xdr:row>
      <xdr:rowOff>19050</xdr:rowOff>
    </xdr:to>
    <xdr:sp macro="" textlink="">
      <xdr:nvSpPr>
        <xdr:cNvPr id="35" name="Rectangle 34"/>
        <xdr:cNvSpPr/>
      </xdr:nvSpPr>
      <xdr:spPr>
        <a:xfrm>
          <a:off x="695325" y="5238750"/>
          <a:ext cx="476250" cy="19050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95250</xdr:colOff>
      <xdr:row>33</xdr:row>
      <xdr:rowOff>180975</xdr:rowOff>
    </xdr:from>
    <xdr:to>
      <xdr:col>2</xdr:col>
      <xdr:colOff>66675</xdr:colOff>
      <xdr:row>34</xdr:row>
      <xdr:rowOff>180975</xdr:rowOff>
    </xdr:to>
    <xdr:sp macro="" textlink="">
      <xdr:nvSpPr>
        <xdr:cNvPr id="37" name="Rectangle 36"/>
        <xdr:cNvSpPr/>
      </xdr:nvSpPr>
      <xdr:spPr>
        <a:xfrm>
          <a:off x="704850" y="5972175"/>
          <a:ext cx="476250" cy="19050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28575</xdr:colOff>
      <xdr:row>26</xdr:row>
      <xdr:rowOff>171450</xdr:rowOff>
    </xdr:from>
    <xdr:to>
      <xdr:col>3</xdr:col>
      <xdr:colOff>571500</xdr:colOff>
      <xdr:row>28</xdr:row>
      <xdr:rowOff>0</xdr:rowOff>
    </xdr:to>
    <xdr:sp macro="" textlink="">
      <xdr:nvSpPr>
        <xdr:cNvPr id="38" name="Rectangle 37"/>
        <xdr:cNvSpPr/>
      </xdr:nvSpPr>
      <xdr:spPr>
        <a:xfrm>
          <a:off x="1752600" y="492442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542925</xdr:colOff>
      <xdr:row>31</xdr:row>
      <xdr:rowOff>19050</xdr:rowOff>
    </xdr:to>
    <xdr:sp macro="" textlink="">
      <xdr:nvSpPr>
        <xdr:cNvPr id="39" name="Rectangle 38"/>
        <xdr:cNvSpPr/>
      </xdr:nvSpPr>
      <xdr:spPr>
        <a:xfrm>
          <a:off x="1724025" y="551497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542925</xdr:colOff>
      <xdr:row>35</xdr:row>
      <xdr:rowOff>19050</xdr:rowOff>
    </xdr:to>
    <xdr:sp macro="" textlink="">
      <xdr:nvSpPr>
        <xdr:cNvPr id="40" name="Rectangle 39"/>
        <xdr:cNvSpPr/>
      </xdr:nvSpPr>
      <xdr:spPr>
        <a:xfrm>
          <a:off x="1724025" y="627697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542925</xdr:colOff>
      <xdr:row>28</xdr:row>
      <xdr:rowOff>19050</xdr:rowOff>
    </xdr:to>
    <xdr:sp macro="" textlink="">
      <xdr:nvSpPr>
        <xdr:cNvPr id="41" name="Rectangle 40"/>
        <xdr:cNvSpPr/>
      </xdr:nvSpPr>
      <xdr:spPr>
        <a:xfrm>
          <a:off x="2905125" y="494347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542925</xdr:colOff>
      <xdr:row>31</xdr:row>
      <xdr:rowOff>19050</xdr:rowOff>
    </xdr:to>
    <xdr:sp macro="" textlink="">
      <xdr:nvSpPr>
        <xdr:cNvPr id="42" name="Rectangle 41"/>
        <xdr:cNvSpPr/>
      </xdr:nvSpPr>
      <xdr:spPr>
        <a:xfrm>
          <a:off x="2905125" y="551497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542925</xdr:colOff>
      <xdr:row>35</xdr:row>
      <xdr:rowOff>19050</xdr:rowOff>
    </xdr:to>
    <xdr:sp macro="" textlink="">
      <xdr:nvSpPr>
        <xdr:cNvPr id="43" name="Rectangle 42"/>
        <xdr:cNvSpPr/>
      </xdr:nvSpPr>
      <xdr:spPr>
        <a:xfrm>
          <a:off x="2905125" y="6276975"/>
          <a:ext cx="542925" cy="20955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504823</xdr:colOff>
      <xdr:row>13</xdr:row>
      <xdr:rowOff>9524</xdr:rowOff>
    </xdr:from>
    <xdr:to>
      <xdr:col>7</xdr:col>
      <xdr:colOff>19050</xdr:colOff>
      <xdr:row>13</xdr:row>
      <xdr:rowOff>95250</xdr:rowOff>
    </xdr:to>
    <xdr:cxnSp macro="">
      <xdr:nvCxnSpPr>
        <xdr:cNvPr id="44" name="Shape 43"/>
        <xdr:cNvCxnSpPr/>
      </xdr:nvCxnSpPr>
      <xdr:spPr>
        <a:xfrm>
          <a:off x="3409948" y="2847974"/>
          <a:ext cx="876302" cy="8572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30</xdr:row>
      <xdr:rowOff>104775</xdr:rowOff>
    </xdr:from>
    <xdr:to>
      <xdr:col>7</xdr:col>
      <xdr:colOff>38100</xdr:colOff>
      <xdr:row>30</xdr:row>
      <xdr:rowOff>161925</xdr:rowOff>
    </xdr:to>
    <xdr:cxnSp macro="">
      <xdr:nvCxnSpPr>
        <xdr:cNvPr id="46" name="Elbow Connector 45"/>
        <xdr:cNvCxnSpPr>
          <a:stCxn id="42" idx="3"/>
        </xdr:cNvCxnSpPr>
      </xdr:nvCxnSpPr>
      <xdr:spPr>
        <a:xfrm>
          <a:off x="3448050" y="4943475"/>
          <a:ext cx="857250" cy="5715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18</xdr:row>
      <xdr:rowOff>19049</xdr:rowOff>
    </xdr:from>
    <xdr:to>
      <xdr:col>1</xdr:col>
      <xdr:colOff>333375</xdr:colOff>
      <xdr:row>19</xdr:row>
      <xdr:rowOff>9525</xdr:rowOff>
    </xdr:to>
    <xdr:sp macro="" textlink="">
      <xdr:nvSpPr>
        <xdr:cNvPr id="36" name="Rectangle 35"/>
        <xdr:cNvSpPr/>
      </xdr:nvSpPr>
      <xdr:spPr>
        <a:xfrm>
          <a:off x="619124" y="2476499"/>
          <a:ext cx="323851" cy="1809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180975</xdr:rowOff>
    </xdr:from>
    <xdr:to>
      <xdr:col>1</xdr:col>
      <xdr:colOff>323850</xdr:colOff>
      <xdr:row>20</xdr:row>
      <xdr:rowOff>180975</xdr:rowOff>
    </xdr:to>
    <xdr:sp macro="" textlink="">
      <xdr:nvSpPr>
        <xdr:cNvPr id="45" name="Rectangle 44"/>
        <xdr:cNvSpPr/>
      </xdr:nvSpPr>
      <xdr:spPr>
        <a:xfrm>
          <a:off x="609600" y="2828925"/>
          <a:ext cx="3238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22</xdr:row>
      <xdr:rowOff>19050</xdr:rowOff>
    </xdr:from>
    <xdr:to>
      <xdr:col>1</xdr:col>
      <xdr:colOff>323850</xdr:colOff>
      <xdr:row>22</xdr:row>
      <xdr:rowOff>180975</xdr:rowOff>
    </xdr:to>
    <xdr:sp macro="" textlink="">
      <xdr:nvSpPr>
        <xdr:cNvPr id="47" name="Rectangle 46"/>
        <xdr:cNvSpPr/>
      </xdr:nvSpPr>
      <xdr:spPr>
        <a:xfrm>
          <a:off x="609600" y="3238500"/>
          <a:ext cx="323850" cy="161925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161925</xdr:colOff>
      <xdr:row>18</xdr:row>
      <xdr:rowOff>28575</xdr:rowOff>
    </xdr:from>
    <xdr:to>
      <xdr:col>3</xdr:col>
      <xdr:colOff>495300</xdr:colOff>
      <xdr:row>19</xdr:row>
      <xdr:rowOff>9525</xdr:rowOff>
    </xdr:to>
    <xdr:sp macro="" textlink="">
      <xdr:nvSpPr>
        <xdr:cNvPr id="48" name="Rectangle 47"/>
        <xdr:cNvSpPr/>
      </xdr:nvSpPr>
      <xdr:spPr>
        <a:xfrm>
          <a:off x="1885950" y="2486025"/>
          <a:ext cx="333375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152400</xdr:colOff>
      <xdr:row>20</xdr:row>
      <xdr:rowOff>0</xdr:rowOff>
    </xdr:from>
    <xdr:to>
      <xdr:col>3</xdr:col>
      <xdr:colOff>485775</xdr:colOff>
      <xdr:row>20</xdr:row>
      <xdr:rowOff>171450</xdr:rowOff>
    </xdr:to>
    <xdr:sp macro="" textlink="">
      <xdr:nvSpPr>
        <xdr:cNvPr id="49" name="Rectangle 48"/>
        <xdr:cNvSpPr/>
      </xdr:nvSpPr>
      <xdr:spPr>
        <a:xfrm>
          <a:off x="1876425" y="2838450"/>
          <a:ext cx="333375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142875</xdr:colOff>
      <xdr:row>21</xdr:row>
      <xdr:rowOff>180975</xdr:rowOff>
    </xdr:from>
    <xdr:to>
      <xdr:col>3</xdr:col>
      <xdr:colOff>495300</xdr:colOff>
      <xdr:row>22</xdr:row>
      <xdr:rowOff>180975</xdr:rowOff>
    </xdr:to>
    <xdr:sp macro="" textlink="">
      <xdr:nvSpPr>
        <xdr:cNvPr id="50" name="Rectangle 49"/>
        <xdr:cNvSpPr/>
      </xdr:nvSpPr>
      <xdr:spPr>
        <a:xfrm>
          <a:off x="1866900" y="3209925"/>
          <a:ext cx="352425" cy="190500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409575</xdr:colOff>
      <xdr:row>18</xdr:row>
      <xdr:rowOff>9525</xdr:rowOff>
    </xdr:from>
    <xdr:to>
      <xdr:col>6</xdr:col>
      <xdr:colOff>0</xdr:colOff>
      <xdr:row>19</xdr:row>
      <xdr:rowOff>0</xdr:rowOff>
    </xdr:to>
    <xdr:sp macro="" textlink="">
      <xdr:nvSpPr>
        <xdr:cNvPr id="51" name="Rectangle 50"/>
        <xdr:cNvSpPr/>
      </xdr:nvSpPr>
      <xdr:spPr>
        <a:xfrm>
          <a:off x="3314700" y="3819525"/>
          <a:ext cx="342900" cy="1809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409574</xdr:colOff>
      <xdr:row>19</xdr:row>
      <xdr:rowOff>190499</xdr:rowOff>
    </xdr:from>
    <xdr:to>
      <xdr:col>5</xdr:col>
      <xdr:colOff>752473</xdr:colOff>
      <xdr:row>20</xdr:row>
      <xdr:rowOff>180974</xdr:rowOff>
    </xdr:to>
    <xdr:sp macro="" textlink="">
      <xdr:nvSpPr>
        <xdr:cNvPr id="52" name="Rectangle 51"/>
        <xdr:cNvSpPr/>
      </xdr:nvSpPr>
      <xdr:spPr>
        <a:xfrm>
          <a:off x="3314699" y="2838449"/>
          <a:ext cx="342899" cy="180975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400050</xdr:colOff>
      <xdr:row>21</xdr:row>
      <xdr:rowOff>171450</xdr:rowOff>
    </xdr:from>
    <xdr:to>
      <xdr:col>5</xdr:col>
      <xdr:colOff>723900</xdr:colOff>
      <xdr:row>22</xdr:row>
      <xdr:rowOff>180974</xdr:rowOff>
    </xdr:to>
    <xdr:sp macro="" textlink="">
      <xdr:nvSpPr>
        <xdr:cNvPr id="54" name="Rectangle 53"/>
        <xdr:cNvSpPr/>
      </xdr:nvSpPr>
      <xdr:spPr>
        <a:xfrm>
          <a:off x="3305175" y="3200400"/>
          <a:ext cx="323850" cy="200024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 smtClean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504823</xdr:colOff>
      <xdr:row>20</xdr:row>
      <xdr:rowOff>9524</xdr:rowOff>
    </xdr:from>
    <xdr:to>
      <xdr:col>7</xdr:col>
      <xdr:colOff>19050</xdr:colOff>
      <xdr:row>20</xdr:row>
      <xdr:rowOff>95250</xdr:rowOff>
    </xdr:to>
    <xdr:cxnSp macro="">
      <xdr:nvCxnSpPr>
        <xdr:cNvPr id="57" name="Shape 43"/>
        <xdr:cNvCxnSpPr/>
      </xdr:nvCxnSpPr>
      <xdr:spPr>
        <a:xfrm>
          <a:off x="3409948" y="2847974"/>
          <a:ext cx="876302" cy="8572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" sqref="G3"/>
    </sheetView>
  </sheetViews>
  <sheetFormatPr defaultRowHeight="11.25"/>
  <cols>
    <col min="1" max="1" width="5.42578125" style="1" customWidth="1"/>
    <col min="2" max="2" width="27" style="1" customWidth="1"/>
    <col min="3" max="9" width="13.28515625" style="1" customWidth="1"/>
    <col min="10" max="10" width="13.7109375" style="1" customWidth="1"/>
    <col min="11" max="16384" width="9.140625" style="1"/>
  </cols>
  <sheetData>
    <row r="1" spans="1:10" ht="17.25" customHeight="1">
      <c r="A1" s="1006" t="s">
        <v>7</v>
      </c>
      <c r="B1" s="1006"/>
      <c r="C1" s="1006"/>
    </row>
    <row r="2" spans="1:10" ht="19.5" customHeight="1">
      <c r="A2" s="1007" t="s">
        <v>209</v>
      </c>
      <c r="B2" s="1007"/>
      <c r="C2" s="1007"/>
    </row>
    <row r="3" spans="1:10" ht="42.75" customHeight="1" thickBot="1">
      <c r="A3" s="11" t="s">
        <v>0</v>
      </c>
      <c r="B3" s="22" t="s">
        <v>1</v>
      </c>
      <c r="C3" s="23" t="s">
        <v>210</v>
      </c>
      <c r="D3" s="22" t="s">
        <v>2</v>
      </c>
      <c r="E3" s="23" t="s">
        <v>193</v>
      </c>
      <c r="F3" s="23" t="s">
        <v>79</v>
      </c>
      <c r="G3" s="23" t="s">
        <v>211</v>
      </c>
      <c r="H3" s="23" t="s">
        <v>4</v>
      </c>
      <c r="I3" s="23" t="s">
        <v>5</v>
      </c>
      <c r="J3" s="22" t="s">
        <v>6</v>
      </c>
    </row>
    <row r="4" spans="1:10" ht="15.95" customHeight="1">
      <c r="A4" s="1000">
        <v>1</v>
      </c>
      <c r="B4" s="4" t="s">
        <v>194</v>
      </c>
      <c r="C4" s="5">
        <f>0</f>
        <v>0</v>
      </c>
      <c r="D4" s="5">
        <f>0</f>
        <v>0</v>
      </c>
      <c r="E4" s="1003">
        <f>1812</f>
        <v>1812</v>
      </c>
      <c r="F4" s="1003">
        <f>1438</f>
        <v>1438</v>
      </c>
      <c r="G4" s="5">
        <v>0</v>
      </c>
      <c r="H4" s="5"/>
      <c r="I4" s="5">
        <f>(C4-H4)-G4</f>
        <v>0</v>
      </c>
      <c r="J4" s="2" t="s">
        <v>53</v>
      </c>
    </row>
    <row r="5" spans="1:10" ht="15.95" customHeight="1">
      <c r="A5" s="1001"/>
      <c r="B5" s="4" t="s">
        <v>195</v>
      </c>
      <c r="C5" s="5">
        <f>0</f>
        <v>0</v>
      </c>
      <c r="D5" s="5">
        <f>0</f>
        <v>0</v>
      </c>
      <c r="E5" s="1004"/>
      <c r="F5" s="1004"/>
      <c r="G5" s="5">
        <v>0</v>
      </c>
      <c r="H5" s="5"/>
      <c r="I5" s="5">
        <f>(C5-H5)-G5</f>
        <v>0</v>
      </c>
      <c r="J5" s="2" t="s">
        <v>23</v>
      </c>
    </row>
    <row r="6" spans="1:10" ht="15.95" customHeight="1">
      <c r="A6" s="1001"/>
      <c r="B6" s="4" t="s">
        <v>196</v>
      </c>
      <c r="C6" s="3">
        <f>18510</f>
        <v>18510</v>
      </c>
      <c r="D6" s="3">
        <f>18510</f>
        <v>18510</v>
      </c>
      <c r="E6" s="1005"/>
      <c r="F6" s="1005"/>
      <c r="G6" s="5">
        <f>4740+4740+2370+4290+2370</f>
        <v>18510</v>
      </c>
      <c r="H6" s="5"/>
      <c r="I6" s="5">
        <f>(C6-H6)-G6</f>
        <v>0</v>
      </c>
      <c r="J6" s="2"/>
    </row>
    <row r="7" spans="1:10" ht="15.95" customHeight="1" thickBot="1">
      <c r="A7" s="1002"/>
      <c r="B7" s="6" t="s">
        <v>14</v>
      </c>
      <c r="C7" s="17">
        <f t="shared" ref="C7:I7" si="0">SUM(C4:C6)</f>
        <v>18510</v>
      </c>
      <c r="D7" s="17">
        <f>SUM(D4:D6)</f>
        <v>18510</v>
      </c>
      <c r="E7" s="17">
        <f>SUM(E4:E6)</f>
        <v>1812</v>
      </c>
      <c r="F7" s="17">
        <f t="shared" si="0"/>
        <v>1438</v>
      </c>
      <c r="G7" s="17">
        <f t="shared" si="0"/>
        <v>18510</v>
      </c>
      <c r="H7" s="17">
        <f t="shared" si="0"/>
        <v>0</v>
      </c>
      <c r="I7" s="17">
        <f t="shared" si="0"/>
        <v>0</v>
      </c>
      <c r="J7" s="31"/>
    </row>
    <row r="8" spans="1:10" ht="15" hidden="1" customHeight="1">
      <c r="A8" s="1000"/>
      <c r="B8" s="4"/>
      <c r="C8" s="5"/>
      <c r="D8" s="5"/>
      <c r="E8" s="1003">
        <f>D11/84</f>
        <v>0</v>
      </c>
      <c r="F8" s="1003">
        <f>D11/84</f>
        <v>0</v>
      </c>
      <c r="G8" s="5"/>
      <c r="H8" s="5">
        <f>0</f>
        <v>0</v>
      </c>
      <c r="I8" s="5">
        <f>(C8-H8)-G8</f>
        <v>0</v>
      </c>
      <c r="J8" s="4" t="s">
        <v>90</v>
      </c>
    </row>
    <row r="9" spans="1:10" ht="15" hidden="1" customHeight="1">
      <c r="A9" s="1001"/>
      <c r="B9" s="4"/>
      <c r="C9" s="5"/>
      <c r="D9" s="5"/>
      <c r="E9" s="1004"/>
      <c r="F9" s="1004"/>
      <c r="G9" s="5"/>
      <c r="H9" s="5">
        <f>0</f>
        <v>0</v>
      </c>
      <c r="I9" s="5">
        <f>(C9-H9)-G9</f>
        <v>0</v>
      </c>
      <c r="J9" s="2" t="s">
        <v>23</v>
      </c>
    </row>
    <row r="10" spans="1:10" ht="15" hidden="1" customHeight="1">
      <c r="A10" s="1001"/>
      <c r="B10" s="4"/>
      <c r="C10" s="14"/>
      <c r="D10" s="14"/>
      <c r="E10" s="1005"/>
      <c r="F10" s="1005"/>
      <c r="G10" s="14"/>
      <c r="H10" s="14"/>
      <c r="I10" s="5">
        <f>(C10-H10)-G10</f>
        <v>0</v>
      </c>
      <c r="J10" s="18"/>
    </row>
    <row r="11" spans="1:10" ht="15" hidden="1" customHeight="1" thickBot="1">
      <c r="A11" s="1002"/>
      <c r="B11" s="6" t="s">
        <v>14</v>
      </c>
      <c r="C11" s="17">
        <f>SUM(C8:C10)</f>
        <v>0</v>
      </c>
      <c r="D11" s="17">
        <f t="shared" ref="D11:I11" si="1">SUM(D8:D10)</f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8"/>
    </row>
    <row r="12" spans="1:10" ht="15" customHeight="1"/>
    <row r="13" spans="1:10" ht="15" customHeight="1"/>
    <row r="14" spans="1:10" ht="15" customHeight="1"/>
    <row r="15" spans="1:10" ht="15" customHeight="1"/>
    <row r="16" spans="1:10" ht="15" customHeight="1"/>
    <row r="17" spans="5:5" ht="15" customHeight="1">
      <c r="E17" s="1" t="s">
        <v>115</v>
      </c>
    </row>
    <row r="18" spans="5:5" ht="15" customHeight="1"/>
    <row r="19" spans="5:5" ht="15" customHeight="1"/>
    <row r="20" spans="5:5" ht="15" customHeight="1"/>
    <row r="21" spans="5:5" ht="15" customHeight="1"/>
    <row r="22" spans="5:5" ht="15" customHeight="1"/>
  </sheetData>
  <mergeCells count="8">
    <mergeCell ref="A8:A11"/>
    <mergeCell ref="E8:E10"/>
    <mergeCell ref="F8:F10"/>
    <mergeCell ref="A1:C1"/>
    <mergeCell ref="A2:C2"/>
    <mergeCell ref="A4:A7"/>
    <mergeCell ref="E4:E6"/>
    <mergeCell ref="F4:F6"/>
  </mergeCells>
  <pageMargins left="0.5" right="0.28000000000000003" top="0.75" bottom="0.5" header="0.3" footer="0.2"/>
  <pageSetup paperSize="9" orientation="landscape" r:id="rId1"/>
  <headerFooter>
    <oddHeader>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2"/>
  <sheetViews>
    <sheetView workbookViewId="0">
      <pane xSplit="1" ySplit="3" topLeftCell="B4" activePane="bottomRight" state="frozen"/>
      <selection activeCell="C3" sqref="C3"/>
      <selection pane="topRight" activeCell="C3" sqref="C3"/>
      <selection pane="bottomLeft" activeCell="C3" sqref="C3"/>
      <selection pane="bottomRight" activeCell="A2" sqref="A2:C2"/>
    </sheetView>
  </sheetViews>
  <sheetFormatPr defaultRowHeight="11.25"/>
  <cols>
    <col min="1" max="1" width="5.42578125" style="1" customWidth="1"/>
    <col min="2" max="2" width="27" style="1" customWidth="1"/>
    <col min="3" max="9" width="13.28515625" style="1" customWidth="1"/>
    <col min="10" max="10" width="13.7109375" style="1" customWidth="1"/>
    <col min="11" max="16384" width="9.140625" style="1"/>
  </cols>
  <sheetData>
    <row r="1" spans="1:10" ht="17.25" customHeight="1">
      <c r="A1" s="1006" t="s">
        <v>7</v>
      </c>
      <c r="B1" s="1006"/>
      <c r="C1" s="1006"/>
    </row>
    <row r="2" spans="1:10" ht="19.5" customHeight="1">
      <c r="A2" s="1007" t="s">
        <v>217</v>
      </c>
      <c r="B2" s="1007"/>
      <c r="C2" s="1007"/>
    </row>
    <row r="3" spans="1:10" ht="42.75" customHeight="1" thickBot="1">
      <c r="A3" s="11" t="s">
        <v>0</v>
      </c>
      <c r="B3" s="22" t="s">
        <v>1</v>
      </c>
      <c r="C3" s="23" t="s">
        <v>216</v>
      </c>
      <c r="D3" s="22" t="s">
        <v>2</v>
      </c>
      <c r="E3" s="23" t="s">
        <v>97</v>
      </c>
      <c r="F3" s="23" t="s">
        <v>79</v>
      </c>
      <c r="G3" s="23" t="s">
        <v>215</v>
      </c>
      <c r="H3" s="23" t="s">
        <v>4</v>
      </c>
      <c r="I3" s="23" t="s">
        <v>5</v>
      </c>
      <c r="J3" s="22" t="s">
        <v>6</v>
      </c>
    </row>
    <row r="4" spans="1:10" ht="15.95" customHeight="1">
      <c r="A4" s="1000">
        <v>1</v>
      </c>
      <c r="B4" s="4" t="s">
        <v>98</v>
      </c>
      <c r="C4" s="5">
        <f>257232+1056+1440+1344+1056+2304+1056+192+1152+1056+960+864+768+1056+960+960+864+864+864+1248+1056+1152+1152+1248+1248+1728+2496+1152+1248+960+480+480+480+480+768+864+864+864+864+960+960+960</f>
        <v>299760</v>
      </c>
      <c r="D4" s="5">
        <f>211020+768+4800+468+4800+8160+12+4800+4800+3264+4800+2880</f>
        <v>250572</v>
      </c>
      <c r="E4" s="1003">
        <f>13841+9938-1758+400+691+80+224+140+63+693+544+50+350+3+237</f>
        <v>25496</v>
      </c>
      <c r="F4" s="1003">
        <f>255816+8436+4800+8292+960+960+24+6720+1606+4130+6528-542+5342+1208+1132</f>
        <v>305412</v>
      </c>
      <c r="G4" s="5">
        <f>205260+1344+864+2112+768+1440+1824+2880+1056+192+1152+1056+960+2304+1344+960+864+864+864+960+288+1056+1152+1152+1248+1248+96+1632+2496+1248+1152+960+480+480+480+480+768+864+864+864+1152+672+672</f>
        <v>250572</v>
      </c>
      <c r="H4" s="5">
        <f>47940+288+960</f>
        <v>49188</v>
      </c>
      <c r="I4" s="5">
        <f>(C4-H4)-G4</f>
        <v>0</v>
      </c>
      <c r="J4" s="2" t="s">
        <v>13</v>
      </c>
    </row>
    <row r="5" spans="1:10" ht="15.95" customHeight="1">
      <c r="A5" s="1001"/>
      <c r="B5" s="4" t="s">
        <v>99</v>
      </c>
      <c r="C5" s="5">
        <f>10232+192+96+192+192+192+192+192+96+96+192+288+96+192+288+192+192+192+192+192+192+576+288+288+288+288</f>
        <v>15608</v>
      </c>
      <c r="D5" s="5">
        <f>11012+960+28+8+960+4+956+1632</f>
        <v>15560</v>
      </c>
      <c r="E5" s="1004"/>
      <c r="F5" s="1004"/>
      <c r="G5" s="5">
        <f>10040+96+288+96+192+384+192+192+96+96+192+288+96+192+288+192+192+192+192+192+192+576+576+288+288</f>
        <v>15608</v>
      </c>
      <c r="H5" s="5">
        <f>0</f>
        <v>0</v>
      </c>
      <c r="I5" s="5">
        <f>(C5-H5)-G5</f>
        <v>0</v>
      </c>
      <c r="J5" s="2" t="s">
        <v>25</v>
      </c>
    </row>
    <row r="6" spans="1:10" ht="15.95" customHeight="1">
      <c r="A6" s="1001"/>
      <c r="B6" s="4" t="s">
        <v>100</v>
      </c>
      <c r="C6" s="3">
        <f>36200+96+96+192+192+288+96+192+192+96+288+96+192+192+96+192+96+192+192+192+192+192+192+192+96+192+576+288+288+288+288+288+192+192</f>
        <v>42824</v>
      </c>
      <c r="D6" s="3">
        <f>33784+1440+104+940+20+940+960+1632</f>
        <v>39820</v>
      </c>
      <c r="E6" s="1005"/>
      <c r="F6" s="1005"/>
      <c r="G6" s="3">
        <f>32728+480+192+96+96+192+384+96+96+192+192+96+288+96+192+192+96+192+96+96+96+192+192+192+192+192+192+96+192+384+288+480+288+288+288+192</f>
        <v>39832</v>
      </c>
      <c r="H6" s="3">
        <f>2800+192</f>
        <v>2992</v>
      </c>
      <c r="I6" s="5">
        <f>(C6-H6)-G6</f>
        <v>0</v>
      </c>
      <c r="J6" s="2"/>
    </row>
    <row r="7" spans="1:10" ht="15.95" customHeight="1" thickBot="1">
      <c r="A7" s="1002"/>
      <c r="B7" s="6" t="s">
        <v>14</v>
      </c>
      <c r="C7" s="17">
        <f t="shared" ref="C7:I7" si="0">SUM(C4:C6)</f>
        <v>358192</v>
      </c>
      <c r="D7" s="17">
        <f t="shared" si="0"/>
        <v>305952</v>
      </c>
      <c r="E7" s="17">
        <f t="shared" si="0"/>
        <v>25496</v>
      </c>
      <c r="F7" s="17">
        <f t="shared" si="0"/>
        <v>305412</v>
      </c>
      <c r="G7" s="17">
        <f t="shared" si="0"/>
        <v>306012</v>
      </c>
      <c r="H7" s="17">
        <f t="shared" si="0"/>
        <v>52180</v>
      </c>
      <c r="I7" s="17">
        <f t="shared" si="0"/>
        <v>0</v>
      </c>
      <c r="J7" s="31" t="s">
        <v>159</v>
      </c>
    </row>
    <row r="8" spans="1:10" ht="15" hidden="1" customHeight="1">
      <c r="A8" s="1000"/>
      <c r="B8" s="4"/>
      <c r="C8" s="5"/>
      <c r="D8" s="5"/>
      <c r="E8" s="1003">
        <f>D11/84</f>
        <v>0</v>
      </c>
      <c r="F8" s="1003">
        <f>D11/84</f>
        <v>0</v>
      </c>
      <c r="G8" s="5"/>
      <c r="H8" s="5">
        <f>0</f>
        <v>0</v>
      </c>
      <c r="I8" s="5">
        <f>(C8-H8)-G8</f>
        <v>0</v>
      </c>
      <c r="J8" s="4" t="s">
        <v>90</v>
      </c>
    </row>
    <row r="9" spans="1:10" ht="15" hidden="1" customHeight="1">
      <c r="A9" s="1001"/>
      <c r="B9" s="4"/>
      <c r="C9" s="5"/>
      <c r="D9" s="5"/>
      <c r="E9" s="1004"/>
      <c r="F9" s="1004"/>
      <c r="G9" s="5"/>
      <c r="H9" s="5">
        <f>0</f>
        <v>0</v>
      </c>
      <c r="I9" s="5">
        <f>(C9-H9)-G9</f>
        <v>0</v>
      </c>
      <c r="J9" s="2" t="s">
        <v>23</v>
      </c>
    </row>
    <row r="10" spans="1:10" ht="15" hidden="1" customHeight="1">
      <c r="A10" s="1001"/>
      <c r="B10" s="4"/>
      <c r="C10" s="14"/>
      <c r="D10" s="14"/>
      <c r="E10" s="1005"/>
      <c r="F10" s="1005"/>
      <c r="G10" s="14"/>
      <c r="H10" s="14"/>
      <c r="I10" s="5">
        <f>(C10-H10)-G10</f>
        <v>0</v>
      </c>
      <c r="J10" s="18"/>
    </row>
    <row r="11" spans="1:10" ht="15" hidden="1" customHeight="1" thickBot="1">
      <c r="A11" s="1002"/>
      <c r="B11" s="6" t="s">
        <v>14</v>
      </c>
      <c r="C11" s="17">
        <f>SUM(C8:C10)</f>
        <v>0</v>
      </c>
      <c r="D11" s="17">
        <f t="shared" ref="D11:I11" si="1">SUM(D8:D10)</f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8"/>
    </row>
    <row r="12" spans="1:10" ht="15" customHeight="1"/>
    <row r="13" spans="1:10" ht="15" customHeight="1"/>
    <row r="14" spans="1:10" ht="15" customHeight="1"/>
    <row r="15" spans="1:10" ht="15" customHeight="1"/>
    <row r="16" spans="1:10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mergeCells count="8">
    <mergeCell ref="F8:F10"/>
    <mergeCell ref="A1:C1"/>
    <mergeCell ref="A2:C2"/>
    <mergeCell ref="A4:A7"/>
    <mergeCell ref="A8:A11"/>
    <mergeCell ref="E8:E10"/>
    <mergeCell ref="F4:F6"/>
    <mergeCell ref="E4:E6"/>
  </mergeCells>
  <pageMargins left="0.5" right="0.28000000000000003" top="0.75" bottom="0.5" header="0.3" footer="0.2"/>
  <pageSetup paperSize="9" orientation="landscape" verticalDpi="0" r:id="rId1"/>
  <headerFooter>
    <oddHeader>&amp;R&amp;D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2"/>
  <sheetViews>
    <sheetView workbookViewId="0">
      <pane xSplit="1" ySplit="3" topLeftCell="B4" activePane="bottomRight" state="frozen"/>
      <selection activeCell="C3" sqref="C3"/>
      <selection pane="topRight" activeCell="C3" sqref="C3"/>
      <selection pane="bottomLeft" activeCell="C3" sqref="C3"/>
      <selection pane="bottomRight" activeCell="G3" sqref="G3"/>
    </sheetView>
  </sheetViews>
  <sheetFormatPr defaultRowHeight="11.25"/>
  <cols>
    <col min="1" max="1" width="5.42578125" style="1" customWidth="1"/>
    <col min="2" max="2" width="27" style="1" customWidth="1"/>
    <col min="3" max="9" width="13.28515625" style="1" customWidth="1"/>
    <col min="10" max="10" width="13.7109375" style="1" customWidth="1"/>
    <col min="11" max="16384" width="9.140625" style="1"/>
  </cols>
  <sheetData>
    <row r="1" spans="1:10" ht="17.25" customHeight="1">
      <c r="A1" s="1006" t="s">
        <v>7</v>
      </c>
      <c r="B1" s="1006"/>
      <c r="C1" s="1006"/>
    </row>
    <row r="2" spans="1:10" ht="19.5" customHeight="1">
      <c r="A2" s="1007" t="s">
        <v>209</v>
      </c>
      <c r="B2" s="1007"/>
      <c r="C2" s="1007"/>
    </row>
    <row r="3" spans="1:10" ht="42.75" customHeight="1" thickBot="1">
      <c r="A3" s="11" t="s">
        <v>0</v>
      </c>
      <c r="B3" s="22" t="s">
        <v>1</v>
      </c>
      <c r="C3" s="23" t="s">
        <v>210</v>
      </c>
      <c r="D3" s="22" t="s">
        <v>2</v>
      </c>
      <c r="E3" s="23" t="s">
        <v>93</v>
      </c>
      <c r="F3" s="23" t="s">
        <v>116</v>
      </c>
      <c r="G3" s="23" t="s">
        <v>211</v>
      </c>
      <c r="H3" s="23" t="s">
        <v>4</v>
      </c>
      <c r="I3" s="23" t="s">
        <v>5</v>
      </c>
      <c r="J3" s="22" t="s">
        <v>6</v>
      </c>
    </row>
    <row r="4" spans="1:10" ht="15.95" customHeight="1">
      <c r="A4" s="1000">
        <v>1</v>
      </c>
      <c r="B4" s="4" t="s">
        <v>94</v>
      </c>
      <c r="C4" s="5">
        <f>229224+1944+1944+7128+5760+2880+11520+5760+5760+5760+5760</f>
        <v>283440</v>
      </c>
      <c r="D4" s="5">
        <f>238824-1944+10800+1296</f>
        <v>248976</v>
      </c>
      <c r="E4" s="1003">
        <f>7981+1499+44+432+206+42</f>
        <v>10204</v>
      </c>
      <c r="F4" s="1003">
        <f>341280+320+5296+10800+1296+5040+3860+4420+1296</f>
        <v>373608</v>
      </c>
      <c r="G4" s="5">
        <f>200592+648+1944+1944+7128+5760+2880+10080+3600+9360+2880+2160</f>
        <v>248976</v>
      </c>
      <c r="H4" s="5">
        <f>27984+6480</f>
        <v>34464</v>
      </c>
      <c r="I4" s="5">
        <f>(C4-H4)-G4</f>
        <v>0</v>
      </c>
      <c r="J4" s="2" t="s">
        <v>24</v>
      </c>
    </row>
    <row r="5" spans="1:10" ht="15.95" customHeight="1">
      <c r="A5" s="1001"/>
      <c r="B5" s="4" t="s">
        <v>95</v>
      </c>
      <c r="C5" s="5">
        <f>27432+648+648+648+648+648+648+648+648+648+1296+144+1440+720+720+720+720+720+720+1440</f>
        <v>41904</v>
      </c>
      <c r="D5" s="5">
        <f>29376+360+2232+1296+2880+2520</f>
        <v>38664</v>
      </c>
      <c r="E5" s="1004"/>
      <c r="F5" s="1004"/>
      <c r="G5" s="5">
        <f>23544+648+648+648+648+648+648+648+648+648+648+1440+1440+1440+720+720+720+720+1440</f>
        <v>38664</v>
      </c>
      <c r="H5" s="5">
        <f>3240</f>
        <v>3240</v>
      </c>
      <c r="I5" s="5">
        <f>(C5-H5)-G5</f>
        <v>0</v>
      </c>
      <c r="J5" s="2" t="s">
        <v>199</v>
      </c>
    </row>
    <row r="6" spans="1:10" ht="15.95" customHeight="1">
      <c r="A6" s="1001"/>
      <c r="B6" s="4" t="s">
        <v>96</v>
      </c>
      <c r="C6" s="14">
        <f>73200+2160+720+720+720+720+2160+5040+2160+1440+1440+1440+1440+1440+1440</f>
        <v>96240</v>
      </c>
      <c r="D6" s="14">
        <f>73080-5832+10800+5040+2880</f>
        <v>85968</v>
      </c>
      <c r="E6" s="1005"/>
      <c r="F6" s="1005"/>
      <c r="G6" s="14">
        <f>67248+2160+720+720+720+2880+3600+2880+2160+1440+2160+720</f>
        <v>87408</v>
      </c>
      <c r="H6" s="14">
        <f>5952+2880</f>
        <v>8832</v>
      </c>
      <c r="I6" s="5">
        <f>(C6-H6)-G6</f>
        <v>0</v>
      </c>
      <c r="J6" s="2" t="s">
        <v>25</v>
      </c>
    </row>
    <row r="7" spans="1:10" ht="15.95" customHeight="1" thickBot="1">
      <c r="A7" s="1002"/>
      <c r="B7" s="6" t="s">
        <v>14</v>
      </c>
      <c r="C7" s="17">
        <f t="shared" ref="C7:I7" si="0">SUM(C4:C6)</f>
        <v>421584</v>
      </c>
      <c r="D7" s="17">
        <f t="shared" si="0"/>
        <v>373608</v>
      </c>
      <c r="E7" s="17">
        <f>SUM(E4:E6)</f>
        <v>10204</v>
      </c>
      <c r="F7" s="17">
        <f t="shared" si="0"/>
        <v>373608</v>
      </c>
      <c r="G7" s="17">
        <f t="shared" si="0"/>
        <v>375048</v>
      </c>
      <c r="H7" s="17">
        <f t="shared" si="0"/>
        <v>46536</v>
      </c>
      <c r="I7" s="17">
        <f t="shared" si="0"/>
        <v>0</v>
      </c>
      <c r="J7" s="33" t="s">
        <v>122</v>
      </c>
    </row>
    <row r="8" spans="1:10" ht="15" hidden="1" customHeight="1">
      <c r="A8" s="1000"/>
      <c r="B8" s="4"/>
      <c r="C8" s="5"/>
      <c r="D8" s="5"/>
      <c r="E8" s="1003">
        <f>D11/84</f>
        <v>0</v>
      </c>
      <c r="F8" s="1003">
        <f>D11/84</f>
        <v>0</v>
      </c>
      <c r="G8" s="5"/>
      <c r="H8" s="5">
        <f>0</f>
        <v>0</v>
      </c>
      <c r="I8" s="5">
        <f>(C8-H8)-G8</f>
        <v>0</v>
      </c>
      <c r="J8" s="4" t="s">
        <v>90</v>
      </c>
    </row>
    <row r="9" spans="1:10" ht="15" hidden="1" customHeight="1">
      <c r="A9" s="1001"/>
      <c r="B9" s="4"/>
      <c r="C9" s="5"/>
      <c r="D9" s="5"/>
      <c r="E9" s="1004"/>
      <c r="F9" s="1004"/>
      <c r="G9" s="5"/>
      <c r="H9" s="5">
        <f>0</f>
        <v>0</v>
      </c>
      <c r="I9" s="5">
        <f>(C9-H9)-G9</f>
        <v>0</v>
      </c>
      <c r="J9" s="2" t="s">
        <v>23</v>
      </c>
    </row>
    <row r="10" spans="1:10" ht="15" hidden="1" customHeight="1">
      <c r="A10" s="1001"/>
      <c r="B10" s="4"/>
      <c r="C10" s="14"/>
      <c r="D10" s="14"/>
      <c r="E10" s="1005"/>
      <c r="F10" s="1005"/>
      <c r="G10" s="14"/>
      <c r="H10" s="14"/>
      <c r="I10" s="5">
        <f>(C10-H10)-G10</f>
        <v>0</v>
      </c>
      <c r="J10" s="18"/>
    </row>
    <row r="11" spans="1:10" ht="15" hidden="1" customHeight="1" thickBot="1">
      <c r="A11" s="1002"/>
      <c r="B11" s="6" t="s">
        <v>14</v>
      </c>
      <c r="C11" s="17">
        <f>SUM(C8:C10)</f>
        <v>0</v>
      </c>
      <c r="D11" s="17">
        <f t="shared" ref="D11:I11" si="1">SUM(D8:D10)</f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8"/>
    </row>
    <row r="12" spans="1:10" ht="15" customHeight="1"/>
    <row r="13" spans="1:10" ht="15" customHeight="1"/>
    <row r="14" spans="1:10" ht="15" customHeight="1"/>
    <row r="15" spans="1:10" ht="15" customHeight="1"/>
    <row r="16" spans="1:10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mergeCells count="8">
    <mergeCell ref="A1:C1"/>
    <mergeCell ref="A2:C2"/>
    <mergeCell ref="A8:A11"/>
    <mergeCell ref="E8:E10"/>
    <mergeCell ref="F8:F10"/>
    <mergeCell ref="A4:A7"/>
    <mergeCell ref="F4:F6"/>
    <mergeCell ref="E4:E6"/>
  </mergeCells>
  <pageMargins left="0.5" right="0.28000000000000003" top="0.75" bottom="0.5" header="0.3" footer="0.2"/>
  <pageSetup paperSize="9" orientation="landscape" verticalDpi="0" r:id="rId1"/>
  <headerFooter>
    <oddHeader>&amp;R&amp;D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L32"/>
  <sheetViews>
    <sheetView zoomScaleSheetLayoutView="100" workbookViewId="0">
      <selection activeCell="H29" sqref="H29"/>
    </sheetView>
  </sheetViews>
  <sheetFormatPr defaultRowHeight="11.25"/>
  <cols>
    <col min="1" max="2" width="13.7109375" style="1" customWidth="1"/>
    <col min="3" max="9" width="9.28515625" style="1" customWidth="1"/>
    <col min="10" max="10" width="10.7109375" style="1" customWidth="1"/>
    <col min="11" max="12" width="12.7109375" style="1" customWidth="1"/>
    <col min="13" max="16384" width="9.140625" style="1"/>
  </cols>
  <sheetData>
    <row r="1" spans="1:12" ht="20.100000000000001" customHeight="1">
      <c r="A1" s="1009" t="s">
        <v>155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</row>
    <row r="2" spans="1:12" ht="19.5" customHeight="1">
      <c r="A2" s="1007" t="s">
        <v>201</v>
      </c>
      <c r="B2" s="1007"/>
      <c r="C2" s="1007"/>
    </row>
    <row r="3" spans="1:12" customFormat="1" ht="20.100000000000001" customHeight="1">
      <c r="A3" s="1008" t="s">
        <v>142</v>
      </c>
      <c r="B3" s="44" t="s">
        <v>152</v>
      </c>
      <c r="C3" s="1008" t="s">
        <v>143</v>
      </c>
      <c r="D3" s="1008"/>
      <c r="E3" s="1008"/>
      <c r="F3" s="1008"/>
      <c r="G3" s="1008"/>
      <c r="H3" s="1008"/>
      <c r="I3" s="1008"/>
      <c r="J3" s="1008"/>
      <c r="K3" s="1008" t="s">
        <v>151</v>
      </c>
      <c r="L3" s="1008" t="s">
        <v>6</v>
      </c>
    </row>
    <row r="4" spans="1:12" customFormat="1" ht="20.100000000000001" customHeight="1">
      <c r="A4" s="1008"/>
      <c r="B4" s="45" t="s">
        <v>153</v>
      </c>
      <c r="C4" s="43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14</v>
      </c>
      <c r="K4" s="1008"/>
      <c r="L4" s="1008"/>
    </row>
    <row r="5" spans="1:12" customFormat="1" ht="3" customHeight="1"/>
    <row r="6" spans="1:12" customFormat="1" ht="18" customHeight="1">
      <c r="A6" s="46">
        <v>110196</v>
      </c>
      <c r="B6" s="46">
        <f>5000+14236+90960</f>
        <v>110196</v>
      </c>
      <c r="C6" s="46">
        <v>5000</v>
      </c>
      <c r="D6" s="46">
        <f>8856+3737+1643</f>
        <v>14236</v>
      </c>
      <c r="E6" s="46">
        <f>436+120+1450+1000+1000+326+674+1000+710+790+1004+430+66+1600+400+1330+520+1480+1706+740+880+1120+1190+310+530+1500</f>
        <v>22312</v>
      </c>
      <c r="F6" s="46">
        <f>1000+1000+1000+500+470+1000+1500+800+1000+1000+220+820+279+1400+1200+260+630+815+500+660+1500+400+620+485+491+709+1000</f>
        <v>21259</v>
      </c>
      <c r="G6" s="46">
        <f>639+361+1000+550+400+570+1260+740+250+300+625+270+277+1453+1500+1000+490+130+510+1270+800+260+690+247+126+340+355+470+340+650+1190+905+570+525+470+1030+620</f>
        <v>23183</v>
      </c>
      <c r="H6" s="46">
        <f>2000+800+150+255+925+320+250+235+300+465+735+765+460+750+750+1500+1420+180+1000+990+492+290+580+550+870+2100+880+310+310+2000+600+124+270+580</f>
        <v>24206</v>
      </c>
      <c r="I6" s="46"/>
      <c r="J6" s="46">
        <f>SUM(C6:I6)</f>
        <v>110196</v>
      </c>
      <c r="K6" s="46">
        <f>B6-J6</f>
        <v>0</v>
      </c>
      <c r="L6" s="42"/>
    </row>
    <row r="7" spans="1:12" customFormat="1" ht="18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2"/>
    </row>
    <row r="8" spans="1:12" customFormat="1" ht="18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2"/>
    </row>
    <row r="9" spans="1:12" customFormat="1" ht="18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2"/>
    </row>
    <row r="10" spans="1:12" customFormat="1" ht="18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2"/>
    </row>
    <row r="11" spans="1:12" customFormat="1" ht="18" hidden="1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2"/>
    </row>
    <row r="12" spans="1:12" customFormat="1" ht="18" hidden="1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2"/>
    </row>
    <row r="13" spans="1:12" customFormat="1" ht="18" hidden="1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2"/>
    </row>
    <row r="14" spans="1:12" customFormat="1" ht="18" hidden="1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2"/>
    </row>
    <row r="15" spans="1:12" customFormat="1" ht="18" hidden="1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2"/>
    </row>
    <row r="16" spans="1:12" customFormat="1" ht="18" hidden="1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2"/>
    </row>
    <row r="17" spans="1:12" customFormat="1" ht="18" hidden="1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2"/>
    </row>
    <row r="18" spans="1:12" customFormat="1" ht="18" hidden="1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2"/>
    </row>
    <row r="19" spans="1:12" customFormat="1" ht="18" hidden="1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2"/>
    </row>
    <row r="20" spans="1:12" customFormat="1" ht="18" hidden="1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2"/>
    </row>
    <row r="23" spans="1:12" ht="20.100000000000001" customHeight="1">
      <c r="A23" s="1009" t="s">
        <v>158</v>
      </c>
      <c r="B23" s="1009"/>
      <c r="C23" s="1009"/>
      <c r="D23" s="1009"/>
      <c r="E23" s="1009"/>
      <c r="F23" s="1009"/>
      <c r="G23" s="1009"/>
      <c r="H23" s="1009"/>
      <c r="I23" s="1009"/>
      <c r="J23" s="1009"/>
      <c r="K23" s="1009"/>
      <c r="L23" s="1009"/>
    </row>
    <row r="24" spans="1:12" ht="19.5" customHeight="1">
      <c r="A24" s="1007" t="s">
        <v>201</v>
      </c>
      <c r="B24" s="1007"/>
      <c r="C24" s="1007"/>
    </row>
    <row r="25" spans="1:12" customFormat="1" ht="20.100000000000001" customHeight="1">
      <c r="A25" s="1008" t="s">
        <v>142</v>
      </c>
      <c r="B25" s="44" t="s">
        <v>152</v>
      </c>
      <c r="C25" s="1008" t="s">
        <v>143</v>
      </c>
      <c r="D25" s="1008"/>
      <c r="E25" s="1008"/>
      <c r="F25" s="1008"/>
      <c r="G25" s="1008"/>
      <c r="H25" s="1008"/>
      <c r="I25" s="1008"/>
      <c r="J25" s="1008"/>
      <c r="K25" s="1008" t="s">
        <v>151</v>
      </c>
      <c r="L25" s="1008" t="s">
        <v>6</v>
      </c>
    </row>
    <row r="26" spans="1:12" customFormat="1" ht="20.100000000000001" customHeight="1">
      <c r="A26" s="1008"/>
      <c r="B26" s="45" t="s">
        <v>153</v>
      </c>
      <c r="C26" s="43" t="s">
        <v>144</v>
      </c>
      <c r="D26" s="43" t="s">
        <v>145</v>
      </c>
      <c r="E26" s="43" t="s">
        <v>146</v>
      </c>
      <c r="F26" s="43" t="s">
        <v>147</v>
      </c>
      <c r="G26" s="43" t="s">
        <v>148</v>
      </c>
      <c r="H26" s="43" t="s">
        <v>149</v>
      </c>
      <c r="I26" s="43" t="s">
        <v>150</v>
      </c>
      <c r="J26" s="43" t="s">
        <v>14</v>
      </c>
      <c r="K26" s="1008"/>
      <c r="L26" s="1008"/>
    </row>
    <row r="27" spans="1:12" customFormat="1" ht="3" customHeight="1"/>
    <row r="28" spans="1:12" customFormat="1" ht="18" customHeight="1">
      <c r="A28" s="46">
        <v>110196</v>
      </c>
      <c r="B28" s="46">
        <f>5000+14236+90960</f>
        <v>110196</v>
      </c>
      <c r="C28" s="46">
        <v>5000</v>
      </c>
      <c r="D28" s="46">
        <f>5830+13686</f>
        <v>19516</v>
      </c>
      <c r="E28" s="46">
        <f>564+3768+1732+2058+4242+2100+1650+3850+550+1174+293</f>
        <v>21981</v>
      </c>
      <c r="F28" s="46">
        <f>1300+1265+900+928+1042+940+900+2000+2400+2000+1100</f>
        <v>14775</v>
      </c>
      <c r="G28" s="46">
        <f>2000+3700+1000+1246+3000+600+4850+1800+4280+80+1500+1700+946+2000+2000</f>
        <v>30702</v>
      </c>
      <c r="H28" s="46">
        <f>3500+2375+500+3675+1622+2000+4000+550</f>
        <v>18222</v>
      </c>
      <c r="I28" s="46"/>
      <c r="J28" s="46">
        <f>SUM(C28:I28)</f>
        <v>110196</v>
      </c>
      <c r="K28" s="46">
        <f>B28-J28</f>
        <v>0</v>
      </c>
      <c r="L28" s="42"/>
    </row>
    <row r="29" spans="1:12" customFormat="1" ht="18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2"/>
    </row>
    <row r="30" spans="1:12" customFormat="1" ht="18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2"/>
    </row>
    <row r="31" spans="1:12" customFormat="1" ht="18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2"/>
    </row>
    <row r="32" spans="1:12" customFormat="1" ht="18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2"/>
    </row>
  </sheetData>
  <mergeCells count="12">
    <mergeCell ref="A23:L23"/>
    <mergeCell ref="A24:C24"/>
    <mergeCell ref="A25:A26"/>
    <mergeCell ref="C25:J25"/>
    <mergeCell ref="K25:K26"/>
    <mergeCell ref="L25:L26"/>
    <mergeCell ref="A3:A4"/>
    <mergeCell ref="C3:J3"/>
    <mergeCell ref="K3:K4"/>
    <mergeCell ref="L3:L4"/>
    <mergeCell ref="A1:L1"/>
    <mergeCell ref="A2:C2"/>
  </mergeCells>
  <printOptions horizontalCentered="1"/>
  <pageMargins left="0.5" right="0.28000000000000003" top="0.75" bottom="0.5" header="0.3" footer="0.2"/>
  <pageSetup paperSize="9" orientation="landscape" verticalDpi="0" r:id="rId1"/>
  <headerFooter>
    <oddHeader>&amp;R&amp;D</oddHead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7"/>
  <sheetViews>
    <sheetView workbookViewId="0">
      <selection activeCell="A2" sqref="A2:C2"/>
    </sheetView>
  </sheetViews>
  <sheetFormatPr defaultRowHeight="11.25"/>
  <cols>
    <col min="1" max="1" width="5.42578125" style="1" customWidth="1"/>
    <col min="2" max="2" width="27" style="1" customWidth="1"/>
    <col min="3" max="9" width="13.28515625" style="1" customWidth="1"/>
    <col min="10" max="10" width="13.7109375" style="1" customWidth="1"/>
    <col min="11" max="16384" width="9.140625" style="1"/>
  </cols>
  <sheetData>
    <row r="1" spans="1:10" ht="17.25" customHeight="1">
      <c r="A1" s="1006" t="s">
        <v>7</v>
      </c>
      <c r="B1" s="1006"/>
      <c r="C1" s="1006"/>
    </row>
    <row r="2" spans="1:10" ht="19.5" customHeight="1">
      <c r="A2" s="1007" t="s">
        <v>209</v>
      </c>
      <c r="B2" s="1007"/>
      <c r="C2" s="1007"/>
    </row>
    <row r="3" spans="1:10" ht="42.75" customHeight="1" thickBot="1">
      <c r="A3" s="11" t="s">
        <v>0</v>
      </c>
      <c r="B3" s="11" t="s">
        <v>1</v>
      </c>
      <c r="C3" s="23" t="s">
        <v>207</v>
      </c>
      <c r="D3" s="11" t="s">
        <v>2</v>
      </c>
      <c r="E3" s="12" t="s">
        <v>72</v>
      </c>
      <c r="F3" s="12" t="s">
        <v>102</v>
      </c>
      <c r="G3" s="23" t="s">
        <v>208</v>
      </c>
      <c r="H3" s="12" t="s">
        <v>4</v>
      </c>
      <c r="I3" s="23" t="s">
        <v>5</v>
      </c>
      <c r="J3" s="22" t="s">
        <v>6</v>
      </c>
    </row>
    <row r="4" spans="1:10" ht="15.95" customHeight="1">
      <c r="A4" s="1000">
        <v>1</v>
      </c>
      <c r="B4" s="9" t="s">
        <v>76</v>
      </c>
      <c r="C4" s="10">
        <f>39360+240+160+240+480+80+160+240+48+384+192+192+192+192+576+192+192+192+384+384+192+384+192+576+192+1152+384</f>
        <v>47152</v>
      </c>
      <c r="D4" s="10">
        <f>39600+1600-480</f>
        <v>40720</v>
      </c>
      <c r="E4" s="1003">
        <f>36854+222-58+727-7+440</f>
        <v>38178</v>
      </c>
      <c r="F4" s="1003">
        <f>37081-63+24+703-7+440</f>
        <v>38178</v>
      </c>
      <c r="G4" s="10">
        <f>38960+400+240+160+720+80+160+288+384+192+192+192+192+576+192+96+288+384+384+192+384+192+768+1152+384</f>
        <v>47152</v>
      </c>
      <c r="H4" s="10">
        <v>0</v>
      </c>
      <c r="I4" s="5">
        <f>(C4-H4)-G4</f>
        <v>0</v>
      </c>
      <c r="J4" s="4" t="s">
        <v>40</v>
      </c>
    </row>
    <row r="5" spans="1:10" ht="15.95" customHeight="1">
      <c r="A5" s="1001"/>
      <c r="B5" s="2" t="s">
        <v>77</v>
      </c>
      <c r="C5" s="3">
        <f>1095968+560+1040+1840+2800+320+320+160+80+2040+560+4320+2640+1200+7040+2240+1040+3440+880+2640+4160+480+320+1920+1600+4000+3600+1440+1840+2240+2640+1600+3840+18080+2720-9680+640+1728+672+3840+3840+376+16512+96+19392+7584+1248+5472+5664+6144+1728+5760+1440+3360+1152+5952+3072+5184+2976+9312+3264+2208+864+14208+1728+1248+1728+2784+1248+2496+672</f>
        <v>1317520</v>
      </c>
      <c r="D5" s="3">
        <f>1079880+24000+24000+11280</f>
        <v>1139160</v>
      </c>
      <c r="E5" s="1004"/>
      <c r="F5" s="1004"/>
      <c r="G5" s="3">
        <f>1050520+9880+4000+2040+2960+1040+800+3040+320+320+160+3720+4080+1440+7040+2240+4120+1040+2160+4080+1440+480+2960+3600+3640+1440+2480+2480+2160+1800+11680+3168+2784+1536+4128+20448+14304+13728+7584+7776+6432+6144+8544+9312+8640+6624+10368+9984</f>
        <v>1280664</v>
      </c>
      <c r="H5" s="3">
        <f>27928+240+240</f>
        <v>28408</v>
      </c>
      <c r="I5" s="5">
        <f>(C5-H5)-G5</f>
        <v>8448</v>
      </c>
      <c r="J5" s="2" t="s">
        <v>23</v>
      </c>
    </row>
    <row r="6" spans="1:10" ht="15.95" customHeight="1">
      <c r="A6" s="1001"/>
      <c r="B6" s="2" t="s">
        <v>73</v>
      </c>
      <c r="C6" s="3">
        <f>37920</f>
        <v>37920</v>
      </c>
      <c r="D6" s="3">
        <f>37920</f>
        <v>37920</v>
      </c>
      <c r="E6" s="1004"/>
      <c r="F6" s="1004"/>
      <c r="G6" s="3">
        <f>37520</f>
        <v>37520</v>
      </c>
      <c r="H6" s="3">
        <f>400</f>
        <v>400</v>
      </c>
      <c r="I6" s="5">
        <f>(C6-H6)-G6</f>
        <v>0</v>
      </c>
      <c r="J6" s="2"/>
    </row>
    <row r="7" spans="1:10" ht="15.95" customHeight="1">
      <c r="A7" s="1001"/>
      <c r="B7" s="2" t="s">
        <v>74</v>
      </c>
      <c r="C7" s="15">
        <f>191480+2000+40+40+2360+4720+800+40+40+40+40+120+960+120+4080+120+1520+520+1280+120+1120+160+1536+384+160+1248+384-96+96+192+960+192+96+1536+1536+1152+96+1152+192+1536+192+960+96+1536+2688+96+4800+96+192-96+2496+96+96+4128+192+576+192+1728+2112+1536+384+288+3360+672+3456+576+1152+384+768+1248+96+576+1536+384+2400+672</f>
        <v>265736</v>
      </c>
      <c r="D7" s="15">
        <f>193600+6000+3720+4800+5040</f>
        <v>213160</v>
      </c>
      <c r="E7" s="1004"/>
      <c r="F7" s="1004"/>
      <c r="G7" s="15">
        <f>188760+240+640+3520+320+40+2240+5560+40+40+160+5160+120+1920+1520+1536+1824+1536+96+192+192+1056+2400+768+1344+2880+96+960+1632+4224+4224+1056+4128+384+2304+1152+1920+1632+2688+1536+4608+1344+2112</f>
        <v>260104</v>
      </c>
      <c r="H7" s="15">
        <f>40+120+864</f>
        <v>1024</v>
      </c>
      <c r="I7" s="5">
        <f>(C7-H7)-G7</f>
        <v>4608</v>
      </c>
      <c r="J7" s="18"/>
    </row>
    <row r="8" spans="1:10" ht="15.95" customHeight="1">
      <c r="A8" s="1001"/>
      <c r="B8" s="19" t="s">
        <v>75</v>
      </c>
      <c r="C8" s="20">
        <f>82080+1920+1360+640+320+400+1120+720+320+560+320+1360+560+1040+640+320+960+480+560+480+640+3168+576-3040+384+384+576+2112+1536+1536+384+960+576+768+384+384+2304+4608+2688+576</f>
        <v>117664</v>
      </c>
      <c r="D8" s="20">
        <f>84400+960+4040+5000+1860-100</f>
        <v>96160</v>
      </c>
      <c r="E8" s="1005"/>
      <c r="F8" s="1005"/>
      <c r="G8" s="20">
        <f>77840+2960+1280+1200+2080+640+320+400+1120+720+320+560+320+1360+1600+640+320+960+880+640+1152+576+384+2688+384+1536+1152+576+960+1536+384+3264+3552+1728</f>
        <v>116032</v>
      </c>
      <c r="H8" s="20">
        <v>0</v>
      </c>
      <c r="I8" s="21">
        <f>(C8-H8)-G8</f>
        <v>1632</v>
      </c>
      <c r="J8" s="18"/>
    </row>
    <row r="9" spans="1:10" ht="15.95" customHeight="1" thickBot="1">
      <c r="A9" s="1002"/>
      <c r="B9" s="6" t="s">
        <v>14</v>
      </c>
      <c r="C9" s="17">
        <f t="shared" ref="C9:I9" si="0">SUM(C4:C8)</f>
        <v>1785992</v>
      </c>
      <c r="D9" s="17">
        <f t="shared" si="0"/>
        <v>1527120</v>
      </c>
      <c r="E9" s="17">
        <f>SUM(E4:E8)</f>
        <v>38178</v>
      </c>
      <c r="F9" s="17">
        <f t="shared" si="0"/>
        <v>38178</v>
      </c>
      <c r="G9" s="17">
        <f>SUM(G4:G8)</f>
        <v>1741472</v>
      </c>
      <c r="H9" s="17">
        <f t="shared" si="0"/>
        <v>29832</v>
      </c>
      <c r="I9" s="17">
        <f t="shared" si="0"/>
        <v>14688</v>
      </c>
      <c r="J9" s="8"/>
    </row>
    <row r="10" spans="1:10" ht="15" hidden="1" customHeight="1">
      <c r="A10" s="1000"/>
      <c r="B10" s="4"/>
      <c r="C10" s="10"/>
      <c r="D10" s="10"/>
      <c r="E10" s="1003"/>
      <c r="F10" s="1003"/>
      <c r="G10" s="10"/>
      <c r="H10" s="10"/>
      <c r="I10" s="5"/>
      <c r="J10" s="2"/>
    </row>
    <row r="11" spans="1:10" ht="15" hidden="1" customHeight="1">
      <c r="A11" s="1001"/>
      <c r="B11" s="4"/>
      <c r="C11" s="3"/>
      <c r="D11" s="3"/>
      <c r="E11" s="1004"/>
      <c r="F11" s="1004"/>
      <c r="G11" s="3"/>
      <c r="H11" s="3"/>
      <c r="I11" s="5"/>
      <c r="J11" s="2"/>
    </row>
    <row r="12" spans="1:10" ht="15" hidden="1" customHeight="1">
      <c r="A12" s="1001"/>
      <c r="B12" s="4"/>
      <c r="C12" s="3"/>
      <c r="D12" s="3"/>
      <c r="E12" s="1004"/>
      <c r="F12" s="1004"/>
      <c r="G12" s="3"/>
      <c r="H12" s="3"/>
      <c r="I12" s="5"/>
      <c r="J12" s="4"/>
    </row>
    <row r="13" spans="1:10" ht="15" hidden="1" customHeight="1">
      <c r="A13" s="1001"/>
      <c r="B13" s="4"/>
      <c r="C13" s="15"/>
      <c r="D13" s="15"/>
      <c r="E13" s="1005"/>
      <c r="F13" s="1005"/>
      <c r="G13" s="15"/>
      <c r="H13" s="15"/>
      <c r="I13" s="5"/>
      <c r="J13" s="4"/>
    </row>
    <row r="14" spans="1:10" ht="15" hidden="1" customHeight="1" thickBot="1">
      <c r="A14" s="1002"/>
      <c r="B14" s="6"/>
      <c r="C14" s="7"/>
      <c r="D14" s="7"/>
      <c r="E14" s="7"/>
      <c r="F14" s="7"/>
      <c r="G14" s="7"/>
      <c r="H14" s="7"/>
      <c r="I14" s="7"/>
      <c r="J14" s="8"/>
    </row>
    <row r="15" spans="1:10" ht="15" customHeight="1"/>
    <row r="16" spans="1:10" ht="15" customHeight="1"/>
    <row r="17" spans="1:10" ht="42.75" hidden="1" customHeight="1" thickBot="1">
      <c r="A17" s="11" t="s">
        <v>0</v>
      </c>
      <c r="B17" s="11" t="s">
        <v>1</v>
      </c>
      <c r="C17" s="23" t="s">
        <v>130</v>
      </c>
      <c r="D17" s="11" t="s">
        <v>2</v>
      </c>
      <c r="E17" s="12" t="s">
        <v>70</v>
      </c>
      <c r="F17" s="12" t="s">
        <v>101</v>
      </c>
      <c r="G17" s="23" t="s">
        <v>131</v>
      </c>
      <c r="H17" s="12" t="s">
        <v>4</v>
      </c>
      <c r="I17" s="23" t="s">
        <v>5</v>
      </c>
      <c r="J17" s="22" t="s">
        <v>6</v>
      </c>
    </row>
    <row r="18" spans="1:10" ht="15" hidden="1" customHeight="1">
      <c r="A18" s="1000">
        <v>1</v>
      </c>
      <c r="B18" s="9" t="s">
        <v>76</v>
      </c>
      <c r="C18" s="10">
        <f>0</f>
        <v>0</v>
      </c>
      <c r="D18" s="10">
        <f>0</f>
        <v>0</v>
      </c>
      <c r="E18" s="1003">
        <f>0</f>
        <v>0</v>
      </c>
      <c r="F18" s="1003">
        <f>0</f>
        <v>0</v>
      </c>
      <c r="G18" s="10">
        <f>0</f>
        <v>0</v>
      </c>
      <c r="H18" s="10">
        <v>0</v>
      </c>
      <c r="I18" s="5">
        <f>(C18-H18)-G18</f>
        <v>0</v>
      </c>
      <c r="J18" s="4" t="s">
        <v>92</v>
      </c>
    </row>
    <row r="19" spans="1:10" ht="15" hidden="1" customHeight="1">
      <c r="A19" s="1001"/>
      <c r="B19" s="2" t="s">
        <v>77</v>
      </c>
      <c r="C19" s="3">
        <f>0</f>
        <v>0</v>
      </c>
      <c r="D19" s="3">
        <f>24000</f>
        <v>24000</v>
      </c>
      <c r="E19" s="1004"/>
      <c r="F19" s="1004"/>
      <c r="G19" s="3">
        <f>0</f>
        <v>0</v>
      </c>
      <c r="H19" s="3">
        <v>0</v>
      </c>
      <c r="I19" s="5">
        <f>(C19-H19)-G19</f>
        <v>0</v>
      </c>
      <c r="J19" s="2" t="s">
        <v>23</v>
      </c>
    </row>
    <row r="20" spans="1:10" ht="15" hidden="1" customHeight="1">
      <c r="A20" s="1001"/>
      <c r="B20" s="2" t="s">
        <v>73</v>
      </c>
      <c r="C20" s="3">
        <f>0</f>
        <v>0</v>
      </c>
      <c r="D20" s="3">
        <f>0</f>
        <v>0</v>
      </c>
      <c r="E20" s="1004"/>
      <c r="F20" s="1004"/>
      <c r="G20" s="3">
        <f>0</f>
        <v>0</v>
      </c>
      <c r="H20" s="3">
        <v>0</v>
      </c>
      <c r="I20" s="5">
        <f>(C20-H20)-G20</f>
        <v>0</v>
      </c>
      <c r="J20" s="2"/>
    </row>
    <row r="21" spans="1:10" ht="15" hidden="1" customHeight="1">
      <c r="A21" s="1001"/>
      <c r="B21" s="2" t="s">
        <v>74</v>
      </c>
      <c r="C21" s="15">
        <v>0</v>
      </c>
      <c r="D21" s="15">
        <f>4800</f>
        <v>4800</v>
      </c>
      <c r="E21" s="1004"/>
      <c r="F21" s="1004"/>
      <c r="G21" s="3">
        <f>0</f>
        <v>0</v>
      </c>
      <c r="H21" s="3">
        <v>0</v>
      </c>
      <c r="I21" s="5">
        <f>(C21-H21)-G21</f>
        <v>0</v>
      </c>
      <c r="J21" s="18"/>
    </row>
    <row r="22" spans="1:10" ht="15" hidden="1" customHeight="1">
      <c r="A22" s="1001"/>
      <c r="B22" s="19" t="s">
        <v>75</v>
      </c>
      <c r="C22" s="20">
        <v>0</v>
      </c>
      <c r="D22" s="20">
        <v>0</v>
      </c>
      <c r="E22" s="1005"/>
      <c r="F22" s="1005"/>
      <c r="G22" s="20"/>
      <c r="H22" s="20"/>
      <c r="I22" s="21"/>
      <c r="J22" s="18"/>
    </row>
    <row r="23" spans="1:10" ht="15" hidden="1" customHeight="1" thickBot="1">
      <c r="A23" s="1002"/>
      <c r="B23" s="6" t="s">
        <v>14</v>
      </c>
      <c r="C23" s="17">
        <f t="shared" ref="C23:I23" si="1">SUM(C18:C22)</f>
        <v>0</v>
      </c>
      <c r="D23" s="17">
        <f t="shared" si="1"/>
        <v>28800</v>
      </c>
      <c r="E23" s="17">
        <f t="shared" si="1"/>
        <v>0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31"/>
    </row>
    <row r="24" spans="1:10" ht="15" customHeight="1"/>
    <row r="25" spans="1:10" ht="15" customHeight="1"/>
    <row r="26" spans="1:10" ht="15" customHeight="1"/>
    <row r="27" spans="1:10" ht="15" customHeight="1"/>
  </sheetData>
  <mergeCells count="11">
    <mergeCell ref="A1:C1"/>
    <mergeCell ref="A2:C2"/>
    <mergeCell ref="A4:A9"/>
    <mergeCell ref="A10:A14"/>
    <mergeCell ref="E10:E13"/>
    <mergeCell ref="A18:A23"/>
    <mergeCell ref="F18:F22"/>
    <mergeCell ref="E18:E22"/>
    <mergeCell ref="F10:F13"/>
    <mergeCell ref="E4:E8"/>
    <mergeCell ref="F4:F8"/>
  </mergeCells>
  <pageMargins left="0.5" right="0.28000000000000003" top="0.73" bottom="0.2" header="0.3" footer="0.2"/>
  <pageSetup paperSize="9" orientation="landscape" r:id="rId1"/>
  <headerFooter>
    <oddHeader>&amp;R&amp;D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19"/>
  <sheetViews>
    <sheetView view="pageBreakPreview" zoomScaleSheetLayoutView="100" workbookViewId="0">
      <pane xSplit="1" ySplit="3" topLeftCell="B46" activePane="bottomRight" state="frozen"/>
      <selection activeCell="C7" sqref="C7"/>
      <selection pane="topRight" activeCell="C7" sqref="C7"/>
      <selection pane="bottomLeft" activeCell="C7" sqref="C7"/>
      <selection pane="bottomRight" activeCell="B4" sqref="A4:XFD65"/>
    </sheetView>
  </sheetViews>
  <sheetFormatPr defaultRowHeight="11.25"/>
  <cols>
    <col min="1" max="1" width="5.42578125" style="1" customWidth="1"/>
    <col min="2" max="2" width="26.5703125" style="1" customWidth="1"/>
    <col min="3" max="9" width="13.28515625" style="1" customWidth="1"/>
    <col min="10" max="10" width="13.7109375" style="1" customWidth="1"/>
    <col min="11" max="16384" width="9.140625" style="1"/>
  </cols>
  <sheetData>
    <row r="1" spans="1:10" ht="17.25" customHeight="1">
      <c r="A1" s="1006" t="s">
        <v>7</v>
      </c>
      <c r="B1" s="1006"/>
      <c r="C1" s="1006"/>
    </row>
    <row r="2" spans="1:10" ht="19.5" customHeight="1">
      <c r="A2" s="1007" t="s">
        <v>214</v>
      </c>
      <c r="B2" s="1007"/>
      <c r="C2" s="1007"/>
    </row>
    <row r="3" spans="1:10" ht="42.75" customHeight="1" thickBot="1">
      <c r="A3" s="22" t="s">
        <v>0</v>
      </c>
      <c r="B3" s="22" t="s">
        <v>1</v>
      </c>
      <c r="C3" s="23" t="s">
        <v>212</v>
      </c>
      <c r="D3" s="22" t="s">
        <v>2</v>
      </c>
      <c r="E3" s="23" t="s">
        <v>8</v>
      </c>
      <c r="F3" s="22" t="s">
        <v>3</v>
      </c>
      <c r="G3" s="23" t="s">
        <v>213</v>
      </c>
      <c r="H3" s="23" t="s">
        <v>4</v>
      </c>
      <c r="I3" s="23" t="s">
        <v>5</v>
      </c>
      <c r="J3" s="22" t="s">
        <v>6</v>
      </c>
    </row>
    <row r="4" spans="1:10" ht="15" customHeight="1">
      <c r="A4" s="1001">
        <v>1</v>
      </c>
      <c r="B4" s="4" t="s">
        <v>9</v>
      </c>
      <c r="C4" s="5">
        <f>315792+216+720+1224+792+864+1368+288+336+48+840+1176+1344+1260+1428+840+1008+1092+1008+1176+1176+2184+2016+1764+1848+1680+2184+1176+1428+2436+1764+924+1596+1596+3948+2436+1680+1848+2100+1764+1596+84+1092+2352+84+1932+672+2016+1092+504+168+504+168+420</f>
        <v>383052</v>
      </c>
      <c r="D4" s="5">
        <f>314040+36+8400+8400+5004+8400+10332+2016+4620+1848+5628</f>
        <v>368724</v>
      </c>
      <c r="E4" s="1003">
        <f>55170+2054+120+1290+4830+1252+834</f>
        <v>65550</v>
      </c>
      <c r="F4" s="1003">
        <f>55170+2054+120+1290+4830+1252+834</f>
        <v>65550</v>
      </c>
      <c r="G4" s="5">
        <f>301824+1440+864+792+288+864+1152+792+864+1368+336+336+588+1426+1346+1260+1428+840+1596+672+840+1176+1512+1848+2016+1764+2184+1764+2268+840+1260+924+2100+1932+588+1932+4788+1344+2100+2352+1176+1092+2268+1596+3024+1764+1512+1512+84+1176+420</f>
        <v>371232</v>
      </c>
      <c r="H4" s="5">
        <v>10728</v>
      </c>
      <c r="I4" s="5">
        <f>(C4-H4)-G4</f>
        <v>1092</v>
      </c>
      <c r="J4" s="4" t="s">
        <v>13</v>
      </c>
    </row>
    <row r="5" spans="1:10" ht="15" customHeight="1">
      <c r="A5" s="1001"/>
      <c r="B5" s="2" t="s">
        <v>10</v>
      </c>
      <c r="C5" s="3">
        <f>120+240+80+80+840+160+880+440+800+520+960+440-40+1040+280+1080+240+288+216+384+288+144+912+144+768+48+96+864+144+144+240+864+144+240+1200+288+1008+240+672+240+912+144+768+240+3168+144+720+384+2784+384-48+4080+240+672+336-48+864+432-240+912+3600-23160+420+168+252+336+84+168+84+1512</f>
        <v>18048</v>
      </c>
      <c r="D5" s="3">
        <f>12276+1260+1320+1176+588+840+336</f>
        <v>17796</v>
      </c>
      <c r="E5" s="1004"/>
      <c r="F5" s="1004"/>
      <c r="G5" s="3">
        <f>10872+144+288+72+144+144+168+168+168+168+84+168+168+168+84+336+168+168+168+168+168+168+504+168+420+168+252+168+252+168+1176+420</f>
        <v>18048</v>
      </c>
      <c r="H5" s="3"/>
      <c r="I5" s="5">
        <f>(C5-H5)-G5</f>
        <v>0</v>
      </c>
      <c r="J5" s="2" t="s">
        <v>104</v>
      </c>
    </row>
    <row r="6" spans="1:10" ht="15" customHeight="1">
      <c r="A6" s="1001"/>
      <c r="B6" s="2" t="s">
        <v>11</v>
      </c>
      <c r="C6" s="3">
        <f>1680+720+920+840+360+520+160+2208+32+1056+96+528+624+96+144+432+528+1008+1392+720+720+864+624+912+6432+528-3072+288+3120+336+4080+12336+2496-5952+168+168+168+84+168+252+168+168+336+252</f>
        <v>39708</v>
      </c>
      <c r="D6" s="3">
        <f>35208+12+1260+1260+492+672+840+336</f>
        <v>40080</v>
      </c>
      <c r="E6" s="1004"/>
      <c r="F6" s="1004"/>
      <c r="G6" s="3">
        <f>33840+216+144+72+216+144+144+216+144+144+144+252+252+252+168+420+420+252+84+252+168+336+84+168+252+252+84+336+168+84</f>
        <v>39708</v>
      </c>
      <c r="H6" s="3"/>
      <c r="I6" s="5">
        <f>(C6-H6)-G6</f>
        <v>0</v>
      </c>
      <c r="J6" s="2" t="s">
        <v>23</v>
      </c>
    </row>
    <row r="7" spans="1:10" ht="15" customHeight="1">
      <c r="A7" s="1001"/>
      <c r="B7" s="2" t="s">
        <v>12</v>
      </c>
      <c r="C7" s="3">
        <f>46008+216+288+216+216+216+144+216+72+144+144+288+216+84+252+336+252+336+84+336+84+420+84+252+168+336+252+84+336+168+252+168+252+252</f>
        <v>53172</v>
      </c>
      <c r="D7" s="3">
        <f>46932+1680+1680+1260+1008+336+1008</f>
        <v>53904</v>
      </c>
      <c r="E7" s="1004"/>
      <c r="F7" s="1004"/>
      <c r="G7" s="3">
        <f>45432+216+216+144+504+216+216+216+144+216+72+144+144+336+252+252+336+252+336+84+336+84+420+84+168+84+504+252+168+252+168+252+168+84+168+252</f>
        <v>53172</v>
      </c>
      <c r="H7" s="3"/>
      <c r="I7" s="5">
        <f>(C7-H7)-G7</f>
        <v>0</v>
      </c>
      <c r="J7" s="32" t="s">
        <v>117</v>
      </c>
    </row>
    <row r="8" spans="1:10" ht="15" customHeight="1" thickBot="1">
      <c r="A8" s="1002"/>
      <c r="B8" s="6" t="s">
        <v>14</v>
      </c>
      <c r="C8" s="17">
        <f>SUM(C4:C7)</f>
        <v>493980</v>
      </c>
      <c r="D8" s="17">
        <f>SUM(D4:D7)</f>
        <v>480504</v>
      </c>
      <c r="E8" s="1004"/>
      <c r="F8" s="1004"/>
      <c r="G8" s="17">
        <f>SUM(G4:G7)</f>
        <v>482160</v>
      </c>
      <c r="H8" s="17">
        <f>SUM(H4:H7)</f>
        <v>10728</v>
      </c>
      <c r="I8" s="17">
        <f>SUM(I4:I7)</f>
        <v>1092</v>
      </c>
      <c r="J8" s="32"/>
    </row>
    <row r="9" spans="1:10" ht="15" customHeight="1">
      <c r="A9" s="1000">
        <v>2</v>
      </c>
      <c r="B9" s="4" t="s">
        <v>15</v>
      </c>
      <c r="C9" s="5">
        <f>221184+288+576+504+792+720+864+216+72+432+1152+720+720+1008+504+1008+504+792+720+216+924+120+1512+1092+1260+1512+1848+840+1092+2856+924+1260+840+1512+2604+1764+1008+1512+924+1260+1512+840+924+1680+756+1680+840+252+504+252+168</f>
        <v>269064</v>
      </c>
      <c r="D9" s="5">
        <f>219300+8400+6132+5880+6720+2182+4202+3528</f>
        <v>256344</v>
      </c>
      <c r="E9" s="1004"/>
      <c r="F9" s="1004"/>
      <c r="G9" s="5">
        <f>209736+792+576+1080+360+504+720+648+720+864+216+72+432+1152+792+648+1008+648+864+588+924+840+924+1512+1092+1512+1512+2016+672+840+1260+1680+1932+168+1344+3612+840+1092+2016+756+840+1764+1344+924+1512+1092+2184+336+504+336</f>
        <v>259800</v>
      </c>
      <c r="H9" s="5">
        <v>8928</v>
      </c>
      <c r="I9" s="5">
        <f>(C9-H9)-G9</f>
        <v>336</v>
      </c>
      <c r="J9" s="2"/>
    </row>
    <row r="10" spans="1:10" ht="15" customHeight="1">
      <c r="A10" s="1001"/>
      <c r="B10" s="2" t="s">
        <v>16</v>
      </c>
      <c r="C10" s="3">
        <f>8856+144+72+72+144+24+168+168+84+84+84+168+84+84+168+84+168+168+84+252+168+168+168+252+168+168+336+168+168+168+168+168+84+84+1176</f>
        <v>14772</v>
      </c>
      <c r="D10" s="3">
        <f>10152+12+1008+1248+168+1008</f>
        <v>13596</v>
      </c>
      <c r="E10" s="1004"/>
      <c r="F10" s="1004"/>
      <c r="G10" s="3">
        <f>8784+216+72+72+168+168+168+84+84+84+168+84+84+168+84+168+168+84+252+168+168+168+252+168+336+252+84+168+168+252+1008+252</f>
        <v>14604</v>
      </c>
      <c r="H10" s="3">
        <f>168</f>
        <v>168</v>
      </c>
      <c r="I10" s="5">
        <f>(C10-H10)-G10</f>
        <v>0</v>
      </c>
      <c r="J10" s="2"/>
    </row>
    <row r="11" spans="1:10" ht="15" customHeight="1">
      <c r="A11" s="1001"/>
      <c r="B11" s="2" t="s">
        <v>17</v>
      </c>
      <c r="C11" s="3">
        <f>20376+72+144+72+144+72+144+288+72+144+144+144+144+144+144+144+72+72+216+144+72+72+72+24+84+84+12+336+84+84+84+168</f>
        <v>24072</v>
      </c>
      <c r="D11" s="3">
        <f>21672+12+1260+1040</f>
        <v>23984</v>
      </c>
      <c r="E11" s="1004"/>
      <c r="F11" s="1004"/>
      <c r="G11" s="3">
        <f>20304+72+72+144+72+144+72+144+288+72+144+144+144+144+144+144+144+72+72+216+144+168+84+84+84+420+84+252</f>
        <v>24072</v>
      </c>
      <c r="H11" s="3"/>
      <c r="I11" s="5">
        <f>(C11-H11)-G11</f>
        <v>0</v>
      </c>
      <c r="J11" s="2"/>
    </row>
    <row r="12" spans="1:10" ht="15" customHeight="1">
      <c r="A12" s="1001"/>
      <c r="B12" s="2" t="s">
        <v>18</v>
      </c>
      <c r="C12" s="3">
        <f>27144+144+72+144+144+72+144+216+72+72+216+144+84+24+84+84+84+168+252+168+84+336+168+168+168+168+168+168+168+84+420+168+168+252</f>
        <v>32220</v>
      </c>
      <c r="D12" s="3">
        <f>28116+1260+1260+1260</f>
        <v>31896</v>
      </c>
      <c r="E12" s="1005"/>
      <c r="F12" s="1005"/>
      <c r="G12" s="3">
        <f>26784+360+72+144+144+216+288+72+72+72+216+168+84+84+84+84+168+420+84+336+336+168+168+168+168+168+168+588+336</f>
        <v>32220</v>
      </c>
      <c r="H12" s="3"/>
      <c r="I12" s="5">
        <f>(C12-H12)-G12</f>
        <v>0</v>
      </c>
      <c r="J12" s="2"/>
    </row>
    <row r="13" spans="1:10" ht="15" customHeight="1" thickBot="1">
      <c r="A13" s="1002"/>
      <c r="B13" s="6" t="s">
        <v>14</v>
      </c>
      <c r="C13" s="17">
        <f>SUM(C9:C12)</f>
        <v>340128</v>
      </c>
      <c r="D13" s="17">
        <f>SUM(D9:D12)</f>
        <v>325820</v>
      </c>
      <c r="E13" s="24">
        <f>SUM(E4)</f>
        <v>65550</v>
      </c>
      <c r="F13" s="24">
        <f>SUM(F4)</f>
        <v>65550</v>
      </c>
      <c r="G13" s="17">
        <f>SUM(G9:G12)</f>
        <v>330696</v>
      </c>
      <c r="H13" s="17">
        <f>SUM(H9:H12)</f>
        <v>9096</v>
      </c>
      <c r="I13" s="17">
        <f>SUM(I9:I12)</f>
        <v>336</v>
      </c>
      <c r="J13" s="8"/>
    </row>
    <row r="14" spans="1:10" ht="15" customHeight="1">
      <c r="A14" s="1000">
        <v>3</v>
      </c>
      <c r="B14" s="9" t="s">
        <v>19</v>
      </c>
      <c r="C14" s="10">
        <f>1575576+2340+3240+6840+1980+1980+540+3240+360+3600+2880+2700+1620+900+7992+5400+936+10368+10800+2376+3240+3024+6912+9936+9072+4968+72144+19440+36720+20088-18576+18360+38232+3024+10584+432+28296+18792+12744+8640+11448+8640+10368+20520+3888+3024+2160+1296+216+1944+864+216</f>
        <v>2016324</v>
      </c>
      <c r="D14" s="10">
        <f>1512180+36000+30240+43200+21600+21600+28080+32400+70020+72000+4320+34776+16200+30240+10800+15120+18360+21600</f>
        <v>2018736</v>
      </c>
      <c r="E14" s="1003">
        <f>64494+1980+1020+282+1899+240+10359+1980+2250+2070+900</f>
        <v>87474</v>
      </c>
      <c r="F14" s="1003">
        <f>64494+1980+1020+282+1899+240+10359+1530+2700+2070+900</f>
        <v>87474</v>
      </c>
      <c r="G14" s="10">
        <f>1483380+13500+14040+7380+5040+4680+6840+3060+900+540+4500+360+2880+2700+1944+8208+7560+15984+5184+5184+1728+3888+6048+10584+8856+10584+37152+28512+38016+22896+18576+22680+18792+7776+26136+15120+11448+12312+3456+13608+16416+14904+6696+3024+4536+432+432+1296+216+1944</f>
        <v>1961928</v>
      </c>
      <c r="H14" s="10">
        <f>53136+180</f>
        <v>53316</v>
      </c>
      <c r="I14" s="5">
        <f>(C14-H14)-G14</f>
        <v>1080</v>
      </c>
      <c r="J14" s="2" t="s">
        <v>26</v>
      </c>
    </row>
    <row r="15" spans="1:10" ht="15" customHeight="1">
      <c r="A15" s="1001"/>
      <c r="B15" s="2" t="s">
        <v>20</v>
      </c>
      <c r="C15" s="3">
        <f>206640+1260+360+1800+540+2700+360+6300+180+720+2340+540+6696+720+288+6912+216+1296+432+1512+648+4104+1512+1944+1080+2160+648+216+3240+648+216+216+1080+864+648+648+1080+1512+1944+864+1728+648+216+1296+8640+864+216+2376+1296+1080+1296-1944+1296+1512+9288+648+864+1296+1296+1296-864+1512+2160+2592+1728+6912+1728+1512+9720+3024+1512+864+5832+1728+1080+1728+5400+216+432+648+7776+1944+864+648+648+216+216+216+1512+216+216+5832+216+432</f>
        <v>372708</v>
      </c>
      <c r="D15" s="3">
        <f>204660+9000+72+10260+11628+8640+12960+6480+7128+12960+23760+11880+23760+5400+12960+10800+5400</f>
        <v>377748</v>
      </c>
      <c r="E15" s="1004"/>
      <c r="F15" s="1004"/>
      <c r="G15" s="3">
        <f>199440+720+1980+2700+2520+900+9180+180+720+648+3240+13824+3240+648+5184+3456+2808+216+3888+216+1080+216+1728+432+1944+1512+2592+3024+3024+1296+3240+5400+2592+3672+1296+8424+3240+3672+432+4752+10584+432+9936+6912+3672+2808+6264+648+9072+1080+648+216+2160</f>
        <v>363708</v>
      </c>
      <c r="H15" s="3">
        <f>1980+540</f>
        <v>2520</v>
      </c>
      <c r="I15" s="5">
        <f>(C15-H15)-G15</f>
        <v>6480</v>
      </c>
      <c r="J15" s="2" t="s">
        <v>123</v>
      </c>
    </row>
    <row r="16" spans="1:10" ht="15" customHeight="1">
      <c r="A16" s="1001"/>
      <c r="B16" s="2" t="s">
        <v>21</v>
      </c>
      <c r="C16" s="3">
        <f>227160+7920+1440+2880+360+432+5400+1512+648+3024+1008+72+1512+2376+1512+648+3024+1944+2160+2376+1944+432+1728+11664+4104+5832+3888-2376+4320+6048+6480+7992+2376+432+1296+4104+1728+7344+1512+9072+4320</f>
        <v>351648</v>
      </c>
      <c r="D16" s="3">
        <f>219420+14400+2160+4320+12420+10800+10368+15120+14256+15120+4104+800+16480+10800+5400</f>
        <v>355968</v>
      </c>
      <c r="E16" s="1005"/>
      <c r="F16" s="1005"/>
      <c r="G16" s="3">
        <f>214380+2880+1980+2340+5940+6840+2880+360+432+5400+1512+1728+3024+1512+2376+1512+3672+1944+2592+2376+1944+3456+1080+9288+7992+6480+4968+8424+5832+3888+1080+1296+1728+3240+864+648+6696+5184+5400+4320</f>
        <v>349488</v>
      </c>
      <c r="H16" s="3">
        <f>2160</f>
        <v>2160</v>
      </c>
      <c r="I16" s="5">
        <f>(C16-H16)-G16</f>
        <v>0</v>
      </c>
      <c r="J16" s="2" t="s">
        <v>23</v>
      </c>
    </row>
    <row r="17" spans="1:10" ht="15" customHeight="1" thickBot="1">
      <c r="A17" s="1002"/>
      <c r="B17" s="6" t="s">
        <v>14</v>
      </c>
      <c r="C17" s="17">
        <f t="shared" ref="C17:I17" si="0">SUM(C14:C16)</f>
        <v>2740680</v>
      </c>
      <c r="D17" s="17">
        <f>SUM(D14:D16)</f>
        <v>2752452</v>
      </c>
      <c r="E17" s="17">
        <f>SUM(E14:E16)</f>
        <v>87474</v>
      </c>
      <c r="F17" s="17">
        <f>SUM(F14:F16)</f>
        <v>87474</v>
      </c>
      <c r="G17" s="17">
        <f t="shared" si="0"/>
        <v>2675124</v>
      </c>
      <c r="H17" s="17">
        <f t="shared" si="0"/>
        <v>57996</v>
      </c>
      <c r="I17" s="17">
        <f t="shared" si="0"/>
        <v>7560</v>
      </c>
      <c r="J17" s="33" t="s">
        <v>118</v>
      </c>
    </row>
    <row r="18" spans="1:10" ht="15" customHeight="1">
      <c r="A18" s="1000">
        <v>4</v>
      </c>
      <c r="B18" s="9" t="s">
        <v>27</v>
      </c>
      <c r="C18" s="10">
        <f>1891008+22464+7488+1728+8640+2304+5760+4608+5760+5184+5760+6912+8064+5760+9216+6912+33984+8640-28800+6336+14400+6912+21312+25344+8640+12096+576+10944+2304+8640+576+6336+576+22464+1152+11520+2880+39168+1728+576+2880+1152+576+1728+576+576+1728+1152+6336+4608+1152+576</f>
        <v>2238912</v>
      </c>
      <c r="D18" s="10">
        <f>1763136+28800+51840+11520+23040+46080+46080+1824+23040+14400+60480+28800+28800</f>
        <v>2127840</v>
      </c>
      <c r="E18" s="1003">
        <f>20184+780+456+780+1080+600+528+1020+420</f>
        <v>25848</v>
      </c>
      <c r="F18" s="1003">
        <f>20184+780+456+780+1080+600+528+1020+420</f>
        <v>25848</v>
      </c>
      <c r="G18" s="10">
        <f>1671552+19008+10368+4608+25344+6336+8640+2304+5760+4608+5760+5184+5760+6912+13824+5184+10944+5184+8640+8640+12096+6912+21312+25344+8640+1152+24768+9216+6912+19008+19008+14400+19008+13248+576+3456+1152+6336</f>
        <v>2047104</v>
      </c>
      <c r="H18" s="10">
        <v>185472</v>
      </c>
      <c r="I18" s="5">
        <f>(C18-H18)-G18</f>
        <v>6336</v>
      </c>
      <c r="J18" s="4" t="s">
        <v>30</v>
      </c>
    </row>
    <row r="19" spans="1:10" ht="15" customHeight="1">
      <c r="A19" s="1001"/>
      <c r="B19" s="4" t="s">
        <v>28</v>
      </c>
      <c r="C19" s="3">
        <f>110592+4032+1152+1152+1152+1152+1152+1728+1728+1152+2304+1728+1152+4608+8640+1728+4032+2880+1152+1152+1728+1152+2880+1728+1152+2880+2304+2304</f>
        <v>170496</v>
      </c>
      <c r="D19" s="3">
        <f>113472+6912+11520+5760+11520+11520+1152+5760+2880+5760</f>
        <v>176256</v>
      </c>
      <c r="E19" s="1004"/>
      <c r="F19" s="1004"/>
      <c r="G19" s="3">
        <f>107712+1728+4032+1152+1152+1152+1152+1152+1728+1728+1152+2304+1728+1152+4608+8640+1728+4032+2880+1152+1152+1728+4032+1728+1152+2304+2304</f>
        <v>166464</v>
      </c>
      <c r="H19" s="3">
        <f>1152+2880</f>
        <v>4032</v>
      </c>
      <c r="I19" s="5">
        <f>(C19-H19)-G19</f>
        <v>0</v>
      </c>
      <c r="J19" s="2" t="s">
        <v>23</v>
      </c>
    </row>
    <row r="20" spans="1:10" ht="15" customHeight="1">
      <c r="A20" s="1001"/>
      <c r="B20" s="4" t="s">
        <v>29</v>
      </c>
      <c r="C20" s="3">
        <f>130176+2304+576+1152+576+576+1152+1152+1728+576+1152+576+576+1728+1152+576+1152+576+2304+3456+1728+1728+576+1152+1152+576+2304+576</f>
        <v>163008</v>
      </c>
      <c r="D20" s="3">
        <f>135936+8064+11520+5760+5760+5760</f>
        <v>172800</v>
      </c>
      <c r="E20" s="1005"/>
      <c r="F20" s="1005"/>
      <c r="G20" s="3">
        <f>127872+1152+1152+2304+576+1152+576+576+1152+1152+1728+576+1152+576+576+1728+1152+1152+576+2880+2304+1728+1728+1152+1152+1152+576+2880+576</f>
        <v>163008</v>
      </c>
      <c r="H20" s="3"/>
      <c r="I20" s="5">
        <f>(C20-H20)-G20</f>
        <v>0</v>
      </c>
      <c r="J20" s="2"/>
    </row>
    <row r="21" spans="1:10" ht="15" customHeight="1" thickBot="1">
      <c r="A21" s="1002"/>
      <c r="B21" s="6" t="s">
        <v>14</v>
      </c>
      <c r="C21" s="17">
        <f t="shared" ref="C21:I21" si="1">SUM(C18:C20)</f>
        <v>2572416</v>
      </c>
      <c r="D21" s="17">
        <f t="shared" si="1"/>
        <v>2476896</v>
      </c>
      <c r="E21" s="17">
        <f>SUM(E18:E20)</f>
        <v>25848</v>
      </c>
      <c r="F21" s="17">
        <f t="shared" si="1"/>
        <v>25848</v>
      </c>
      <c r="G21" s="17">
        <f t="shared" si="1"/>
        <v>2376576</v>
      </c>
      <c r="H21" s="17">
        <f t="shared" si="1"/>
        <v>189504</v>
      </c>
      <c r="I21" s="17">
        <f t="shared" si="1"/>
        <v>6336</v>
      </c>
      <c r="J21" s="8"/>
    </row>
    <row r="22" spans="1:10" ht="15" customHeight="1">
      <c r="A22" s="1000">
        <v>5</v>
      </c>
      <c r="B22" s="9" t="s">
        <v>31</v>
      </c>
      <c r="C22" s="10">
        <f>3212160+5760+3840+960+1920+1920+1920+4800+4800+6720+35520+22080+28800+25920+3840+6720+7680+6720+131520+31680+37440+32640-2880+32640+77760+960+89280+36480+34560+21120+19200+38400+59520+64320+68160+45120+1920+16320+4800+2880+960+1920</f>
        <v>4228800</v>
      </c>
      <c r="D22" s="10">
        <f>3118080+57600+24000+42240+48000+24000+135360+15360+96000+24960+67200+44480+24640+82880+4800+48000+72640+176640+91200</f>
        <v>4198080</v>
      </c>
      <c r="E22" s="1003">
        <f>20886+1290+264+414+2304+1239+1257+1620+690</f>
        <v>29964</v>
      </c>
      <c r="F22" s="1003">
        <f>20886+1290+264+414+2304+1085+1411+1620+690</f>
        <v>29964</v>
      </c>
      <c r="G22" s="10">
        <f>2991360+8640+8640+1920+6720+3840+960+960+1920+4800+8640+29760+31680+31680+23040+3840+6720+7680+20160+54720+68160+78720+33600+71040+20160+1920+71040+15360+48000+26880+20160+27840+68160+40320+29760+48960+39360+960+25920+4800+3840</f>
        <v>3992640</v>
      </c>
      <c r="H22" s="10">
        <f>60192+70224+70224+1920+19200+12480</f>
        <v>234240</v>
      </c>
      <c r="I22" s="5">
        <f>(C22-H22)-G22</f>
        <v>1920</v>
      </c>
      <c r="J22" s="2" t="s">
        <v>33</v>
      </c>
    </row>
    <row r="23" spans="1:10" ht="15" customHeight="1">
      <c r="A23" s="1001"/>
      <c r="B23" s="4" t="s">
        <v>66</v>
      </c>
      <c r="C23" s="3">
        <f>92160+960+960+1920+1920+1920+1920+1920+3840+1920+1920+3840+960+6720+2880-3840+1920+2880+1920+4800+960+1920+3840+960+960+6720+3840+960+2880+6720</f>
        <v>163200</v>
      </c>
      <c r="D23" s="3">
        <f>99840+4800+5760+9600+9600+4800+4800+9600+9600+19200</f>
        <v>177600</v>
      </c>
      <c r="E23" s="1004"/>
      <c r="F23" s="1004"/>
      <c r="G23" s="3">
        <f>89280+1920+1920+960+1920+1920+1920+1920+1920+3840+1920+1920+3840+960+2880+2880+4800+1920+3840+1920+1920+3840+960+960+10560+2880+960</f>
        <v>156480</v>
      </c>
      <c r="H23" s="3"/>
      <c r="I23" s="5">
        <f>(C23-H23)-G23</f>
        <v>6720</v>
      </c>
      <c r="J23" s="2" t="s">
        <v>23</v>
      </c>
    </row>
    <row r="24" spans="1:10" ht="15" customHeight="1">
      <c r="A24" s="1001"/>
      <c r="B24" s="4" t="s">
        <v>32</v>
      </c>
      <c r="C24" s="3">
        <f>249600+4800+1920+960+1920+960+960+3840+2880+3840+3840+14400+3840+3840+4800+3840+5760+8640+25920+2880+960+960+2880+3840+38400+960+3840</f>
        <v>401280</v>
      </c>
      <c r="D24" s="3">
        <f>258240+9600+12480+14400+25920+9600+14400+17760+42720</f>
        <v>405120</v>
      </c>
      <c r="E24" s="1005"/>
      <c r="F24" s="1005"/>
      <c r="G24" s="3">
        <f>240000+1920+7680+4800+1920+960+1920+960+960+6720+3840+3840+1920+960+10560+12480+3840+3840+11520+19200+7680+1920+960+960+2880+19200+15360+960</f>
        <v>389760</v>
      </c>
      <c r="H24" s="3">
        <f>7680</f>
        <v>7680</v>
      </c>
      <c r="I24" s="5">
        <f>(C24-H24)-G24</f>
        <v>3840</v>
      </c>
      <c r="J24" s="2"/>
    </row>
    <row r="25" spans="1:10" ht="15" customHeight="1" thickBot="1">
      <c r="A25" s="1002"/>
      <c r="B25" s="6" t="s">
        <v>14</v>
      </c>
      <c r="C25" s="17">
        <f t="shared" ref="C25:I25" si="2">SUM(C22:C24)</f>
        <v>4793280</v>
      </c>
      <c r="D25" s="17">
        <f t="shared" si="2"/>
        <v>4780800</v>
      </c>
      <c r="E25" s="17">
        <f t="shared" si="2"/>
        <v>29964</v>
      </c>
      <c r="F25" s="17">
        <f t="shared" si="2"/>
        <v>29964</v>
      </c>
      <c r="G25" s="17">
        <f>SUM(G22:G24)</f>
        <v>4538880</v>
      </c>
      <c r="H25" s="17">
        <f t="shared" si="2"/>
        <v>241920</v>
      </c>
      <c r="I25" s="17">
        <f t="shared" si="2"/>
        <v>12480</v>
      </c>
      <c r="J25" s="8"/>
    </row>
    <row r="26" spans="1:10" ht="15" customHeight="1">
      <c r="A26" s="1000">
        <v>6</v>
      </c>
      <c r="B26" s="9" t="s">
        <v>34</v>
      </c>
      <c r="C26" s="10">
        <f>1248120+1980+900+3780+4320+3240+1080+5940+7200+6120+4140+3780+1908+9720+3456+6912+6912+7128+5616+9072+9288+6480+4536+6480+3672+74736+19656+38664+19872-21168+18576+41472+216+1944+19872+17712+12096+9072+12312+12528+21816+28728+7344+864+216+216+3024+3024</f>
        <v>1714572</v>
      </c>
      <c r="D26" s="10">
        <f>1130400+28080+4320+17280+38880+3672+24192+56160+86400+51840+21600+15120+30240+20480+15120+16200+30280+15120+30240</f>
        <v>1635624</v>
      </c>
      <c r="E26" s="1003">
        <f>46260+1374+1140+78+282+9042+1650+2148+2340+1920</f>
        <v>66234</v>
      </c>
      <c r="F26" s="1003">
        <f>46260+1374+1140+78+282+9042+1650+2148+2340+1920</f>
        <v>66234</v>
      </c>
      <c r="G26" s="10">
        <f>1074960+14400+13860+720+1980+2700+2520+5940+1080+5580+5940+7200+4968+4536+432+13176+2160+7128+10368+4752+9288+6480+4536+7992+8856+29592+37800+28080+29592+22680+24192+13392+6696+6480+19656+11448+7776+12744+15768+20088+16848+13608+11664+432+1296+1296+1944</f>
        <v>1554624</v>
      </c>
      <c r="H26" s="10">
        <f>144180+1080+11664</f>
        <v>156924</v>
      </c>
      <c r="I26" s="5">
        <f>(C26-H26)-G26</f>
        <v>3024</v>
      </c>
      <c r="J26" s="2" t="s">
        <v>26</v>
      </c>
    </row>
    <row r="27" spans="1:10" ht="15" customHeight="1">
      <c r="A27" s="1001"/>
      <c r="B27" s="4" t="s">
        <v>35</v>
      </c>
      <c r="C27" s="3">
        <f>127440+180+900+900+1260+1260+720+180+864+180+72+864+864+648+216+216+216+1080+864+2376+216+216+1080+216+1296+432+1296+1080+216+1080+5616+216+216+432+216+432+3888+432-216+648+216+216+1080-216+1296+6264+864+5616+216+2160+1296+4968+648+648+2592+432+216+1080+1080+1080+1944+432+216+1080+2160+864+432+648+1728+432+1512+2160</f>
        <v>205668</v>
      </c>
      <c r="D27" s="3">
        <f>119520+4320+3528+2160+4320+216+4536+6480+14256+9720+12312+7560+8640+6480</f>
        <v>204048</v>
      </c>
      <c r="E27" s="1004"/>
      <c r="F27" s="1004"/>
      <c r="G27" s="3">
        <f>114840+1260+180+900+900+1260+1980+216+216+1728+1512+216+432+216+2592+216+216+1080+1728+216+1296+1080+2592+864+1296+2808+432+432+4536+2592+7128+432+7776+4752+2592+3024+216+1080+1296+864+2808+1080+648+2376+1944</f>
        <v>187848</v>
      </c>
      <c r="H27" s="3">
        <f>11340+1728</f>
        <v>13068</v>
      </c>
      <c r="I27" s="5">
        <f>(C27-H27)-G27</f>
        <v>4752</v>
      </c>
      <c r="J27" s="2" t="s">
        <v>124</v>
      </c>
    </row>
    <row r="28" spans="1:10" ht="15" customHeight="1">
      <c r="A28" s="1001"/>
      <c r="B28" s="4" t="s">
        <v>36</v>
      </c>
      <c r="C28" s="3">
        <f>178380+1800+3960+1260+3780+1080+900+180+1296+2160+216+216+1728+1512+1512+864+1728+9720+3024+3024+3240+3240+4752+5184+4140+3672-36+1080+2160+4104+1296+7128+1944+4536+864+1296+1728+648+5184+432</f>
        <v>274932</v>
      </c>
      <c r="D28" s="3">
        <f>173700+9000+8640+2340+2376+2808+3780+10800+12096+6048+7560+5400+7776+6480+8640+6480+8640</f>
        <v>282564</v>
      </c>
      <c r="E28" s="1005"/>
      <c r="F28" s="1005"/>
      <c r="G28" s="3">
        <f>163980+2700+4500+180+6300+3960+1260+3780+1080+1080+1296+2160+216+216+216+1512+1512+864+3456+648+7128+3240+3888+8856+1512+5184+1296+5184+1296+3240+1296+3240+864+5400+1728+1944+4536+864+2376+1296+5184</f>
        <v>270468</v>
      </c>
      <c r="H28" s="3">
        <f>2520+1512</f>
        <v>4032</v>
      </c>
      <c r="I28" s="5">
        <f>(C28-H28)-G28</f>
        <v>432</v>
      </c>
      <c r="J28" s="2" t="s">
        <v>23</v>
      </c>
    </row>
    <row r="29" spans="1:10" ht="15" customHeight="1" thickBot="1">
      <c r="A29" s="1002"/>
      <c r="B29" s="6" t="s">
        <v>14</v>
      </c>
      <c r="C29" s="17">
        <f t="shared" ref="C29:I29" si="3">SUM(C26:C28)</f>
        <v>2195172</v>
      </c>
      <c r="D29" s="17">
        <f>SUM(D26:D28)</f>
        <v>2122236</v>
      </c>
      <c r="E29" s="17">
        <f>SUM(E26:E28)</f>
        <v>66234</v>
      </c>
      <c r="F29" s="17">
        <f t="shared" si="3"/>
        <v>66234</v>
      </c>
      <c r="G29" s="17">
        <f>SUM(G26:G28)</f>
        <v>2012940</v>
      </c>
      <c r="H29" s="17">
        <f t="shared" si="3"/>
        <v>174024</v>
      </c>
      <c r="I29" s="17">
        <f t="shared" si="3"/>
        <v>8208</v>
      </c>
      <c r="J29" s="31" t="s">
        <v>118</v>
      </c>
    </row>
    <row r="30" spans="1:10" ht="15" customHeight="1">
      <c r="A30" s="1000">
        <v>7</v>
      </c>
      <c r="B30" s="9" t="s">
        <v>37</v>
      </c>
      <c r="C30" s="10">
        <f>415440+2160+3120+2880+2400+2400+2160+2880+2640+3120+3600+3360+3120+2640+3456+1152+3168+2880+18432+2880-17856+2880+3456+7200+2880+9504+7488+9504+4032+6912+4032+4608+9504+9216+288+576+2304+3168+2592+6624+288+1440</f>
        <v>564528</v>
      </c>
      <c r="D30" s="10">
        <f>434400+11520+11520+26400+11520+13824+16560+17280+11520+11520+10800+28800</f>
        <v>605664</v>
      </c>
      <c r="E30" s="1003">
        <f>13350+942+345+366+702+690+966+930+945</f>
        <v>19236</v>
      </c>
      <c r="F30" s="1003">
        <f>13350+942+345+366+702+690+966+930+945</f>
        <v>19236</v>
      </c>
      <c r="G30" s="10">
        <f>394080+2880+7920+2160+960+2160+2880+2400+2400+5040+2640+2160+960+3600+3360+6912+3456+3168+2880+576+288+6336+2592+10080+9504+4032+3456+8640+8064+3744+8640+6912+3456+8640+576+3168+1152+8640+1728</f>
        <v>552240</v>
      </c>
      <c r="H30" s="10">
        <f>10560+288</f>
        <v>10848</v>
      </c>
      <c r="I30" s="5">
        <f t="shared" ref="I30:I36" si="4">(C30-H30)-G30</f>
        <v>1440</v>
      </c>
      <c r="J30" s="2" t="s">
        <v>40</v>
      </c>
    </row>
    <row r="31" spans="1:10" ht="15" customHeight="1">
      <c r="A31" s="1001"/>
      <c r="B31" s="4" t="s">
        <v>38</v>
      </c>
      <c r="C31" s="3">
        <f>41040+480+480+480+240+480+180-180+480+576+96+96+864+288+288+864+576+1440+576+576+576+864+576+288+288+576+576+1440+1152+864+864+864+1440+864+288+864+576+576+1440+576+288+1440+2304</f>
        <v>69504</v>
      </c>
      <c r="D31" s="3">
        <f>44880+48+3600+2880+2880+4896+864+2880+2880+2880+2880</f>
        <v>71568</v>
      </c>
      <c r="E31" s="1004"/>
      <c r="F31" s="1004"/>
      <c r="G31" s="3">
        <f>40080+240+480+480+480+720+576+576+576+288+864+288+864+576+1440+576+576+576+864+576+288+288+1152+1440+1152+1728+864+1440+1152+864+1152+1152+1728</f>
        <v>66096</v>
      </c>
      <c r="H31" s="3">
        <f>240+864</f>
        <v>1104</v>
      </c>
      <c r="I31" s="5">
        <f t="shared" si="4"/>
        <v>2304</v>
      </c>
      <c r="J31" s="2" t="s">
        <v>125</v>
      </c>
    </row>
    <row r="32" spans="1:10" ht="15" customHeight="1">
      <c r="A32" s="1001"/>
      <c r="B32" s="4" t="s">
        <v>39</v>
      </c>
      <c r="C32" s="3">
        <f>128400+1440+480+480+480+480+96+96+864+1440+288+864+864+1152+1152+864+864+1152+1440+576+576+1152+1728+576+2304+4608+2880+1152+1152+1728+1440+576+1152+2592+2880+3744+2304+5184</f>
        <v>181200</v>
      </c>
      <c r="D32" s="3">
        <f>91440+4560+5040+48+1920+5760+4896+5712+2880+3648+5760+2880+3456+9504+2880</f>
        <v>150384</v>
      </c>
      <c r="E32" s="1005"/>
      <c r="F32" s="1005"/>
      <c r="G32" s="3">
        <f>87120+1680+2160+1440+480+480+576+576+864+1440+288+1728+576+576+1152+864+864+1152+2016+576+576+576+2304+6912+1152+1728+1728+2304+864+576+576+2880+1728+2016+3744+3744+3744</f>
        <v>143760</v>
      </c>
      <c r="H32" s="3">
        <f>37440</f>
        <v>37440</v>
      </c>
      <c r="I32" s="5">
        <f t="shared" si="4"/>
        <v>0</v>
      </c>
      <c r="J32" s="2" t="s">
        <v>23</v>
      </c>
    </row>
    <row r="33" spans="1:10" ht="15" customHeight="1" thickBot="1">
      <c r="A33" s="1002"/>
      <c r="B33" s="6" t="s">
        <v>14</v>
      </c>
      <c r="C33" s="17">
        <f>SUM(C30:C32)</f>
        <v>815232</v>
      </c>
      <c r="D33" s="17">
        <f t="shared" ref="D33:I33" si="5">SUM(D30:D32)</f>
        <v>827616</v>
      </c>
      <c r="E33" s="17">
        <f>SUM(E30:E32)</f>
        <v>19236</v>
      </c>
      <c r="F33" s="17">
        <f t="shared" si="5"/>
        <v>19236</v>
      </c>
      <c r="G33" s="17">
        <f t="shared" si="5"/>
        <v>762096</v>
      </c>
      <c r="H33" s="17">
        <f t="shared" si="5"/>
        <v>49392</v>
      </c>
      <c r="I33" s="17">
        <f t="shared" si="5"/>
        <v>3744</v>
      </c>
      <c r="J33" s="31" t="s">
        <v>119</v>
      </c>
    </row>
    <row r="34" spans="1:10" ht="15" customHeight="1">
      <c r="A34" s="1000">
        <v>8</v>
      </c>
      <c r="B34" s="9" t="s">
        <v>22</v>
      </c>
      <c r="C34" s="10">
        <f>228744+2376+648+1728+1728+1944+1080+2376+1296+648+2808</f>
        <v>245376</v>
      </c>
      <c r="D34" s="10">
        <f>202176+3024</f>
        <v>205200</v>
      </c>
      <c r="E34" s="1003">
        <f>7368+672+90+126+24+36</f>
        <v>8316</v>
      </c>
      <c r="F34" s="10">
        <f>202176+5824-864-1080-648-208</f>
        <v>205200</v>
      </c>
      <c r="G34" s="10">
        <f>184464+1944+1080+1080+648+1728+1944+3456+1296+648+1728+864+216</f>
        <v>201096</v>
      </c>
      <c r="H34" s="10">
        <f>44280</f>
        <v>44280</v>
      </c>
      <c r="I34" s="5">
        <f t="shared" si="4"/>
        <v>0</v>
      </c>
      <c r="J34" s="2" t="s">
        <v>24</v>
      </c>
    </row>
    <row r="35" spans="1:10" ht="15" customHeight="1">
      <c r="A35" s="1001"/>
      <c r="B35" s="4" t="s">
        <v>68</v>
      </c>
      <c r="C35" s="3">
        <f>34560+432+432+1080+432+1080+864+432+432+1080+432+432+432+864</f>
        <v>42984</v>
      </c>
      <c r="D35" s="3">
        <f>37584+3240</f>
        <v>40824</v>
      </c>
      <c r="E35" s="1004"/>
      <c r="F35" s="5">
        <f>37584+3240+2500</f>
        <v>43324</v>
      </c>
      <c r="G35" s="3">
        <f>32400+432+432+1080+432+1080+864+432+432+1080+864+1296</f>
        <v>40824</v>
      </c>
      <c r="H35" s="3">
        <f>2160</f>
        <v>2160</v>
      </c>
      <c r="I35" s="5">
        <f t="shared" si="4"/>
        <v>0</v>
      </c>
      <c r="J35" s="2" t="s">
        <v>25</v>
      </c>
    </row>
    <row r="36" spans="1:10" ht="15" customHeight="1">
      <c r="A36" s="1001"/>
      <c r="B36" s="4" t="s">
        <v>69</v>
      </c>
      <c r="C36" s="3">
        <f>51408+216+216+216+216+216+216+216+648+216+1296+1080+648+648+216+864+432+216+216</f>
        <v>59400</v>
      </c>
      <c r="D36" s="3">
        <f>49680+1512+864+1080+648+864+1296</f>
        <v>55944</v>
      </c>
      <c r="E36" s="1005"/>
      <c r="F36" s="5">
        <f>49680+1512+864+1080+648+864+1296</f>
        <v>55944</v>
      </c>
      <c r="G36" s="3">
        <f>48384+216+216+216+216+216+216+216+648+1512+1512+216+216+648+1080+216+216</f>
        <v>56160</v>
      </c>
      <c r="H36" s="3">
        <f>3024+216</f>
        <v>3240</v>
      </c>
      <c r="I36" s="5">
        <f t="shared" si="4"/>
        <v>0</v>
      </c>
      <c r="J36" s="4" t="s">
        <v>198</v>
      </c>
    </row>
    <row r="37" spans="1:10" ht="15" customHeight="1" thickBot="1">
      <c r="A37" s="1002"/>
      <c r="B37" s="6" t="s">
        <v>14</v>
      </c>
      <c r="C37" s="17">
        <f>SUM(C34:C36)</f>
        <v>347760</v>
      </c>
      <c r="D37" s="17">
        <f t="shared" ref="D37:I37" si="6">SUM(D34:D36)</f>
        <v>301968</v>
      </c>
      <c r="E37" s="17">
        <f>SUM(E34:E36)</f>
        <v>8316</v>
      </c>
      <c r="F37" s="17">
        <f t="shared" si="6"/>
        <v>304468</v>
      </c>
      <c r="G37" s="17">
        <f t="shared" si="6"/>
        <v>298080</v>
      </c>
      <c r="H37" s="17">
        <f t="shared" si="6"/>
        <v>49680</v>
      </c>
      <c r="I37" s="17">
        <f t="shared" si="6"/>
        <v>0</v>
      </c>
      <c r="J37" s="8"/>
    </row>
    <row r="38" spans="1:10" ht="15" customHeight="1">
      <c r="A38" s="1000">
        <v>9</v>
      </c>
      <c r="B38" s="9" t="s">
        <v>41</v>
      </c>
      <c r="C38" s="10">
        <f>169536+960+1056+1056+864+960+576+96+576+1056+768+960+864+1056+720+264+1080+960+840+960+960+960+1080+1080+1320+120+1080+1080+2280+1080+1320+1440+2160+2520+2400+1320+1320+1560+1320+840+240+840+120+840+1080+1080+840+960+960+1080+960</f>
        <v>221448</v>
      </c>
      <c r="D38" s="10">
        <f>159376+5760+272+7560+12600+3600+4224+960+4200+1200+2640+4800</f>
        <v>207192</v>
      </c>
      <c r="E38" s="1003">
        <f>14741+979+366+420-91+1320+486+408+192+360</f>
        <v>19181</v>
      </c>
      <c r="F38" s="28">
        <f>159376+5760+272+7560+5417+7183+3600+4224+960+4200+1200+2640+4800</f>
        <v>207192</v>
      </c>
      <c r="G38" s="10">
        <f>147552+1632+1056+960+2112+768+1056+576+96+576+1056+768+1824+1080+960+960+1080+720+1080+960+960+1080+2160+240+120+1080+1080+2280+1080+1800+3120+2520+2400+1320+2760+120+2160+360+840+960+960+1680+240+840+120</f>
        <v>199152</v>
      </c>
      <c r="H38" s="10">
        <f>19296</f>
        <v>19296</v>
      </c>
      <c r="I38" s="5">
        <f>(C38-H38)-G38</f>
        <v>3000</v>
      </c>
      <c r="J38" s="2" t="s">
        <v>45</v>
      </c>
    </row>
    <row r="39" spans="1:10" ht="15" customHeight="1">
      <c r="A39" s="1001"/>
      <c r="B39" s="4" t="s">
        <v>42</v>
      </c>
      <c r="C39" s="3">
        <f>26880+96+480+96+192+288+288+96+192+192+96+96+96+192+288+288+96+192+96+288+288+240+144+240+120+240+480+120+360+600+120+240+240+120+480+120+120+960+120+360+120+120+360+840+960+240+120+120+120+600+600+240+360+480+120+120+360+120+480+120+120+240</f>
        <v>43200</v>
      </c>
      <c r="D39" s="3">
        <f>27696+2520+804+36+8+1200+160+1200+1320+2400+1200+720+480+720+1200+1200+1200</f>
        <v>44064</v>
      </c>
      <c r="E39" s="1004"/>
      <c r="F39" s="29">
        <f>27696+1896+384+240+804+36+8+1200+160+1200+320+1000+2400+1200+720+840-360+720+1200+1200+1200</f>
        <v>44064</v>
      </c>
      <c r="G39" s="3">
        <f>26208+192+288+96+96+576+96+384+384+288+576+288+192+480+720+240+120+120+360+360+120+600+720+120+720+240+1080+480+1320+1080+120+120+600+240+360+480+840+240+360+600</f>
        <v>42504</v>
      </c>
      <c r="H39" s="3">
        <f>96+120</f>
        <v>216</v>
      </c>
      <c r="I39" s="5">
        <f>(C39-H39)-G39</f>
        <v>480</v>
      </c>
      <c r="J39" s="2" t="s">
        <v>126</v>
      </c>
    </row>
    <row r="40" spans="1:10" ht="15" customHeight="1">
      <c r="A40" s="1001"/>
      <c r="B40" s="4" t="s">
        <v>43</v>
      </c>
      <c r="C40" s="3">
        <f>39648+192+192+96+192+192+48+120+480+240+240+120+240+600+240+600+480+600+480+600+360+120+120+240+120+480+240+360+240+1080+960+120+120+240+240+480+120+120+240+360+240+480+120+120+480</f>
        <v>53400</v>
      </c>
      <c r="D40" s="3">
        <f>40224+1560+1200+1800+1536+3120+720+1320+1080+1200+1200</f>
        <v>54960</v>
      </c>
      <c r="E40" s="1004"/>
      <c r="F40" s="29">
        <f>40224+1560+1200+1800+1496+100+3060+720+1320+1080+1200+1200</f>
        <v>54960</v>
      </c>
      <c r="G40" s="3">
        <f>39648+192+192+96+192+240+120+480+240+240+120+720+120+240+600+840+240+480+600+360+120+360+120+720+600+1080+600+480+120+120+240+360+240+120+120+240+600+600</f>
        <v>52800</v>
      </c>
      <c r="H40" s="3">
        <v>0</v>
      </c>
      <c r="I40" s="5">
        <f>(C40-H40)-G40</f>
        <v>600</v>
      </c>
      <c r="J40" s="2" t="s">
        <v>25</v>
      </c>
    </row>
    <row r="41" spans="1:10" ht="15" customHeight="1">
      <c r="A41" s="1001"/>
      <c r="B41" s="4" t="s">
        <v>44</v>
      </c>
      <c r="C41" s="15">
        <f>17952+96+96+96+192+96+96+96+192+288+192+192+192+288+192+96+480+192+168+240+360+240+240+480+240+120+120+120+120+120+240</f>
        <v>23832</v>
      </c>
      <c r="D41" s="15">
        <f>19968+1680+896+1600</f>
        <v>24144</v>
      </c>
      <c r="E41" s="1005"/>
      <c r="F41" s="30">
        <f>19968+788+412+480+896+1920-320</f>
        <v>24144</v>
      </c>
      <c r="G41" s="15">
        <f>17664+192+96+96+96+96+192+96+96+96+192+288+192+192+192+288+192+696+240+240+360+240+240+480+120+240+120+120+120</f>
        <v>23472</v>
      </c>
      <c r="H41" s="15">
        <v>0</v>
      </c>
      <c r="I41" s="5">
        <f>(C41-H41)-G41</f>
        <v>360</v>
      </c>
      <c r="J41" s="32" t="s">
        <v>120</v>
      </c>
    </row>
    <row r="42" spans="1:10" ht="15" customHeight="1" thickBot="1">
      <c r="A42" s="1002"/>
      <c r="B42" s="6" t="s">
        <v>14</v>
      </c>
      <c r="C42" s="17">
        <f t="shared" ref="C42:I42" si="7">SUM(C38:C41)</f>
        <v>341880</v>
      </c>
      <c r="D42" s="17">
        <f t="shared" si="7"/>
        <v>330360</v>
      </c>
      <c r="E42" s="17">
        <f>SUM(E38:E41)</f>
        <v>19181</v>
      </c>
      <c r="F42" s="17">
        <f t="shared" si="7"/>
        <v>330360</v>
      </c>
      <c r="G42" s="17">
        <f t="shared" si="7"/>
        <v>317928</v>
      </c>
      <c r="H42" s="17">
        <f t="shared" si="7"/>
        <v>19512</v>
      </c>
      <c r="I42" s="17">
        <f t="shared" si="7"/>
        <v>4440</v>
      </c>
      <c r="J42" s="8" t="s">
        <v>115</v>
      </c>
    </row>
    <row r="43" spans="1:10" ht="15" customHeight="1">
      <c r="A43" s="1000">
        <v>10</v>
      </c>
      <c r="B43" s="9" t="s">
        <v>46</v>
      </c>
      <c r="C43" s="10">
        <f>351936+576+768+384+384+480+576+480+576+288+480+4128+3936+7296+4512+2808+7560+12480+3600+960+3960+3000+840+2520+600+5400+600+3120+960+3480+360+9600+600+600+120+1080+720+1440+720+360+360+360+120+720+120</f>
        <v>445968</v>
      </c>
      <c r="D43" s="10">
        <f>279648+34560+20064+17520+24000</f>
        <v>375792</v>
      </c>
      <c r="E43" s="1003">
        <f>27314+4300-288+1662+2466+1518+1200+1242</f>
        <v>39414</v>
      </c>
      <c r="F43" s="1003">
        <f>27314+4300-288+1662+2466+1518+1200+1242</f>
        <v>39414</v>
      </c>
      <c r="G43" s="10">
        <f>269760+3840+192+1344+864+192+576+480+576+288+480+4224+4416+9600+4440+7560+12600+4920+2880+4680+2880+4080+4440+2160+4680+7560+3720+2040+720+120</f>
        <v>366312</v>
      </c>
      <c r="H43" s="10">
        <f>78336+240+240</f>
        <v>78816</v>
      </c>
      <c r="I43" s="5">
        <f>(C43-H43)-G43</f>
        <v>840</v>
      </c>
      <c r="J43" s="2" t="s">
        <v>45</v>
      </c>
    </row>
    <row r="44" spans="1:10" ht="15" customHeight="1">
      <c r="A44" s="1001"/>
      <c r="B44" s="4" t="s">
        <v>47</v>
      </c>
      <c r="C44" s="3">
        <f>90048+288+1536+1344+2976+2976+2976+2280+120+2280-792+1080+2160+2520+6000+120+120+5160+4320+2880+2400+120+2040+120+2520+120+4440+10800+480+120-840+120+5760+360+120+120+480+360+120+2640+5640+2040+1920+1440+120+1440+120+1440+240+197640+1800+120+3960+240+360+120</f>
        <v>381432</v>
      </c>
      <c r="D44" s="3">
        <f>91776+5760+14112+8400+11760+6960+9600+14760+19200+20040</f>
        <v>202368</v>
      </c>
      <c r="E44" s="1004"/>
      <c r="F44" s="1004"/>
      <c r="G44" s="3">
        <f>83904+2976+1824+288+1536+1344+2976+7440+2400+1080+2160+2520+6000+120+120+5160+4320+3000+2400+2160+480+2160+4440+10080+600+5400+360+600+720+240+2400+480+3120+2520+3480+1680+480+1440+1440+1440+120+4560+1200</f>
        <v>183168</v>
      </c>
      <c r="H44" s="3">
        <f>1344+196200</f>
        <v>197544</v>
      </c>
      <c r="I44" s="5">
        <f>(C44-H44)-G44</f>
        <v>720</v>
      </c>
      <c r="J44" s="2" t="s">
        <v>127</v>
      </c>
    </row>
    <row r="45" spans="1:10" ht="15" customHeight="1">
      <c r="A45" s="1001"/>
      <c r="B45" s="4" t="s">
        <v>48</v>
      </c>
      <c r="C45" s="3">
        <f>97536+288+288+288+1056+480+1152+3648+384+720+312+240+240</f>
        <v>106632</v>
      </c>
      <c r="D45" s="3">
        <f>88320+5760+2304+4800</f>
        <v>101184</v>
      </c>
      <c r="E45" s="1005"/>
      <c r="F45" s="1005"/>
      <c r="G45" s="3">
        <f>84384+384+480+288+576+1056+192+288+960+2976+1560+720+240</f>
        <v>94104</v>
      </c>
      <c r="H45" s="3">
        <f>12288</f>
        <v>12288</v>
      </c>
      <c r="I45" s="5">
        <f>(C45-H45)-G45</f>
        <v>240</v>
      </c>
      <c r="J45" s="2" t="s">
        <v>23</v>
      </c>
    </row>
    <row r="46" spans="1:10" ht="15" customHeight="1" thickBot="1">
      <c r="A46" s="1002"/>
      <c r="B46" s="6" t="s">
        <v>14</v>
      </c>
      <c r="C46" s="17">
        <f t="shared" ref="C46:I46" si="8">SUM(C43:C45)</f>
        <v>934032</v>
      </c>
      <c r="D46" s="17">
        <f t="shared" si="8"/>
        <v>679344</v>
      </c>
      <c r="E46" s="17">
        <f>SUM(E43:E45)</f>
        <v>39414</v>
      </c>
      <c r="F46" s="17">
        <f t="shared" si="8"/>
        <v>39414</v>
      </c>
      <c r="G46" s="17">
        <f>SUM(G43:G45)</f>
        <v>643584</v>
      </c>
      <c r="H46" s="17">
        <f t="shared" si="8"/>
        <v>288648</v>
      </c>
      <c r="I46" s="17">
        <f t="shared" si="8"/>
        <v>1800</v>
      </c>
      <c r="J46" s="31" t="s">
        <v>120</v>
      </c>
    </row>
    <row r="47" spans="1:10" ht="15" customHeight="1">
      <c r="A47" s="1000">
        <v>11</v>
      </c>
      <c r="B47" s="9" t="s">
        <v>49</v>
      </c>
      <c r="C47" s="10">
        <f>130344+780+540+900+12300+360+420+360+420+720+360+600+2040+144+192+144+432+360-72+72+72+144+72</f>
        <v>151704</v>
      </c>
      <c r="D47" s="10">
        <f>144000+12240+32400</f>
        <v>188640</v>
      </c>
      <c r="E47" s="1003">
        <f>18000+1020+3876+510+300</f>
        <v>23706</v>
      </c>
      <c r="F47" s="1003">
        <f>18000+1020+3876+510+300</f>
        <v>23706</v>
      </c>
      <c r="G47" s="10">
        <f>58560+17640+13020+17220+11820+12180+540+5400+4380+1080+1440+360+660+120+420+360+360+2040+1152+144+792</f>
        <v>149688</v>
      </c>
      <c r="H47" s="10">
        <f>1584</f>
        <v>1584</v>
      </c>
      <c r="I47" s="5">
        <f t="shared" ref="I47:I54" si="9">(C47-H47)-G47</f>
        <v>432</v>
      </c>
      <c r="J47" s="2" t="s">
        <v>53</v>
      </c>
    </row>
    <row r="48" spans="1:10" ht="15" customHeight="1">
      <c r="A48" s="1001"/>
      <c r="B48" s="4" t="s">
        <v>50</v>
      </c>
      <c r="C48" s="3">
        <f>14880+60+360+576+3312+1944+1440+1008+792</f>
        <v>24372</v>
      </c>
      <c r="D48" s="3">
        <f>14400+5940+2520+3600</f>
        <v>26460</v>
      </c>
      <c r="E48" s="1004"/>
      <c r="F48" s="1004"/>
      <c r="G48" s="3">
        <f>14640+120+120+60+360+576+1368+1080+648+3600+504+144+144+1008</f>
        <v>24372</v>
      </c>
      <c r="H48" s="3">
        <v>0</v>
      </c>
      <c r="I48" s="5">
        <f t="shared" si="9"/>
        <v>0</v>
      </c>
      <c r="J48" s="2" t="s">
        <v>128</v>
      </c>
    </row>
    <row r="49" spans="1:10" ht="15" customHeight="1">
      <c r="A49" s="1001"/>
      <c r="B49" s="4" t="s">
        <v>51</v>
      </c>
      <c r="C49" s="3">
        <f>22260+216+720+432+1656+864+1152+864+576+864+504+1944+216+288</f>
        <v>32556</v>
      </c>
      <c r="D49" s="3">
        <f>21600+7860+3600</f>
        <v>33060</v>
      </c>
      <c r="E49" s="1005"/>
      <c r="F49" s="1005"/>
      <c r="G49" s="3">
        <f>21780+120+120+240+936+432+2808+144+576+1872+1944</f>
        <v>30972</v>
      </c>
      <c r="H49" s="3">
        <v>0</v>
      </c>
      <c r="I49" s="5">
        <f>(C49-H49)-G49</f>
        <v>1584</v>
      </c>
      <c r="J49" s="2" t="s">
        <v>23</v>
      </c>
    </row>
    <row r="50" spans="1:10" ht="15" customHeight="1" thickBot="1">
      <c r="A50" s="1002"/>
      <c r="B50" s="6" t="s">
        <v>14</v>
      </c>
      <c r="C50" s="17">
        <f t="shared" ref="C50:I50" si="10">SUM(C47:C49)</f>
        <v>208632</v>
      </c>
      <c r="D50" s="17">
        <f t="shared" si="10"/>
        <v>248160</v>
      </c>
      <c r="E50" s="17">
        <f t="shared" si="10"/>
        <v>23706</v>
      </c>
      <c r="F50" s="17">
        <f t="shared" si="10"/>
        <v>23706</v>
      </c>
      <c r="G50" s="17">
        <f>SUM(G47:G49)</f>
        <v>205032</v>
      </c>
      <c r="H50" s="17">
        <f t="shared" si="10"/>
        <v>1584</v>
      </c>
      <c r="I50" s="17">
        <f t="shared" si="10"/>
        <v>2016</v>
      </c>
      <c r="J50" s="31" t="s">
        <v>121</v>
      </c>
    </row>
    <row r="51" spans="1:10" ht="15" customHeight="1">
      <c r="A51" s="1000">
        <v>12</v>
      </c>
      <c r="B51" s="9" t="s">
        <v>54</v>
      </c>
      <c r="C51" s="10">
        <f>199980+19800+120+480+300+60+360+240</f>
        <v>221340</v>
      </c>
      <c r="D51" s="10">
        <f>219800+18000</f>
        <v>237800</v>
      </c>
      <c r="E51" s="1003">
        <f>28000+1888+264</f>
        <v>30152</v>
      </c>
      <c r="F51" s="1003">
        <f>28000+1888+264</f>
        <v>30152</v>
      </c>
      <c r="G51" s="10">
        <f>97980+25500+24600+23100+26040+2400+180+9540+10440+480+780</f>
        <v>221040</v>
      </c>
      <c r="H51" s="10">
        <v>0</v>
      </c>
      <c r="I51" s="5">
        <f t="shared" si="9"/>
        <v>300</v>
      </c>
      <c r="J51" s="2" t="s">
        <v>53</v>
      </c>
    </row>
    <row r="52" spans="1:10" ht="15" customHeight="1">
      <c r="A52" s="1001"/>
      <c r="B52" s="4" t="s">
        <v>55</v>
      </c>
      <c r="C52" s="3">
        <f>27960+1320+264+1296+2016+360</f>
        <v>33216</v>
      </c>
      <c r="D52" s="3">
        <f>28000+1880+3168</f>
        <v>33048</v>
      </c>
      <c r="E52" s="1004"/>
      <c r="F52" s="1004"/>
      <c r="G52" s="3">
        <f>27960+1584+864+2664</f>
        <v>33072</v>
      </c>
      <c r="H52" s="3">
        <v>0</v>
      </c>
      <c r="I52" s="5">
        <f t="shared" si="9"/>
        <v>144</v>
      </c>
      <c r="J52" s="2" t="s">
        <v>129</v>
      </c>
    </row>
    <row r="53" spans="1:10" ht="15" customHeight="1">
      <c r="A53" s="1001"/>
      <c r="B53" s="4" t="s">
        <v>56</v>
      </c>
      <c r="C53" s="3">
        <f>15420</f>
        <v>15420</v>
      </c>
      <c r="D53" s="3">
        <f>15400+20+1524</f>
        <v>16944</v>
      </c>
      <c r="E53" s="1004"/>
      <c r="F53" s="1004"/>
      <c r="G53" s="3">
        <f>15420</f>
        <v>15420</v>
      </c>
      <c r="H53" s="3">
        <v>0</v>
      </c>
      <c r="I53" s="5">
        <f t="shared" si="9"/>
        <v>0</v>
      </c>
      <c r="J53" s="2" t="s">
        <v>23</v>
      </c>
    </row>
    <row r="54" spans="1:10" ht="15" customHeight="1">
      <c r="A54" s="1001"/>
      <c r="B54" s="4" t="s">
        <v>57</v>
      </c>
      <c r="C54" s="15">
        <f>16740+1440</f>
        <v>18180</v>
      </c>
      <c r="D54" s="15">
        <f>16800-60+1224+216</f>
        <v>18180</v>
      </c>
      <c r="E54" s="1005"/>
      <c r="F54" s="1005"/>
      <c r="G54" s="15">
        <f>16740+1440</f>
        <v>18180</v>
      </c>
      <c r="H54" s="15">
        <v>0</v>
      </c>
      <c r="I54" s="5">
        <f t="shared" si="9"/>
        <v>0</v>
      </c>
      <c r="J54" s="32" t="s">
        <v>121</v>
      </c>
    </row>
    <row r="55" spans="1:10" ht="15" customHeight="1" thickBot="1">
      <c r="A55" s="1002"/>
      <c r="B55" s="6" t="s">
        <v>14</v>
      </c>
      <c r="C55" s="17">
        <f t="shared" ref="C55:I55" si="11">SUM(C51:C54)</f>
        <v>288156</v>
      </c>
      <c r="D55" s="17">
        <f t="shared" si="11"/>
        <v>305972</v>
      </c>
      <c r="E55" s="17">
        <f>SUM(E51:E54)</f>
        <v>30152</v>
      </c>
      <c r="F55" s="17">
        <f t="shared" si="11"/>
        <v>30152</v>
      </c>
      <c r="G55" s="17">
        <f>SUM(G51:G54)</f>
        <v>287712</v>
      </c>
      <c r="H55" s="17">
        <f t="shared" si="11"/>
        <v>0</v>
      </c>
      <c r="I55" s="17">
        <f t="shared" si="11"/>
        <v>444</v>
      </c>
      <c r="J55" s="33"/>
    </row>
    <row r="56" spans="1:10" ht="15" customHeight="1">
      <c r="A56" s="1000">
        <v>13</v>
      </c>
      <c r="B56" s="9" t="s">
        <v>58</v>
      </c>
      <c r="C56" s="10">
        <f>35460+3780+864+1800+2268+2124+1764+864+900+684+684+900+36+108+72+108+36+288+288</f>
        <v>53028</v>
      </c>
      <c r="D56" s="10">
        <f>50076+1080+5400</f>
        <v>56556</v>
      </c>
      <c r="E56" s="1003">
        <f>22633+5+2400+522+1500+2244+5294+3124+2160+1080</f>
        <v>40962</v>
      </c>
      <c r="F56" s="1003">
        <f>22633+5+2400+522+1500+2244+5240+3124+2160+1080</f>
        <v>40908</v>
      </c>
      <c r="G56" s="10">
        <f>18720+4500+4500+4500+3204+3744+72+864+1260+540+2268+1152+1836+900+864+900+792+576+1116+72</f>
        <v>52380</v>
      </c>
      <c r="H56" s="10">
        <v>0</v>
      </c>
      <c r="I56" s="10">
        <f>(C56-H56)-G56</f>
        <v>648</v>
      </c>
      <c r="J56" s="9" t="s">
        <v>52</v>
      </c>
    </row>
    <row r="57" spans="1:10" ht="15" customHeight="1">
      <c r="A57" s="1001"/>
      <c r="B57" s="4" t="s">
        <v>59</v>
      </c>
      <c r="C57" s="3">
        <f>4968+324+468+288+252+252+216+828+252+252+432+540+288+216+864+684+216+216+1620</f>
        <v>13176</v>
      </c>
      <c r="D57" s="3">
        <f>5000+1408+1260+1056+1590+1746+1980</f>
        <v>14040</v>
      </c>
      <c r="E57" s="1004"/>
      <c r="F57" s="1004"/>
      <c r="G57" s="3">
        <f>4968+612+180+288+252+468+828+756+180+252+288+1368+396+720+1620</f>
        <v>13176</v>
      </c>
      <c r="H57" s="3">
        <v>0</v>
      </c>
      <c r="I57" s="5">
        <f>(C57-H57)-G57</f>
        <v>0</v>
      </c>
      <c r="J57" s="2" t="s">
        <v>23</v>
      </c>
    </row>
    <row r="58" spans="1:10" ht="15" customHeight="1">
      <c r="A58" s="1001"/>
      <c r="B58" s="4" t="s">
        <v>60</v>
      </c>
      <c r="C58" s="3">
        <f>2736</f>
        <v>2736</v>
      </c>
      <c r="D58" s="3">
        <f>2750+814</f>
        <v>3564</v>
      </c>
      <c r="E58" s="1004"/>
      <c r="F58" s="1004"/>
      <c r="G58" s="3">
        <f>2736</f>
        <v>2736</v>
      </c>
      <c r="H58" s="3">
        <v>0</v>
      </c>
      <c r="I58" s="5">
        <f>(C58-H58)-G58</f>
        <v>0</v>
      </c>
      <c r="J58" s="4"/>
    </row>
    <row r="59" spans="1:10" ht="15" customHeight="1">
      <c r="A59" s="1001"/>
      <c r="B59" s="4" t="s">
        <v>61</v>
      </c>
      <c r="C59" s="15">
        <f>2988+144+72+576+252+324+72+72+108+180+252+324+216+180+252+396+360+180+324+216+180+180+72+288+324+216+252+252+72+144</f>
        <v>9468</v>
      </c>
      <c r="D59" s="15">
        <f>3000+888+540+720+936+1188+1854+1386</f>
        <v>10512</v>
      </c>
      <c r="E59" s="1004"/>
      <c r="F59" s="1004"/>
      <c r="G59" s="15">
        <f>2988+108+72+648+72+432+468+540+540+540+360+180+432+36+144+468+180+144+648+144+108+216</f>
        <v>9468</v>
      </c>
      <c r="H59" s="15">
        <v>0</v>
      </c>
      <c r="I59" s="5">
        <f>(C59-H59)-G59</f>
        <v>0</v>
      </c>
      <c r="J59" s="4"/>
    </row>
    <row r="60" spans="1:10" ht="15" customHeight="1" thickBot="1">
      <c r="A60" s="1002"/>
      <c r="B60" s="6" t="s">
        <v>14</v>
      </c>
      <c r="C60" s="17">
        <f t="shared" ref="C60:I60" si="12">SUM(C56:C59)</f>
        <v>78408</v>
      </c>
      <c r="D60" s="17">
        <f t="shared" si="12"/>
        <v>84672</v>
      </c>
      <c r="E60" s="1004"/>
      <c r="F60" s="1004"/>
      <c r="G60" s="17">
        <f>SUM(G56:G59)</f>
        <v>77760</v>
      </c>
      <c r="H60" s="17">
        <f t="shared" si="12"/>
        <v>0</v>
      </c>
      <c r="I60" s="17">
        <f t="shared" si="12"/>
        <v>648</v>
      </c>
      <c r="J60" s="8"/>
    </row>
    <row r="61" spans="1:10" ht="15" customHeight="1">
      <c r="A61" s="1000">
        <v>14</v>
      </c>
      <c r="B61" s="4" t="s">
        <v>63</v>
      </c>
      <c r="C61" s="10">
        <f>53532+5436+2304+2412+2988+9252+4788+1800+2124+4356+1908+1872+1728+108+612+1548+144+180+1368+1332+864+144+1224+252+144+576+1008</f>
        <v>104004</v>
      </c>
      <c r="D61" s="10">
        <f>59000+14400+3208+11700+10476+7200+5400</f>
        <v>111384</v>
      </c>
      <c r="E61" s="1004"/>
      <c r="F61" s="1004"/>
      <c r="G61" s="10">
        <f>27576+1764+6156+11556+3816+2628+36+2196+684+2556+1188+648+468+5760+1728+9252+2700+1800+1980+144+3960+2304+576+1404+2088+432+1080+1584+3024+576</f>
        <v>101664</v>
      </c>
      <c r="H61" s="10">
        <v>0</v>
      </c>
      <c r="I61" s="5">
        <f>(C61-H61)-G61</f>
        <v>2340</v>
      </c>
      <c r="J61" s="2" t="s">
        <v>52</v>
      </c>
    </row>
    <row r="62" spans="1:10" ht="15" customHeight="1">
      <c r="A62" s="1001"/>
      <c r="B62" s="4" t="s">
        <v>62</v>
      </c>
      <c r="C62" s="3">
        <f>7488+360+324+756+1152+612+1224+468+828+864+468+1404+432+504+828+1296+936+468+2412+144+612+324+252+1188+396+180</f>
        <v>25920</v>
      </c>
      <c r="D62" s="3">
        <f>7500+2148+1800+1764+3060+3888+1624+3596+1980</f>
        <v>27360</v>
      </c>
      <c r="E62" s="1004"/>
      <c r="F62" s="1004"/>
      <c r="G62" s="3">
        <f>7488+324+1116+4284+1584+1152+936+828+1296+936+612+1908+360+828+360+756+36+252+864</f>
        <v>25920</v>
      </c>
      <c r="H62" s="3">
        <v>0</v>
      </c>
      <c r="I62" s="5">
        <f>(C62-H62)-G62</f>
        <v>0</v>
      </c>
      <c r="J62" s="2" t="s">
        <v>23</v>
      </c>
    </row>
    <row r="63" spans="1:10" ht="15" customHeight="1">
      <c r="A63" s="1001"/>
      <c r="B63" s="4" t="s">
        <v>64</v>
      </c>
      <c r="C63" s="3">
        <f>3996+36</f>
        <v>4032</v>
      </c>
      <c r="D63" s="3">
        <f>4000+1220</f>
        <v>5220</v>
      </c>
      <c r="E63" s="1004"/>
      <c r="F63" s="1004"/>
      <c r="G63" s="3">
        <f>3996+36</f>
        <v>4032</v>
      </c>
      <c r="H63" s="3">
        <v>0</v>
      </c>
      <c r="I63" s="5">
        <f>(C63-H63)-G63</f>
        <v>0</v>
      </c>
      <c r="J63" s="4"/>
    </row>
    <row r="64" spans="1:10" ht="15" customHeight="1">
      <c r="A64" s="1001"/>
      <c r="B64" s="4" t="s">
        <v>65</v>
      </c>
      <c r="C64" s="15">
        <f>4500+108+468+324+324+180+216+180+432+1116+396+288+828+360+432+972+144+180+612+108+108+540+72+360+216+360+468+216+540+72</f>
        <v>15120</v>
      </c>
      <c r="D64" s="15">
        <f>4500+1368+1080+1584+1980+1440+756+1080+1800+1080</f>
        <v>16668</v>
      </c>
      <c r="E64" s="1005"/>
      <c r="F64" s="1005"/>
      <c r="G64" s="15">
        <f>4500+972+72+720+504+1980+972+1404+144+180+468+252+504+432+144+72+504+468+252+504</f>
        <v>15048</v>
      </c>
      <c r="H64" s="15">
        <v>0</v>
      </c>
      <c r="I64" s="5">
        <f>(C64-H64)-G64</f>
        <v>72</v>
      </c>
      <c r="J64" s="4"/>
    </row>
    <row r="65" spans="1:10" ht="15" customHeight="1" thickBot="1">
      <c r="A65" s="1002"/>
      <c r="B65" s="6" t="s">
        <v>14</v>
      </c>
      <c r="C65" s="17">
        <f>SUM(C61:C64)</f>
        <v>149076</v>
      </c>
      <c r="D65" s="17">
        <f>SUM(D61:D64)</f>
        <v>160632</v>
      </c>
      <c r="E65" s="60">
        <f>SUM(E56)</f>
        <v>40962</v>
      </c>
      <c r="F65" s="60">
        <f>SUM(F56)</f>
        <v>40908</v>
      </c>
      <c r="G65" s="17">
        <f>SUM(G61:G64)</f>
        <v>146664</v>
      </c>
      <c r="H65" s="17">
        <f>SUM(H61:H64)</f>
        <v>0</v>
      </c>
      <c r="I65" s="17">
        <f>SUM(I61:I64)</f>
        <v>2412</v>
      </c>
      <c r="J65" s="8"/>
    </row>
    <row r="66" spans="1:10" ht="15" customHeight="1">
      <c r="A66" s="39"/>
      <c r="B66" s="26"/>
      <c r="C66" s="27"/>
      <c r="D66" s="27"/>
      <c r="E66" s="27"/>
      <c r="F66" s="27"/>
      <c r="G66" s="27"/>
      <c r="H66" s="27"/>
      <c r="I66" s="27"/>
      <c r="J66" s="27"/>
    </row>
    <row r="67" spans="1:10" s="41" customFormat="1" ht="20.100000000000001" customHeight="1">
      <c r="A67" s="1009" t="s">
        <v>141</v>
      </c>
      <c r="B67" s="1009"/>
      <c r="C67" s="1009"/>
      <c r="D67" s="40"/>
      <c r="E67" s="40"/>
      <c r="F67" s="40"/>
      <c r="G67" s="40"/>
      <c r="H67" s="40"/>
      <c r="I67" s="40"/>
      <c r="J67" s="40"/>
    </row>
    <row r="68" spans="1:10" ht="19.5" customHeight="1">
      <c r="A68" s="1007" t="s">
        <v>202</v>
      </c>
      <c r="B68" s="1007"/>
      <c r="C68" s="1007"/>
    </row>
    <row r="69" spans="1:10" ht="42.75" customHeight="1" thickBot="1">
      <c r="A69" s="22" t="s">
        <v>0</v>
      </c>
      <c r="B69" s="22" t="s">
        <v>1</v>
      </c>
      <c r="C69" s="23" t="s">
        <v>203</v>
      </c>
      <c r="D69" s="23" t="s">
        <v>154</v>
      </c>
      <c r="E69" s="23" t="s">
        <v>8</v>
      </c>
      <c r="F69" s="22" t="s">
        <v>3</v>
      </c>
      <c r="G69" s="23" t="s">
        <v>204</v>
      </c>
      <c r="H69" s="23" t="s">
        <v>4</v>
      </c>
      <c r="I69" s="23" t="s">
        <v>5</v>
      </c>
      <c r="J69" s="22" t="s">
        <v>6</v>
      </c>
    </row>
    <row r="70" spans="1:10" ht="15" customHeight="1">
      <c r="A70" s="1013">
        <v>1</v>
      </c>
      <c r="B70" s="34" t="s">
        <v>109</v>
      </c>
      <c r="C70" s="28">
        <f>78259+77</f>
        <v>78336</v>
      </c>
      <c r="D70" s="28">
        <f>78336</f>
        <v>78336</v>
      </c>
      <c r="E70" s="1010">
        <f>1632+2844</f>
        <v>4476</v>
      </c>
      <c r="F70" s="1010">
        <f>1632+2844</f>
        <v>4476</v>
      </c>
      <c r="G70" s="28">
        <f>2448+2016+1728+6336+5904+7056+6768+7920+8640+12384+576+15120+1440</f>
        <v>78336</v>
      </c>
      <c r="H70" s="28">
        <f>0</f>
        <v>0</v>
      </c>
      <c r="I70" s="35">
        <f>(C70-H70)-G70</f>
        <v>0</v>
      </c>
      <c r="J70" s="25" t="s">
        <v>92</v>
      </c>
    </row>
    <row r="71" spans="1:10" ht="15" customHeight="1">
      <c r="A71" s="1014"/>
      <c r="B71" s="36" t="s">
        <v>110</v>
      </c>
      <c r="C71" s="29">
        <f>15240+600</f>
        <v>15840</v>
      </c>
      <c r="D71" s="29">
        <f>2448+10512+10512-7632</f>
        <v>15840</v>
      </c>
      <c r="E71" s="1011"/>
      <c r="F71" s="1011"/>
      <c r="G71" s="29">
        <f>7776+6624+1440</f>
        <v>15840</v>
      </c>
      <c r="H71" s="29">
        <v>0</v>
      </c>
      <c r="I71" s="35">
        <f>(C71-H71)-G71</f>
        <v>0</v>
      </c>
      <c r="J71" s="25" t="s">
        <v>23</v>
      </c>
    </row>
    <row r="72" spans="1:10" ht="15" customHeight="1">
      <c r="A72" s="1014"/>
      <c r="B72" s="36" t="s">
        <v>111</v>
      </c>
      <c r="C72" s="29">
        <f>13213+35</f>
        <v>13248</v>
      </c>
      <c r="D72" s="29">
        <f>10800+7344-4896</f>
        <v>13248</v>
      </c>
      <c r="E72" s="1012"/>
      <c r="F72" s="1012"/>
      <c r="G72" s="29">
        <f>6624+6624</f>
        <v>13248</v>
      </c>
      <c r="H72" s="29">
        <v>0</v>
      </c>
      <c r="I72" s="35">
        <f>(C72-H72)-G72</f>
        <v>0</v>
      </c>
      <c r="J72" s="36"/>
    </row>
    <row r="73" spans="1:10" ht="15" customHeight="1" thickBot="1">
      <c r="A73" s="1015"/>
      <c r="B73" s="37" t="s">
        <v>14</v>
      </c>
      <c r="C73" s="38">
        <f t="shared" ref="C73:I73" si="13">SUM(C70:C72)</f>
        <v>107424</v>
      </c>
      <c r="D73" s="38">
        <f t="shared" si="13"/>
        <v>107424</v>
      </c>
      <c r="E73" s="38">
        <f t="shared" si="13"/>
        <v>4476</v>
      </c>
      <c r="F73" s="38">
        <f t="shared" si="13"/>
        <v>4476</v>
      </c>
      <c r="G73" s="38">
        <f t="shared" si="13"/>
        <v>107424</v>
      </c>
      <c r="H73" s="38">
        <f t="shared" si="13"/>
        <v>0</v>
      </c>
      <c r="I73" s="38">
        <f t="shared" si="13"/>
        <v>0</v>
      </c>
      <c r="J73" s="36"/>
    </row>
    <row r="74" spans="1:10" ht="15" customHeight="1">
      <c r="A74" s="1013">
        <v>2</v>
      </c>
      <c r="B74" s="34" t="s">
        <v>112</v>
      </c>
      <c r="C74" s="28">
        <f>62913+159</f>
        <v>63072</v>
      </c>
      <c r="D74" s="28">
        <f>21600+21600+19872</f>
        <v>63072</v>
      </c>
      <c r="E74" s="1010">
        <f>630+1602</f>
        <v>2232</v>
      </c>
      <c r="F74" s="1010">
        <f>630+1602</f>
        <v>2232</v>
      </c>
      <c r="G74" s="28">
        <f>3240+3240+4968+1512+7128+3456+3456+8208+12960+4536+6048+4320</f>
        <v>63072</v>
      </c>
      <c r="H74" s="28">
        <v>0</v>
      </c>
      <c r="I74" s="35">
        <f>(C74-H74)-G74</f>
        <v>0</v>
      </c>
      <c r="J74" s="25" t="s">
        <v>24</v>
      </c>
    </row>
    <row r="75" spans="1:10" ht="15" customHeight="1">
      <c r="A75" s="1014"/>
      <c r="B75" s="36" t="s">
        <v>113</v>
      </c>
      <c r="C75" s="29">
        <f>8850+654</f>
        <v>9504</v>
      </c>
      <c r="D75" s="29">
        <f>10368-1512+648</f>
        <v>9504</v>
      </c>
      <c r="E75" s="1011"/>
      <c r="F75" s="1011"/>
      <c r="G75" s="29">
        <f>4752+4752</f>
        <v>9504</v>
      </c>
      <c r="H75" s="29">
        <v>0</v>
      </c>
      <c r="I75" s="35">
        <f>(C75-H75)-G75</f>
        <v>0</v>
      </c>
      <c r="J75" s="25" t="s">
        <v>23</v>
      </c>
    </row>
    <row r="76" spans="1:10" ht="15" customHeight="1">
      <c r="A76" s="1014"/>
      <c r="B76" s="36" t="s">
        <v>114</v>
      </c>
      <c r="C76" s="29">
        <f>7770+6</f>
        <v>7776</v>
      </c>
      <c r="D76" s="29">
        <f>1944+12312-6480</f>
        <v>7776</v>
      </c>
      <c r="E76" s="1012"/>
      <c r="F76" s="1012"/>
      <c r="G76" s="29">
        <f>4752+3024</f>
        <v>7776</v>
      </c>
      <c r="H76" s="29">
        <v>0</v>
      </c>
      <c r="I76" s="35">
        <f>(C76-H76)-G76</f>
        <v>0</v>
      </c>
      <c r="J76" s="36"/>
    </row>
    <row r="77" spans="1:10" ht="15" customHeight="1" thickBot="1">
      <c r="A77" s="1015"/>
      <c r="B77" s="37" t="s">
        <v>14</v>
      </c>
      <c r="C77" s="38">
        <f t="shared" ref="C77:I77" si="14">SUM(C74:C76)</f>
        <v>80352</v>
      </c>
      <c r="D77" s="38">
        <f>SUM(D74:D76)</f>
        <v>80352</v>
      </c>
      <c r="E77" s="38">
        <f>SUM(E74:E76)</f>
        <v>2232</v>
      </c>
      <c r="F77" s="38">
        <f>SUM(F74:F76)</f>
        <v>2232</v>
      </c>
      <c r="G77" s="38">
        <f>SUM(G74:G76)</f>
        <v>80352</v>
      </c>
      <c r="H77" s="38">
        <f t="shared" si="14"/>
        <v>0</v>
      </c>
      <c r="I77" s="38">
        <f t="shared" si="14"/>
        <v>0</v>
      </c>
      <c r="J77" s="36"/>
    </row>
    <row r="78" spans="1:10" ht="15" customHeight="1">
      <c r="A78" s="1000">
        <v>3</v>
      </c>
      <c r="B78" s="9" t="s">
        <v>105</v>
      </c>
      <c r="C78" s="10">
        <f>98338+62</f>
        <v>98400</v>
      </c>
      <c r="D78" s="10">
        <f>98400</f>
        <v>98400</v>
      </c>
      <c r="E78" s="1003">
        <f>3270+3522</f>
        <v>6792</v>
      </c>
      <c r="F78" s="1003">
        <f>3270+3522</f>
        <v>6792</v>
      </c>
      <c r="G78" s="10">
        <f>2160+3480+3360+4320+8400+11880+10200+7200+11280+8400+12960+10440+4320</f>
        <v>98400</v>
      </c>
      <c r="H78" s="10">
        <v>0</v>
      </c>
      <c r="I78" s="5">
        <f>(C78-H78)-G78</f>
        <v>0</v>
      </c>
      <c r="J78" s="2" t="s">
        <v>108</v>
      </c>
    </row>
    <row r="79" spans="1:10" ht="15" customHeight="1">
      <c r="A79" s="1001"/>
      <c r="B79" s="4" t="s">
        <v>106</v>
      </c>
      <c r="C79" s="3">
        <f>18864+3096</f>
        <v>21960</v>
      </c>
      <c r="D79" s="3">
        <f>24000+25080-30120+3000</f>
        <v>21960</v>
      </c>
      <c r="E79" s="1004"/>
      <c r="F79" s="1004"/>
      <c r="G79" s="3">
        <f>10920+10920+120</f>
        <v>21960</v>
      </c>
      <c r="H79" s="3">
        <v>0</v>
      </c>
      <c r="I79" s="5">
        <f>(C79-H79)-G79</f>
        <v>0</v>
      </c>
      <c r="J79" s="2" t="s">
        <v>23</v>
      </c>
    </row>
    <row r="80" spans="1:10" ht="15" customHeight="1">
      <c r="A80" s="1001"/>
      <c r="B80" s="4" t="s">
        <v>107</v>
      </c>
      <c r="C80" s="3">
        <f>15456+24</f>
        <v>15480</v>
      </c>
      <c r="D80" s="3">
        <f>16320-840</f>
        <v>15480</v>
      </c>
      <c r="E80" s="1005"/>
      <c r="F80" s="1005"/>
      <c r="G80" s="3">
        <f>7800+7680</f>
        <v>15480</v>
      </c>
      <c r="H80" s="3">
        <v>0</v>
      </c>
      <c r="I80" s="5">
        <f>(C80-H80)-G80</f>
        <v>0</v>
      </c>
      <c r="J80" s="4"/>
    </row>
    <row r="81" spans="1:10" ht="15" customHeight="1" thickBot="1">
      <c r="A81" s="1002"/>
      <c r="B81" s="6" t="s">
        <v>14</v>
      </c>
      <c r="C81" s="17">
        <f t="shared" ref="C81:I81" si="15">SUM(C78:C80)</f>
        <v>135840</v>
      </c>
      <c r="D81" s="17">
        <f t="shared" si="15"/>
        <v>135840</v>
      </c>
      <c r="E81" s="17">
        <f t="shared" si="15"/>
        <v>6792</v>
      </c>
      <c r="F81" s="17">
        <f t="shared" si="15"/>
        <v>6792</v>
      </c>
      <c r="G81" s="17">
        <f t="shared" si="15"/>
        <v>135840</v>
      </c>
      <c r="H81" s="17">
        <f t="shared" si="15"/>
        <v>0</v>
      </c>
      <c r="I81" s="17">
        <f t="shared" si="15"/>
        <v>0</v>
      </c>
      <c r="J81" s="4"/>
    </row>
    <row r="82" spans="1:10" ht="15" customHeight="1">
      <c r="A82" s="1000">
        <v>4</v>
      </c>
      <c r="B82" s="9" t="s">
        <v>132</v>
      </c>
      <c r="C82" s="10">
        <f>123437+19-12</f>
        <v>123444</v>
      </c>
      <c r="D82" s="10">
        <f>123456-12</f>
        <v>123444</v>
      </c>
      <c r="E82" s="1003">
        <f>12534+17794</f>
        <v>30328</v>
      </c>
      <c r="F82" s="1003">
        <f>12534+17794</f>
        <v>30328</v>
      </c>
      <c r="G82" s="10">
        <f>4896+5148+2808+6768+9576+24264+13536+12456+9540+12672+8892+12240+648</f>
        <v>123444</v>
      </c>
      <c r="H82" s="10">
        <v>0</v>
      </c>
      <c r="I82" s="5">
        <f>(C82-H82)-G82</f>
        <v>0</v>
      </c>
      <c r="J82" s="2" t="s">
        <v>52</v>
      </c>
    </row>
    <row r="83" spans="1:10" ht="15" customHeight="1">
      <c r="A83" s="1001"/>
      <c r="B83" s="4" t="s">
        <v>133</v>
      </c>
      <c r="C83" s="3">
        <f>25824+3120</f>
        <v>28944</v>
      </c>
      <c r="D83" s="3">
        <f>16020+16020+21600-27816+3120</f>
        <v>28944</v>
      </c>
      <c r="E83" s="1004"/>
      <c r="F83" s="1004"/>
      <c r="G83" s="3">
        <f>13680+15264</f>
        <v>28944</v>
      </c>
      <c r="H83" s="3">
        <v>0</v>
      </c>
      <c r="I83" s="5">
        <f>(C83-H83)-G83</f>
        <v>0</v>
      </c>
      <c r="J83" s="2" t="s">
        <v>23</v>
      </c>
    </row>
    <row r="84" spans="1:10" ht="15" customHeight="1">
      <c r="A84" s="1001"/>
      <c r="B84" s="4" t="s">
        <v>134</v>
      </c>
      <c r="C84" s="3">
        <f>29560+8-12</f>
        <v>29556</v>
      </c>
      <c r="D84" s="3">
        <f>10764+10800+8004-12</f>
        <v>29556</v>
      </c>
      <c r="E84" s="5" t="s">
        <v>197</v>
      </c>
      <c r="F84" s="5" t="s">
        <v>197</v>
      </c>
      <c r="G84" s="3">
        <f>1476+9504+8460+10116</f>
        <v>29556</v>
      </c>
      <c r="H84" s="3">
        <v>0</v>
      </c>
      <c r="I84" s="5">
        <f>(C84-H84)-G84</f>
        <v>0</v>
      </c>
      <c r="J84" s="4"/>
    </row>
    <row r="85" spans="1:10" ht="15" customHeight="1" thickBot="1">
      <c r="A85" s="1002"/>
      <c r="B85" s="6" t="s">
        <v>14</v>
      </c>
      <c r="C85" s="17">
        <f t="shared" ref="C85:I85" si="16">SUM(C82:C84)</f>
        <v>181944</v>
      </c>
      <c r="D85" s="17">
        <f t="shared" si="16"/>
        <v>181944</v>
      </c>
      <c r="E85" s="17">
        <f t="shared" si="16"/>
        <v>30328</v>
      </c>
      <c r="F85" s="17">
        <f t="shared" si="16"/>
        <v>30328</v>
      </c>
      <c r="G85" s="17">
        <f t="shared" si="16"/>
        <v>181944</v>
      </c>
      <c r="H85" s="17">
        <f t="shared" si="16"/>
        <v>0</v>
      </c>
      <c r="I85" s="17">
        <f t="shared" si="16"/>
        <v>0</v>
      </c>
      <c r="J85" s="4"/>
    </row>
    <row r="86" spans="1:10" ht="15" customHeight="1">
      <c r="A86" s="1000">
        <v>5</v>
      </c>
      <c r="B86" s="9" t="s">
        <v>135</v>
      </c>
      <c r="C86" s="10">
        <f>68702+34</f>
        <v>68736</v>
      </c>
      <c r="D86" s="10">
        <f>68736</f>
        <v>68736</v>
      </c>
      <c r="E86" s="1003">
        <f>13224+60</f>
        <v>13284</v>
      </c>
      <c r="F86" s="1003">
        <f>13224+60</f>
        <v>13284</v>
      </c>
      <c r="G86" s="10">
        <f>2256+7152+15072+6528+6432+9408+5424+3744+6192+6528</f>
        <v>68736</v>
      </c>
      <c r="H86" s="10">
        <v>0</v>
      </c>
      <c r="I86" s="5">
        <f>(C86-H86)-G86</f>
        <v>0</v>
      </c>
      <c r="J86" s="2" t="s">
        <v>103</v>
      </c>
    </row>
    <row r="87" spans="1:10" ht="15" customHeight="1">
      <c r="A87" s="1001"/>
      <c r="B87" s="4" t="s">
        <v>136</v>
      </c>
      <c r="C87" s="3">
        <f>10400+448+480</f>
        <v>11328</v>
      </c>
      <c r="D87" s="3">
        <f>11900-1484+432+480</f>
        <v>11328</v>
      </c>
      <c r="E87" s="1004"/>
      <c r="F87" s="1004"/>
      <c r="G87" s="3">
        <f>5616+5712</f>
        <v>11328</v>
      </c>
      <c r="H87" s="3">
        <v>0</v>
      </c>
      <c r="I87" s="5">
        <f>(C87-H87)-G87</f>
        <v>0</v>
      </c>
      <c r="J87" s="2" t="s">
        <v>23</v>
      </c>
    </row>
    <row r="88" spans="1:10" ht="15" customHeight="1">
      <c r="A88" s="1001"/>
      <c r="B88" s="4" t="s">
        <v>137</v>
      </c>
      <c r="C88" s="3">
        <f>26198+10</f>
        <v>26208</v>
      </c>
      <c r="D88" s="3">
        <f>11100+11100+4008</f>
        <v>26208</v>
      </c>
      <c r="E88" s="1005"/>
      <c r="F88" s="1005"/>
      <c r="G88" s="3">
        <f>2208+6000+96+13008+4896</f>
        <v>26208</v>
      </c>
      <c r="H88" s="3">
        <v>0</v>
      </c>
      <c r="I88" s="5">
        <f>(C88-H88)-G88</f>
        <v>0</v>
      </c>
      <c r="J88" s="4"/>
    </row>
    <row r="89" spans="1:10" ht="15" customHeight="1" thickBot="1">
      <c r="A89" s="1002"/>
      <c r="B89" s="6" t="s">
        <v>14</v>
      </c>
      <c r="C89" s="17">
        <f t="shared" ref="C89:I89" si="17">SUM(C86:C88)</f>
        <v>106272</v>
      </c>
      <c r="D89" s="17">
        <f t="shared" si="17"/>
        <v>106272</v>
      </c>
      <c r="E89" s="17">
        <f t="shared" si="17"/>
        <v>13284</v>
      </c>
      <c r="F89" s="17">
        <f t="shared" si="17"/>
        <v>13284</v>
      </c>
      <c r="G89" s="17">
        <f t="shared" si="17"/>
        <v>106272</v>
      </c>
      <c r="H89" s="17">
        <f t="shared" si="17"/>
        <v>0</v>
      </c>
      <c r="I89" s="17">
        <f t="shared" si="17"/>
        <v>0</v>
      </c>
      <c r="J89" s="4"/>
    </row>
    <row r="90" spans="1:10" ht="15" customHeight="1">
      <c r="A90" s="1000">
        <v>6</v>
      </c>
      <c r="B90" s="9" t="s">
        <v>138</v>
      </c>
      <c r="C90" s="10">
        <f>110351+25+2052</f>
        <v>112428</v>
      </c>
      <c r="D90" s="10">
        <f>110376+2052</f>
        <v>112428</v>
      </c>
      <c r="E90" s="1003">
        <f>25668+342</f>
        <v>26010</v>
      </c>
      <c r="F90" s="1003">
        <f>25668+342</f>
        <v>26010</v>
      </c>
      <c r="G90" s="10">
        <f>1800+3744+6228+2196+10728+14220+14904+8532+9216+14040+11520+6804+8496</f>
        <v>112428</v>
      </c>
      <c r="H90" s="10">
        <v>0</v>
      </c>
      <c r="I90" s="5">
        <f>(C90-H90)-G90</f>
        <v>0</v>
      </c>
      <c r="J90" s="2" t="s">
        <v>52</v>
      </c>
    </row>
    <row r="91" spans="1:10" ht="15" customHeight="1">
      <c r="A91" s="1001"/>
      <c r="B91" s="4" t="s">
        <v>139</v>
      </c>
      <c r="C91" s="3">
        <f>14468+472</f>
        <v>14940</v>
      </c>
      <c r="D91" s="3">
        <f>18700+18700-22928+468</f>
        <v>14940</v>
      </c>
      <c r="E91" s="1004"/>
      <c r="F91" s="1004"/>
      <c r="G91" s="3">
        <f>7596+7092+252</f>
        <v>14940</v>
      </c>
      <c r="H91" s="3">
        <v>0</v>
      </c>
      <c r="I91" s="5">
        <f>(C91-H91)-G91</f>
        <v>0</v>
      </c>
      <c r="J91" s="2" t="s">
        <v>23</v>
      </c>
    </row>
    <row r="92" spans="1:10" ht="15" customHeight="1">
      <c r="A92" s="1001"/>
      <c r="B92" s="4" t="s">
        <v>140</v>
      </c>
      <c r="C92" s="3">
        <f>28676+16</f>
        <v>28692</v>
      </c>
      <c r="D92" s="3">
        <f>14300+14300+92</f>
        <v>28692</v>
      </c>
      <c r="E92" s="1005"/>
      <c r="F92" s="1005"/>
      <c r="G92" s="3">
        <f>3060+8964+16560+108</f>
        <v>28692</v>
      </c>
      <c r="H92" s="3">
        <v>0</v>
      </c>
      <c r="I92" s="5">
        <f>(C92-H92)-G92</f>
        <v>0</v>
      </c>
      <c r="J92" s="4"/>
    </row>
    <row r="93" spans="1:10" ht="15" customHeight="1" thickBot="1">
      <c r="A93" s="1002"/>
      <c r="B93" s="6" t="s">
        <v>14</v>
      </c>
      <c r="C93" s="17">
        <f t="shared" ref="C93:I93" si="18">SUM(C90:C92)</f>
        <v>156060</v>
      </c>
      <c r="D93" s="17">
        <f t="shared" si="18"/>
        <v>156060</v>
      </c>
      <c r="E93" s="17">
        <f t="shared" si="18"/>
        <v>26010</v>
      </c>
      <c r="F93" s="17">
        <f t="shared" si="18"/>
        <v>26010</v>
      </c>
      <c r="G93" s="17">
        <f t="shared" si="18"/>
        <v>156060</v>
      </c>
      <c r="H93" s="17">
        <f t="shared" si="18"/>
        <v>0</v>
      </c>
      <c r="I93" s="17">
        <f t="shared" si="18"/>
        <v>0</v>
      </c>
      <c r="J93" s="8"/>
    </row>
    <row r="94" spans="1:10" ht="15" hidden="1" customHeight="1">
      <c r="A94" s="13"/>
      <c r="B94" s="4"/>
      <c r="C94" s="5"/>
      <c r="D94" s="5"/>
      <c r="E94" s="14"/>
      <c r="F94" s="14"/>
      <c r="G94" s="5"/>
      <c r="H94" s="5"/>
      <c r="I94" s="5"/>
      <c r="J94" s="4"/>
    </row>
    <row r="95" spans="1:10" ht="15" hidden="1" customHeight="1">
      <c r="A95" s="13"/>
      <c r="B95" s="4"/>
      <c r="C95" s="5"/>
      <c r="D95" s="5"/>
      <c r="E95" s="14"/>
      <c r="F95" s="14"/>
      <c r="G95" s="5"/>
      <c r="H95" s="5"/>
      <c r="I95" s="5"/>
      <c r="J95" s="2"/>
    </row>
    <row r="96" spans="1:10" ht="15" hidden="1" customHeight="1">
      <c r="A96" s="13"/>
      <c r="B96" s="4"/>
      <c r="C96" s="5"/>
      <c r="D96" s="5"/>
      <c r="E96" s="14"/>
      <c r="F96" s="14"/>
      <c r="G96" s="5"/>
      <c r="H96" s="5"/>
      <c r="I96" s="5"/>
      <c r="J96" s="2"/>
    </row>
    <row r="97" spans="1:10" ht="15" hidden="1" customHeight="1">
      <c r="A97" s="13"/>
      <c r="B97" s="4"/>
      <c r="C97" s="5"/>
      <c r="D97" s="5"/>
      <c r="E97" s="14"/>
      <c r="F97" s="14"/>
      <c r="G97" s="5"/>
      <c r="H97" s="5"/>
      <c r="I97" s="5"/>
      <c r="J97" s="2"/>
    </row>
    <row r="98" spans="1:10" ht="15" hidden="1" customHeight="1">
      <c r="A98" s="13"/>
      <c r="B98" s="4"/>
      <c r="C98" s="5"/>
      <c r="D98" s="5"/>
      <c r="E98" s="14"/>
      <c r="F98" s="14"/>
      <c r="G98" s="5"/>
      <c r="H98" s="5"/>
      <c r="I98" s="5"/>
      <c r="J98" s="2"/>
    </row>
    <row r="99" spans="1:10" ht="15" hidden="1" customHeight="1">
      <c r="A99" s="13"/>
      <c r="B99" s="4"/>
      <c r="C99" s="5"/>
      <c r="D99" s="5"/>
      <c r="E99" s="14"/>
      <c r="F99" s="14"/>
      <c r="G99" s="5"/>
      <c r="H99" s="5"/>
      <c r="I99" s="5"/>
      <c r="J99" s="2"/>
    </row>
    <row r="100" spans="1:10" ht="15" hidden="1" customHeight="1">
      <c r="A100" s="13"/>
      <c r="B100" s="4"/>
      <c r="C100" s="5"/>
      <c r="D100" s="5"/>
      <c r="E100" s="14"/>
      <c r="F100" s="14"/>
      <c r="G100" s="5"/>
      <c r="H100" s="5"/>
      <c r="I100" s="5"/>
      <c r="J100" s="2"/>
    </row>
    <row r="101" spans="1:10" ht="15" hidden="1" customHeight="1">
      <c r="A101" s="13"/>
      <c r="B101" s="4"/>
      <c r="C101" s="5"/>
      <c r="D101" s="5"/>
      <c r="E101" s="14"/>
      <c r="F101" s="14"/>
      <c r="G101" s="5"/>
      <c r="H101" s="5"/>
      <c r="I101" s="5"/>
      <c r="J101" s="2"/>
    </row>
    <row r="102" spans="1:10" ht="15" hidden="1" customHeight="1">
      <c r="A102" s="13"/>
      <c r="B102" s="4"/>
      <c r="C102" s="5"/>
      <c r="D102" s="5"/>
      <c r="E102" s="14"/>
      <c r="F102" s="14"/>
      <c r="G102" s="5"/>
      <c r="H102" s="5"/>
      <c r="I102" s="5"/>
      <c r="J102" s="2"/>
    </row>
    <row r="103" spans="1:10" ht="15" hidden="1" customHeight="1">
      <c r="A103" s="13"/>
      <c r="B103" s="4"/>
      <c r="C103" s="5"/>
      <c r="D103" s="5"/>
      <c r="E103" s="14"/>
      <c r="F103" s="14"/>
      <c r="G103" s="5"/>
      <c r="H103" s="5"/>
      <c r="I103" s="5"/>
      <c r="J103" s="2"/>
    </row>
    <row r="104" spans="1:10" ht="15" hidden="1" customHeight="1">
      <c r="A104" s="13"/>
      <c r="B104" s="4"/>
      <c r="C104" s="5"/>
      <c r="D104" s="5"/>
      <c r="E104" s="14"/>
      <c r="F104" s="14"/>
      <c r="G104" s="5"/>
      <c r="H104" s="5"/>
      <c r="I104" s="5"/>
      <c r="J104" s="2"/>
    </row>
    <row r="105" spans="1:10" ht="15" hidden="1" customHeight="1">
      <c r="A105" s="13"/>
      <c r="B105" s="4"/>
      <c r="C105" s="5"/>
      <c r="D105" s="5"/>
      <c r="E105" s="14"/>
      <c r="F105" s="14"/>
      <c r="G105" s="5"/>
      <c r="H105" s="5"/>
      <c r="I105" s="5"/>
      <c r="J105" s="2"/>
    </row>
    <row r="106" spans="1:10" ht="15" hidden="1" customHeight="1">
      <c r="A106" s="13"/>
      <c r="B106" s="4"/>
      <c r="C106" s="3"/>
      <c r="D106" s="3"/>
      <c r="E106" s="14"/>
      <c r="F106" s="14"/>
      <c r="G106" s="3"/>
      <c r="H106" s="3"/>
      <c r="I106" s="5"/>
      <c r="J106" s="2"/>
    </row>
    <row r="107" spans="1:10" ht="15" hidden="1" customHeight="1">
      <c r="A107" s="13"/>
      <c r="B107" s="4"/>
      <c r="C107" s="3"/>
      <c r="D107" s="3"/>
      <c r="E107" s="14"/>
      <c r="F107" s="14"/>
      <c r="G107" s="3"/>
      <c r="H107" s="3"/>
      <c r="I107" s="5"/>
      <c r="J107" s="4"/>
    </row>
    <row r="108" spans="1:10" ht="15" hidden="1" customHeight="1">
      <c r="A108" s="13"/>
      <c r="B108" s="4"/>
      <c r="C108" s="15"/>
      <c r="D108" s="15"/>
      <c r="E108" s="5"/>
      <c r="F108" s="5"/>
      <c r="G108" s="15"/>
      <c r="H108" s="15"/>
      <c r="I108" s="5"/>
      <c r="J108" s="4"/>
    </row>
    <row r="109" spans="1:10" ht="15" hidden="1" customHeight="1" thickBot="1">
      <c r="A109" s="16"/>
      <c r="B109" s="6"/>
      <c r="C109" s="17"/>
      <c r="D109" s="17"/>
      <c r="E109" s="17"/>
      <c r="F109" s="17"/>
      <c r="G109" s="17"/>
      <c r="H109" s="17"/>
      <c r="I109" s="17"/>
      <c r="J109" s="8"/>
    </row>
    <row r="110" spans="1:10" ht="15" customHeight="1"/>
    <row r="111" spans="1:10" ht="15" customHeight="1"/>
    <row r="112" spans="1:10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</sheetData>
  <mergeCells count="58">
    <mergeCell ref="F22:F24"/>
    <mergeCell ref="E22:E24"/>
    <mergeCell ref="E34:E36"/>
    <mergeCell ref="F26:F28"/>
    <mergeCell ref="E26:E28"/>
    <mergeCell ref="F30:F32"/>
    <mergeCell ref="E30:E32"/>
    <mergeCell ref="F4:F12"/>
    <mergeCell ref="E4:E12"/>
    <mergeCell ref="F14:F16"/>
    <mergeCell ref="E14:E16"/>
    <mergeCell ref="F18:F20"/>
    <mergeCell ref="E18:E20"/>
    <mergeCell ref="A26:A29"/>
    <mergeCell ref="A30:A33"/>
    <mergeCell ref="A34:A37"/>
    <mergeCell ref="A14:A17"/>
    <mergeCell ref="A18:A21"/>
    <mergeCell ref="A1:C1"/>
    <mergeCell ref="A2:C2"/>
    <mergeCell ref="A22:A25"/>
    <mergeCell ref="A4:A8"/>
    <mergeCell ref="A9:A13"/>
    <mergeCell ref="A47:A50"/>
    <mergeCell ref="A51:A55"/>
    <mergeCell ref="A38:A42"/>
    <mergeCell ref="A43:A46"/>
    <mergeCell ref="F47:F49"/>
    <mergeCell ref="E47:E49"/>
    <mergeCell ref="F51:F54"/>
    <mergeCell ref="E51:E54"/>
    <mergeCell ref="F43:F45"/>
    <mergeCell ref="E43:E45"/>
    <mergeCell ref="E38:E41"/>
    <mergeCell ref="A61:A65"/>
    <mergeCell ref="A70:A73"/>
    <mergeCell ref="E70:E72"/>
    <mergeCell ref="A56:A60"/>
    <mergeCell ref="F56:F64"/>
    <mergeCell ref="E56:E64"/>
    <mergeCell ref="A90:A93"/>
    <mergeCell ref="A82:A85"/>
    <mergeCell ref="A86:A89"/>
    <mergeCell ref="A68:C68"/>
    <mergeCell ref="A67:C67"/>
    <mergeCell ref="A78:A81"/>
    <mergeCell ref="A74:A77"/>
    <mergeCell ref="F90:F92"/>
    <mergeCell ref="E90:E92"/>
    <mergeCell ref="F86:F88"/>
    <mergeCell ref="E86:E88"/>
    <mergeCell ref="F70:F72"/>
    <mergeCell ref="F82:F83"/>
    <mergeCell ref="F78:F80"/>
    <mergeCell ref="F74:F76"/>
    <mergeCell ref="E82:E83"/>
    <mergeCell ref="E78:E80"/>
    <mergeCell ref="E74:E76"/>
  </mergeCells>
  <pageMargins left="0.5" right="0.28000000000000003" top="0.75" bottom="0.2" header="0.3" footer="0.2"/>
  <pageSetup paperSize="9" orientation="landscape" r:id="rId1"/>
  <headerFooter>
    <oddHeader>&amp;R&amp;D</oddHeader>
    <oddFooter>Page &amp;P of &amp;N</oddFooter>
  </headerFooter>
  <rowBreaks count="2" manualBreakCount="2">
    <brk id="33" max="16383" man="1"/>
    <brk id="66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workbookViewId="0">
      <selection activeCell="D39" sqref="D39"/>
    </sheetView>
  </sheetViews>
  <sheetFormatPr defaultRowHeight="15"/>
  <cols>
    <col min="1" max="2" width="13.7109375" customWidth="1"/>
    <col min="3" max="9" width="9.28515625" customWidth="1"/>
    <col min="10" max="10" width="10.7109375" customWidth="1"/>
    <col min="11" max="12" width="12.7109375" customWidth="1"/>
  </cols>
  <sheetData>
    <row r="1" spans="1:12" s="1" customFormat="1" ht="20.100000000000001" customHeight="1">
      <c r="A1" s="1009" t="s">
        <v>156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</row>
    <row r="2" spans="1:12" s="1" customFormat="1" ht="19.5" customHeight="1">
      <c r="A2" s="1007" t="s">
        <v>200</v>
      </c>
      <c r="B2" s="1007"/>
      <c r="C2" s="1007"/>
    </row>
    <row r="3" spans="1:12" ht="20.100000000000001" customHeight="1">
      <c r="A3" s="1008" t="s">
        <v>142</v>
      </c>
      <c r="B3" s="44" t="s">
        <v>152</v>
      </c>
      <c r="C3" s="1008" t="s">
        <v>143</v>
      </c>
      <c r="D3" s="1008"/>
      <c r="E3" s="1008"/>
      <c r="F3" s="1008"/>
      <c r="G3" s="1008"/>
      <c r="H3" s="1008"/>
      <c r="I3" s="1008"/>
      <c r="J3" s="1008"/>
      <c r="K3" s="1008" t="s">
        <v>151</v>
      </c>
      <c r="L3" s="1008" t="s">
        <v>6</v>
      </c>
    </row>
    <row r="4" spans="1:12" ht="20.100000000000001" customHeight="1">
      <c r="A4" s="1008"/>
      <c r="B4" s="45" t="s">
        <v>153</v>
      </c>
      <c r="C4" s="43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14</v>
      </c>
      <c r="K4" s="1008"/>
      <c r="L4" s="1008"/>
    </row>
    <row r="5" spans="1:12" ht="3" customHeight="1"/>
    <row r="6" spans="1:12" ht="18" customHeight="1">
      <c r="A6" s="46">
        <v>82720</v>
      </c>
      <c r="B6" s="46">
        <f>5000+13066+64654</f>
        <v>82720</v>
      </c>
      <c r="C6" s="46">
        <f>308+500+590+390+35+700+365+265+1200+647</f>
        <v>5000</v>
      </c>
      <c r="D6" s="46"/>
      <c r="E6" s="46">
        <f>937+450+540+87+413+220+780+300+300+900+500+1200+500+500</f>
        <v>7627</v>
      </c>
      <c r="F6" s="46">
        <f>300+282+283+150+175+500+500+329+440+860+1200+260+500+625+435+500+290+825+370+220+490+150+462+500+870+330+270+688+346+1285+130</f>
        <v>14565</v>
      </c>
      <c r="G6" s="46">
        <f>150+85+445+894+400+735+465+335+890+990+982+515+1957+435+100+200+1170+1200+830+870+1000+820+750+1290+870+660+785+1185+305+155+450+690+70+430+430+580+1385+300+530+283+580+710+985+145+135+1285+1715</f>
        <v>32171</v>
      </c>
      <c r="H6" s="46">
        <f>380+1605+1400+1215+1080+280+290+895+444+1030+955+455+965+1219+277+1180+300+1020+645+280+1000+350+75+1195+100+1347+33+1500+1842</f>
        <v>23357</v>
      </c>
      <c r="I6" s="46"/>
      <c r="J6" s="46">
        <f>SUM(C6:I6)</f>
        <v>82720</v>
      </c>
      <c r="K6" s="46">
        <f>B6-J6</f>
        <v>0</v>
      </c>
      <c r="L6" s="42"/>
    </row>
    <row r="7" spans="1:12" ht="18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2"/>
    </row>
    <row r="8" spans="1:12" ht="18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2"/>
    </row>
    <row r="9" spans="1:12" ht="18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2"/>
    </row>
    <row r="10" spans="1:12" ht="18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2"/>
    </row>
    <row r="11" spans="1:12" ht="18" hidden="1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2"/>
    </row>
    <row r="12" spans="1:12" ht="18" hidden="1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2"/>
    </row>
    <row r="13" spans="1:12" ht="18" hidden="1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2"/>
    </row>
    <row r="14" spans="1:12" ht="18" hidden="1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2"/>
    </row>
    <row r="15" spans="1:12" ht="18" hidden="1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2"/>
    </row>
    <row r="16" spans="1:12" ht="18" hidden="1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2"/>
    </row>
    <row r="17" spans="1:12" ht="18" hidden="1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2"/>
    </row>
    <row r="18" spans="1:12" ht="18" hidden="1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2"/>
    </row>
    <row r="19" spans="1:12" ht="18" hidden="1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2"/>
    </row>
    <row r="20" spans="1:12" ht="18" hidden="1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2"/>
    </row>
    <row r="22" spans="1:12" s="1" customFormat="1" ht="20.100000000000001" customHeight="1">
      <c r="A22" s="1009" t="s">
        <v>157</v>
      </c>
      <c r="B22" s="1009"/>
      <c r="C22" s="1009"/>
      <c r="D22" s="1009"/>
      <c r="E22" s="1009"/>
      <c r="F22" s="1009"/>
      <c r="G22" s="1009"/>
      <c r="H22" s="1009"/>
      <c r="I22" s="1009"/>
      <c r="J22" s="1009"/>
      <c r="K22" s="1009"/>
      <c r="L22" s="1009"/>
    </row>
    <row r="23" spans="1:12" s="1" customFormat="1" ht="19.5" customHeight="1">
      <c r="A23" s="1007" t="s">
        <v>200</v>
      </c>
      <c r="B23" s="1007"/>
      <c r="C23" s="1007"/>
    </row>
    <row r="24" spans="1:12" ht="20.100000000000001" customHeight="1">
      <c r="A24" s="1008" t="s">
        <v>142</v>
      </c>
      <c r="B24" s="44" t="s">
        <v>152</v>
      </c>
      <c r="C24" s="1008" t="s">
        <v>143</v>
      </c>
      <c r="D24" s="1008"/>
      <c r="E24" s="1008"/>
      <c r="F24" s="1008"/>
      <c r="G24" s="1008"/>
      <c r="H24" s="1008"/>
      <c r="I24" s="1008"/>
      <c r="J24" s="1008"/>
      <c r="K24" s="1008" t="s">
        <v>151</v>
      </c>
      <c r="L24" s="1008" t="s">
        <v>6</v>
      </c>
    </row>
    <row r="25" spans="1:12" ht="20.100000000000001" customHeight="1">
      <c r="A25" s="1008"/>
      <c r="B25" s="45" t="s">
        <v>153</v>
      </c>
      <c r="C25" s="43" t="s">
        <v>144</v>
      </c>
      <c r="D25" s="43" t="s">
        <v>145</v>
      </c>
      <c r="E25" s="43" t="s">
        <v>146</v>
      </c>
      <c r="F25" s="43" t="s">
        <v>147</v>
      </c>
      <c r="G25" s="43" t="s">
        <v>148</v>
      </c>
      <c r="H25" s="43" t="s">
        <v>149</v>
      </c>
      <c r="I25" s="43" t="s">
        <v>150</v>
      </c>
      <c r="J25" s="43" t="s">
        <v>14</v>
      </c>
      <c r="K25" s="1008"/>
      <c r="L25" s="1008"/>
    </row>
    <row r="26" spans="1:12" ht="3" customHeight="1"/>
    <row r="27" spans="1:12" ht="18" customHeight="1">
      <c r="A27" s="46">
        <v>82720</v>
      </c>
      <c r="B27" s="46">
        <f>5000+11466+1600+64654</f>
        <v>82720</v>
      </c>
      <c r="C27" s="46">
        <f>5000+1600</f>
        <v>6600</v>
      </c>
      <c r="D27" s="46">
        <f>11466</f>
        <v>11466</v>
      </c>
      <c r="E27" s="46">
        <f>4046</f>
        <v>4046</v>
      </c>
      <c r="F27" s="46"/>
      <c r="G27" s="46">
        <f>2000+2200+3000+1800+400+4900+2200+2000+2400+200+616+1000+400+3100+2840+2000</f>
        <v>31056</v>
      </c>
      <c r="H27" s="46">
        <f>1600+400+200+1000+684+2000+1000+4000+1500+800+2500+700+1284+1716+5450+3800+516</f>
        <v>29150</v>
      </c>
      <c r="I27" s="46"/>
      <c r="J27" s="46">
        <f>SUM(C27:I27)</f>
        <v>82318</v>
      </c>
      <c r="K27" s="46">
        <f>B27-J27</f>
        <v>402</v>
      </c>
      <c r="L27" s="42"/>
    </row>
    <row r="28" spans="1:12" ht="18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2"/>
    </row>
    <row r="29" spans="1:12" ht="18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2"/>
    </row>
    <row r="30" spans="1:12" ht="18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2"/>
    </row>
    <row r="31" spans="1:12" ht="18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2"/>
    </row>
  </sheetData>
  <mergeCells count="12">
    <mergeCell ref="A22:L22"/>
    <mergeCell ref="A23:C23"/>
    <mergeCell ref="A24:A25"/>
    <mergeCell ref="C24:J24"/>
    <mergeCell ref="K24:K25"/>
    <mergeCell ref="L24:L25"/>
    <mergeCell ref="A1:L1"/>
    <mergeCell ref="A3:A4"/>
    <mergeCell ref="L3:L4"/>
    <mergeCell ref="K3:K4"/>
    <mergeCell ref="C3:J3"/>
    <mergeCell ref="A2:C2"/>
  </mergeCells>
  <printOptions horizontalCentered="1"/>
  <pageMargins left="0.5" right="0.28000000000000003" top="0.75" bottom="0.5" header="0.3" footer="0.2"/>
  <pageSetup paperSize="9" orientation="landscape" verticalDpi="0" r:id="rId1"/>
  <headerFooter>
    <oddHeader>&amp;R&amp;D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H28" sqref="H28"/>
    </sheetView>
  </sheetViews>
  <sheetFormatPr defaultRowHeight="15"/>
  <cols>
    <col min="1" max="1" width="5.7109375" customWidth="1"/>
    <col min="2" max="2" width="25.7109375" customWidth="1"/>
    <col min="3" max="3" width="13.7109375" customWidth="1"/>
    <col min="4" max="4" width="11.7109375" customWidth="1"/>
    <col min="5" max="5" width="14.7109375" customWidth="1"/>
    <col min="6" max="6" width="12.7109375" customWidth="1"/>
  </cols>
  <sheetData>
    <row r="1" spans="1:6" ht="24.95" customHeight="1">
      <c r="A1" s="1019" t="s">
        <v>185</v>
      </c>
      <c r="B1" s="1019"/>
      <c r="C1" s="1019"/>
      <c r="D1" s="1019"/>
      <c r="E1" s="1019"/>
      <c r="F1" s="1019"/>
    </row>
    <row r="2" spans="1:6" ht="20.100000000000001" customHeight="1">
      <c r="A2" s="1008" t="s">
        <v>160</v>
      </c>
      <c r="B2" s="1008" t="s">
        <v>161</v>
      </c>
      <c r="C2" s="1008" t="s">
        <v>162</v>
      </c>
      <c r="D2" s="1008" t="s">
        <v>163</v>
      </c>
      <c r="E2" s="1008" t="s">
        <v>164</v>
      </c>
      <c r="F2" s="1008" t="s">
        <v>6</v>
      </c>
    </row>
    <row r="3" spans="1:6" ht="20.100000000000001" customHeight="1">
      <c r="A3" s="1008"/>
      <c r="B3" s="1008"/>
      <c r="C3" s="1008"/>
      <c r="D3" s="1008"/>
      <c r="E3" s="1008"/>
      <c r="F3" s="1008"/>
    </row>
    <row r="4" spans="1:6" ht="3" customHeight="1"/>
    <row r="5" spans="1:6" ht="20.100000000000001" customHeight="1">
      <c r="A5" s="48" t="s">
        <v>165</v>
      </c>
      <c r="B5" s="59" t="s">
        <v>167</v>
      </c>
      <c r="C5" s="47" t="s">
        <v>169</v>
      </c>
      <c r="D5" s="46">
        <v>7536</v>
      </c>
      <c r="E5" s="47"/>
      <c r="F5" s="42"/>
    </row>
    <row r="6" spans="1:6" ht="20.100000000000001" customHeight="1">
      <c r="A6" s="48" t="s">
        <v>166</v>
      </c>
      <c r="B6" s="59" t="s">
        <v>167</v>
      </c>
      <c r="C6" s="47" t="s">
        <v>168</v>
      </c>
      <c r="D6" s="46">
        <v>2240</v>
      </c>
      <c r="E6" s="47">
        <v>110430</v>
      </c>
      <c r="F6" s="42"/>
    </row>
    <row r="7" spans="1:6" ht="20.100000000000001" customHeight="1">
      <c r="A7" s="48" t="s">
        <v>170</v>
      </c>
      <c r="B7" s="59" t="s">
        <v>167</v>
      </c>
      <c r="C7" s="47" t="s">
        <v>176</v>
      </c>
      <c r="D7" s="46">
        <v>2528</v>
      </c>
      <c r="E7" s="47" t="s">
        <v>181</v>
      </c>
      <c r="F7" s="42"/>
    </row>
    <row r="8" spans="1:6" ht="20.100000000000001" customHeight="1">
      <c r="A8" s="48" t="s">
        <v>171</v>
      </c>
      <c r="B8" s="59" t="s">
        <v>167</v>
      </c>
      <c r="C8" s="47" t="s">
        <v>176</v>
      </c>
      <c r="D8" s="46">
        <v>176</v>
      </c>
      <c r="E8" s="47" t="s">
        <v>182</v>
      </c>
      <c r="F8" s="42"/>
    </row>
    <row r="9" spans="1:6" ht="20.100000000000001" customHeight="1">
      <c r="A9" s="48" t="s">
        <v>172</v>
      </c>
      <c r="B9" s="59" t="s">
        <v>167</v>
      </c>
      <c r="C9" s="47" t="s">
        <v>177</v>
      </c>
      <c r="D9" s="46">
        <v>2240</v>
      </c>
      <c r="E9" s="47">
        <v>110824</v>
      </c>
      <c r="F9" s="42"/>
    </row>
    <row r="10" spans="1:6" ht="20.100000000000001" customHeight="1">
      <c r="A10" s="48" t="s">
        <v>173</v>
      </c>
      <c r="B10" s="59" t="s">
        <v>167</v>
      </c>
      <c r="C10" s="47" t="s">
        <v>178</v>
      </c>
      <c r="D10" s="46">
        <v>1600</v>
      </c>
      <c r="E10" s="47" t="s">
        <v>183</v>
      </c>
      <c r="F10" s="42"/>
    </row>
    <row r="11" spans="1:6" ht="20.100000000000001" customHeight="1">
      <c r="A11" s="48" t="s">
        <v>174</v>
      </c>
      <c r="B11" s="59" t="s">
        <v>167</v>
      </c>
      <c r="C11" s="47" t="s">
        <v>179</v>
      </c>
      <c r="D11" s="46">
        <v>1620</v>
      </c>
      <c r="E11" s="47">
        <v>111111</v>
      </c>
      <c r="F11" s="42"/>
    </row>
    <row r="12" spans="1:6" ht="20.100000000000001" customHeight="1">
      <c r="A12" s="48" t="s">
        <v>175</v>
      </c>
      <c r="B12" s="59" t="s">
        <v>167</v>
      </c>
      <c r="C12" s="47" t="s">
        <v>180</v>
      </c>
      <c r="D12" s="46">
        <v>1440</v>
      </c>
      <c r="E12" s="47">
        <v>120103</v>
      </c>
      <c r="F12" s="42"/>
    </row>
    <row r="13" spans="1:6" ht="20.100000000000001" customHeight="1" thickBot="1">
      <c r="A13" s="49"/>
      <c r="B13" s="50"/>
      <c r="C13" s="51"/>
      <c r="D13" s="52"/>
      <c r="E13" s="51"/>
      <c r="F13" s="50"/>
    </row>
    <row r="14" spans="1:6" ht="20.100000000000001" customHeight="1" thickBot="1">
      <c r="A14" s="1016" t="s">
        <v>184</v>
      </c>
      <c r="B14" s="1017"/>
      <c r="C14" s="1018"/>
      <c r="D14" s="58">
        <f>SUM(D5:D13)</f>
        <v>19380</v>
      </c>
      <c r="E14" s="56"/>
      <c r="F14" s="57"/>
    </row>
    <row r="15" spans="1:6" ht="20.100000000000001" hidden="1" customHeight="1">
      <c r="A15" s="53"/>
      <c r="B15" s="54"/>
      <c r="C15" s="53"/>
      <c r="D15" s="55"/>
      <c r="E15" s="53"/>
      <c r="F15" s="54"/>
    </row>
    <row r="16" spans="1:6" ht="20.100000000000001" hidden="1" customHeight="1">
      <c r="A16" s="47"/>
      <c r="B16" s="42"/>
      <c r="C16" s="47"/>
      <c r="D16" s="46"/>
      <c r="E16" s="47"/>
      <c r="F16" s="42"/>
    </row>
    <row r="17" spans="1:6" ht="20.100000000000001" hidden="1" customHeight="1">
      <c r="A17" s="47"/>
      <c r="B17" s="42"/>
      <c r="C17" s="47"/>
      <c r="D17" s="46"/>
      <c r="E17" s="47"/>
      <c r="F17" s="42"/>
    </row>
    <row r="18" spans="1:6" ht="20.100000000000001" hidden="1" customHeight="1">
      <c r="A18" s="47"/>
      <c r="B18" s="42"/>
      <c r="C18" s="47"/>
      <c r="D18" s="46"/>
      <c r="E18" s="47"/>
      <c r="F18" s="42"/>
    </row>
    <row r="21" spans="1:6" ht="24.95" customHeight="1">
      <c r="A21" s="1019" t="s">
        <v>186</v>
      </c>
      <c r="B21" s="1019"/>
      <c r="C21" s="1019"/>
      <c r="D21" s="1019"/>
      <c r="E21" s="1019"/>
      <c r="F21" s="1019"/>
    </row>
    <row r="22" spans="1:6" ht="20.100000000000001" customHeight="1">
      <c r="A22" s="1008" t="s">
        <v>160</v>
      </c>
      <c r="B22" s="1008" t="s">
        <v>161</v>
      </c>
      <c r="C22" s="1008" t="s">
        <v>162</v>
      </c>
      <c r="D22" s="1008" t="s">
        <v>163</v>
      </c>
      <c r="E22" s="1008" t="s">
        <v>164</v>
      </c>
      <c r="F22" s="1008" t="s">
        <v>6</v>
      </c>
    </row>
    <row r="23" spans="1:6" ht="20.100000000000001" customHeight="1">
      <c r="A23" s="1008"/>
      <c r="B23" s="1008"/>
      <c r="C23" s="1008"/>
      <c r="D23" s="1008"/>
      <c r="E23" s="1008"/>
      <c r="F23" s="1008"/>
    </row>
    <row r="24" spans="1:6" ht="3" customHeight="1"/>
    <row r="25" spans="1:6" ht="20.100000000000001" customHeight="1">
      <c r="A25" s="48" t="s">
        <v>165</v>
      </c>
      <c r="B25" s="59" t="s">
        <v>167</v>
      </c>
      <c r="C25" s="47" t="s">
        <v>169</v>
      </c>
      <c r="D25" s="46">
        <v>11393</v>
      </c>
      <c r="E25" s="47"/>
      <c r="F25" s="42"/>
    </row>
    <row r="26" spans="1:6" ht="20.100000000000001" customHeight="1">
      <c r="A26" s="48" t="s">
        <v>166</v>
      </c>
      <c r="B26" s="59" t="s">
        <v>167</v>
      </c>
      <c r="C26" s="47" t="s">
        <v>187</v>
      </c>
      <c r="D26" s="46">
        <v>3520</v>
      </c>
      <c r="E26" s="47">
        <v>110430</v>
      </c>
      <c r="F26" s="42"/>
    </row>
    <row r="27" spans="1:6" ht="20.100000000000001" customHeight="1">
      <c r="A27" s="48" t="s">
        <v>170</v>
      </c>
      <c r="B27" s="59" t="s">
        <v>167</v>
      </c>
      <c r="C27" s="47" t="s">
        <v>188</v>
      </c>
      <c r="D27" s="46">
        <v>2400</v>
      </c>
      <c r="E27" s="47">
        <v>110729</v>
      </c>
      <c r="F27" s="42"/>
    </row>
    <row r="28" spans="1:6" ht="20.100000000000001" customHeight="1">
      <c r="A28" s="48" t="s">
        <v>171</v>
      </c>
      <c r="B28" s="59" t="s">
        <v>167</v>
      </c>
      <c r="C28" s="47" t="s">
        <v>188</v>
      </c>
      <c r="D28" s="46">
        <v>959</v>
      </c>
      <c r="E28" s="47">
        <v>111020</v>
      </c>
      <c r="F28" s="42"/>
    </row>
    <row r="29" spans="1:6" ht="20.100000000000001" customHeight="1">
      <c r="A29" s="48" t="s">
        <v>172</v>
      </c>
      <c r="B29" s="59" t="s">
        <v>167</v>
      </c>
      <c r="C29" s="47" t="s">
        <v>189</v>
      </c>
      <c r="D29" s="46">
        <v>1920</v>
      </c>
      <c r="E29" s="47" t="s">
        <v>183</v>
      </c>
      <c r="F29" s="42"/>
    </row>
    <row r="30" spans="1:6" ht="20.100000000000001" customHeight="1">
      <c r="A30" s="48" t="s">
        <v>173</v>
      </c>
      <c r="B30" s="59" t="s">
        <v>167</v>
      </c>
      <c r="C30" s="47" t="s">
        <v>190</v>
      </c>
      <c r="D30" s="46">
        <v>2160</v>
      </c>
      <c r="E30" s="47">
        <v>111111</v>
      </c>
      <c r="F30" s="42"/>
    </row>
    <row r="31" spans="1:6" ht="20.100000000000001" customHeight="1">
      <c r="A31" s="48" t="s">
        <v>174</v>
      </c>
      <c r="B31" s="59" t="s">
        <v>167</v>
      </c>
      <c r="C31" s="47" t="s">
        <v>191</v>
      </c>
      <c r="D31" s="46">
        <v>1120</v>
      </c>
      <c r="E31" s="47">
        <v>120103</v>
      </c>
      <c r="F31" s="42"/>
    </row>
    <row r="32" spans="1:6" ht="20.100000000000001" customHeight="1">
      <c r="A32" s="48" t="s">
        <v>175</v>
      </c>
      <c r="B32" s="59" t="s">
        <v>167</v>
      </c>
      <c r="C32" s="47" t="s">
        <v>192</v>
      </c>
      <c r="D32" s="46">
        <v>112</v>
      </c>
      <c r="E32" s="47"/>
      <c r="F32" s="42"/>
    </row>
    <row r="33" spans="1:6" ht="20.100000000000001" customHeight="1" thickBot="1">
      <c r="A33" s="49"/>
      <c r="B33" s="50"/>
      <c r="C33" s="51"/>
      <c r="D33" s="52"/>
      <c r="E33" s="51"/>
      <c r="F33" s="50"/>
    </row>
    <row r="34" spans="1:6" ht="20.100000000000001" customHeight="1" thickBot="1">
      <c r="A34" s="1016" t="s">
        <v>184</v>
      </c>
      <c r="B34" s="1017"/>
      <c r="C34" s="1018"/>
      <c r="D34" s="58">
        <f>SUM(D25:D33)</f>
        <v>23584</v>
      </c>
      <c r="E34" s="56"/>
      <c r="F34" s="57"/>
    </row>
  </sheetData>
  <mergeCells count="16">
    <mergeCell ref="A34:C34"/>
    <mergeCell ref="A14:C14"/>
    <mergeCell ref="A1:F1"/>
    <mergeCell ref="A21:F21"/>
    <mergeCell ref="A22:A23"/>
    <mergeCell ref="B22:B23"/>
    <mergeCell ref="C22:C23"/>
    <mergeCell ref="D22:D23"/>
    <mergeCell ref="E22:E23"/>
    <mergeCell ref="F22:F23"/>
    <mergeCell ref="F2:F3"/>
    <mergeCell ref="E2:E3"/>
    <mergeCell ref="D2:D3"/>
    <mergeCell ref="C2:C3"/>
    <mergeCell ref="B2:B3"/>
    <mergeCell ref="A2:A3"/>
  </mergeCells>
  <pageMargins left="0.7" right="0.7" top="0.98" bottom="0.75" header="0.3" footer="0.3"/>
  <pageSetup paperSize="9" orientation="portrait" verticalDpi="0" r:id="rId1"/>
  <headerFooter>
    <oddHeader>&amp;R&amp;D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2:H105"/>
  <sheetViews>
    <sheetView view="pageBreakPreview" topLeftCell="A76" zoomScale="90" zoomScaleNormal="90" zoomScaleSheetLayoutView="90" workbookViewId="0">
      <selection activeCell="A84" sqref="A84:A88"/>
    </sheetView>
  </sheetViews>
  <sheetFormatPr defaultRowHeight="15"/>
  <cols>
    <col min="1" max="1" width="64.7109375" customWidth="1"/>
    <col min="2" max="2" width="22.5703125" customWidth="1"/>
    <col min="3" max="3" width="20" customWidth="1"/>
    <col min="4" max="4" width="38" customWidth="1"/>
    <col min="5" max="6" width="11.140625" customWidth="1"/>
    <col min="7" max="7" width="13.28515625" style="257" bestFit="1" customWidth="1"/>
  </cols>
  <sheetData>
    <row r="2" spans="1:8">
      <c r="A2" s="1042" t="s">
        <v>797</v>
      </c>
      <c r="B2" s="1042"/>
      <c r="C2" s="1042"/>
      <c r="D2" s="1042"/>
      <c r="E2" s="832"/>
      <c r="F2" s="832"/>
    </row>
    <row r="3" spans="1:8">
      <c r="A3" s="841" t="s">
        <v>796</v>
      </c>
      <c r="B3" s="841" t="s">
        <v>659</v>
      </c>
      <c r="C3" s="842" t="s">
        <v>799</v>
      </c>
      <c r="D3" s="842" t="s">
        <v>790</v>
      </c>
      <c r="E3" s="828" t="s">
        <v>836</v>
      </c>
      <c r="F3" s="828" t="s">
        <v>851</v>
      </c>
      <c r="G3" s="843" t="s">
        <v>850</v>
      </c>
    </row>
    <row r="4" spans="1:8">
      <c r="A4" s="1043" t="s">
        <v>837</v>
      </c>
      <c r="B4" s="811" t="s">
        <v>838</v>
      </c>
      <c r="C4" s="767" t="s">
        <v>801</v>
      </c>
      <c r="D4" s="844" t="s">
        <v>793</v>
      </c>
      <c r="E4" s="844"/>
      <c r="F4" s="844"/>
      <c r="G4" s="845">
        <v>1</v>
      </c>
      <c r="H4">
        <f>+G4*2</f>
        <v>2</v>
      </c>
    </row>
    <row r="5" spans="1:8">
      <c r="A5" s="1043"/>
      <c r="B5" s="811" t="s">
        <v>840</v>
      </c>
      <c r="C5" s="767" t="s">
        <v>829</v>
      </c>
      <c r="D5" s="844" t="s">
        <v>794</v>
      </c>
      <c r="E5" s="844"/>
      <c r="F5" s="844"/>
      <c r="G5" s="845">
        <v>1</v>
      </c>
      <c r="H5">
        <f t="shared" ref="H5:H7" si="0">+G5*2</f>
        <v>2</v>
      </c>
    </row>
    <row r="6" spans="1:8">
      <c r="A6" s="1043"/>
      <c r="B6" s="833" t="s">
        <v>839</v>
      </c>
      <c r="C6" s="834" t="s">
        <v>830</v>
      </c>
      <c r="D6" s="835" t="s">
        <v>795</v>
      </c>
      <c r="E6" s="835"/>
      <c r="F6" s="835"/>
      <c r="G6" s="257">
        <v>1</v>
      </c>
      <c r="H6">
        <f t="shared" si="0"/>
        <v>2</v>
      </c>
    </row>
    <row r="7" spans="1:8">
      <c r="A7" s="1043"/>
      <c r="B7" s="833" t="s">
        <v>841</v>
      </c>
      <c r="C7" s="834" t="s">
        <v>831</v>
      </c>
      <c r="D7" s="835" t="s">
        <v>833</v>
      </c>
      <c r="E7" s="835"/>
      <c r="F7" s="835"/>
      <c r="G7" s="257">
        <v>1</v>
      </c>
      <c r="H7">
        <f t="shared" si="0"/>
        <v>2</v>
      </c>
    </row>
    <row r="8" spans="1:8" s="839" customFormat="1">
      <c r="A8" s="836"/>
      <c r="B8" s="837"/>
      <c r="C8" s="838"/>
      <c r="G8" s="840"/>
    </row>
    <row r="9" spans="1:8" s="839" customFormat="1">
      <c r="A9" s="836"/>
      <c r="B9" s="837"/>
      <c r="C9" s="838"/>
      <c r="G9" s="840"/>
    </row>
    <row r="10" spans="1:8">
      <c r="A10" s="1043" t="s">
        <v>798</v>
      </c>
      <c r="B10" s="767" t="s">
        <v>842</v>
      </c>
      <c r="C10" s="767" t="s">
        <v>800</v>
      </c>
      <c r="D10" s="844" t="s">
        <v>793</v>
      </c>
      <c r="E10" s="844"/>
      <c r="F10" s="844"/>
      <c r="G10" s="846">
        <v>2</v>
      </c>
      <c r="H10">
        <f t="shared" ref="H10:H13" si="1">+G10*2</f>
        <v>4</v>
      </c>
    </row>
    <row r="11" spans="1:8">
      <c r="A11" s="1043"/>
      <c r="B11" s="834" t="s">
        <v>843</v>
      </c>
      <c r="C11" s="834" t="s">
        <v>801</v>
      </c>
      <c r="D11" s="835" t="s">
        <v>794</v>
      </c>
      <c r="E11" s="835"/>
      <c r="F11" s="835"/>
      <c r="G11" s="257">
        <v>2</v>
      </c>
      <c r="H11">
        <f t="shared" si="1"/>
        <v>4</v>
      </c>
    </row>
    <row r="12" spans="1:8">
      <c r="A12" s="1043"/>
      <c r="B12" s="834" t="s">
        <v>808</v>
      </c>
      <c r="C12" s="834" t="s">
        <v>802</v>
      </c>
      <c r="D12" s="835" t="s">
        <v>795</v>
      </c>
      <c r="E12" s="835"/>
      <c r="F12" s="835"/>
      <c r="G12" s="257">
        <v>2</v>
      </c>
      <c r="H12">
        <f t="shared" si="1"/>
        <v>4</v>
      </c>
    </row>
    <row r="13" spans="1:8">
      <c r="A13" s="1043"/>
      <c r="B13" s="834" t="s">
        <v>844</v>
      </c>
      <c r="C13" s="834" t="s">
        <v>803</v>
      </c>
      <c r="D13" s="835" t="s">
        <v>849</v>
      </c>
      <c r="E13" s="835"/>
      <c r="F13" s="835"/>
      <c r="G13" s="257">
        <v>1</v>
      </c>
      <c r="H13">
        <f t="shared" si="1"/>
        <v>2</v>
      </c>
    </row>
    <row r="14" spans="1:8" s="839" customFormat="1">
      <c r="A14" s="836"/>
      <c r="B14" s="838"/>
      <c r="C14" s="838"/>
      <c r="G14" s="840"/>
    </row>
    <row r="15" spans="1:8" s="839" customFormat="1">
      <c r="A15" s="836"/>
      <c r="B15" s="838"/>
      <c r="C15" s="838"/>
      <c r="G15" s="840"/>
    </row>
    <row r="16" spans="1:8">
      <c r="A16" s="1043" t="s">
        <v>792</v>
      </c>
      <c r="B16" s="834" t="s">
        <v>845</v>
      </c>
      <c r="C16" s="833" t="s">
        <v>802</v>
      </c>
      <c r="D16" s="835" t="s">
        <v>793</v>
      </c>
      <c r="E16" s="835"/>
      <c r="F16" s="835"/>
      <c r="G16" s="840">
        <v>2</v>
      </c>
      <c r="H16">
        <f t="shared" ref="H16:H19" si="2">+G16*2</f>
        <v>4</v>
      </c>
    </row>
    <row r="17" spans="1:8">
      <c r="A17" s="1043"/>
      <c r="B17" s="767" t="s">
        <v>847</v>
      </c>
      <c r="C17" s="811" t="s">
        <v>802</v>
      </c>
      <c r="D17" s="844" t="s">
        <v>794</v>
      </c>
      <c r="E17" s="844"/>
      <c r="F17" s="844"/>
      <c r="G17" s="845">
        <v>2</v>
      </c>
      <c r="H17">
        <f t="shared" si="2"/>
        <v>4</v>
      </c>
    </row>
    <row r="18" spans="1:8">
      <c r="A18" s="1043"/>
      <c r="B18" s="834" t="s">
        <v>846</v>
      </c>
      <c r="C18" s="833" t="s">
        <v>802</v>
      </c>
      <c r="D18" s="835" t="s">
        <v>795</v>
      </c>
      <c r="E18" s="835"/>
      <c r="F18" s="835"/>
      <c r="G18" s="257">
        <v>2</v>
      </c>
      <c r="H18">
        <f t="shared" si="2"/>
        <v>4</v>
      </c>
    </row>
    <row r="19" spans="1:8">
      <c r="A19" s="1043"/>
      <c r="B19" s="834" t="s">
        <v>848</v>
      </c>
      <c r="C19" s="834" t="s">
        <v>803</v>
      </c>
      <c r="D19" s="835" t="s">
        <v>832</v>
      </c>
      <c r="E19" s="835"/>
      <c r="F19" s="835"/>
      <c r="G19" s="257">
        <v>1</v>
      </c>
      <c r="H19">
        <f t="shared" si="2"/>
        <v>2</v>
      </c>
    </row>
    <row r="21" spans="1:8">
      <c r="A21" s="1044" t="s">
        <v>885</v>
      </c>
      <c r="B21" s="1044"/>
      <c r="C21" s="1044"/>
      <c r="D21" s="1044"/>
      <c r="E21" s="1044"/>
    </row>
    <row r="22" spans="1:8">
      <c r="A22" s="827" t="s">
        <v>796</v>
      </c>
      <c r="B22" s="827" t="s">
        <v>659</v>
      </c>
      <c r="C22" s="828" t="s">
        <v>799</v>
      </c>
      <c r="D22" s="857" t="s">
        <v>790</v>
      </c>
      <c r="E22" s="828" t="s">
        <v>836</v>
      </c>
    </row>
    <row r="23" spans="1:8" ht="20.100000000000001" customHeight="1">
      <c r="A23" s="1035" t="s">
        <v>837</v>
      </c>
      <c r="B23" s="182" t="s">
        <v>838</v>
      </c>
      <c r="C23" s="831" t="s">
        <v>801</v>
      </c>
      <c r="D23" s="847" t="s">
        <v>793</v>
      </c>
      <c r="E23" s="500">
        <v>1</v>
      </c>
    </row>
    <row r="24" spans="1:8" ht="20.100000000000001" customHeight="1">
      <c r="A24" s="1023"/>
      <c r="B24" s="890" t="s">
        <v>840</v>
      </c>
      <c r="C24" s="831" t="s">
        <v>829</v>
      </c>
      <c r="D24" s="847" t="s">
        <v>794</v>
      </c>
      <c r="E24" s="500">
        <v>1</v>
      </c>
    </row>
    <row r="25" spans="1:8" ht="20.100000000000001" customHeight="1">
      <c r="A25" s="1023"/>
      <c r="B25" s="182" t="s">
        <v>839</v>
      </c>
      <c r="C25" s="831" t="s">
        <v>830</v>
      </c>
      <c r="D25" s="847" t="s">
        <v>795</v>
      </c>
      <c r="E25" s="500">
        <v>1</v>
      </c>
    </row>
    <row r="26" spans="1:8" ht="20.100000000000001" customHeight="1" thickBot="1">
      <c r="A26" s="1024"/>
      <c r="B26" s="849" t="s">
        <v>841</v>
      </c>
      <c r="C26" s="850" t="s">
        <v>831</v>
      </c>
      <c r="D26" s="851" t="s">
        <v>833</v>
      </c>
      <c r="E26" s="852">
        <v>1</v>
      </c>
    </row>
    <row r="27" spans="1:8" ht="20.100000000000001" customHeight="1" thickTop="1">
      <c r="A27" s="1022" t="s">
        <v>798</v>
      </c>
      <c r="B27" s="853" t="s">
        <v>842</v>
      </c>
      <c r="C27" s="854" t="s">
        <v>800</v>
      </c>
      <c r="D27" s="855" t="s">
        <v>793</v>
      </c>
      <c r="E27" s="848">
        <v>2</v>
      </c>
    </row>
    <row r="28" spans="1:8" ht="20.100000000000001" customHeight="1">
      <c r="A28" s="1023"/>
      <c r="B28" s="186" t="s">
        <v>843</v>
      </c>
      <c r="C28" s="831" t="s">
        <v>801</v>
      </c>
      <c r="D28" s="847" t="s">
        <v>794</v>
      </c>
      <c r="E28" s="500">
        <v>2</v>
      </c>
    </row>
    <row r="29" spans="1:8" ht="20.100000000000001" customHeight="1">
      <c r="A29" s="1023"/>
      <c r="B29" s="186" t="s">
        <v>808</v>
      </c>
      <c r="C29" s="831" t="s">
        <v>802</v>
      </c>
      <c r="D29" s="847" t="s">
        <v>795</v>
      </c>
      <c r="E29" s="500">
        <v>2</v>
      </c>
    </row>
    <row r="30" spans="1:8" ht="20.100000000000001" customHeight="1" thickBot="1">
      <c r="A30" s="1024"/>
      <c r="B30" s="856" t="s">
        <v>844</v>
      </c>
      <c r="C30" s="850" t="s">
        <v>803</v>
      </c>
      <c r="D30" s="851" t="s">
        <v>834</v>
      </c>
      <c r="E30" s="852">
        <v>1</v>
      </c>
    </row>
    <row r="31" spans="1:8" ht="20.100000000000001" customHeight="1" thickTop="1">
      <c r="A31" s="1022" t="s">
        <v>792</v>
      </c>
      <c r="B31" s="860" t="s">
        <v>845</v>
      </c>
      <c r="C31" s="861" t="s">
        <v>802</v>
      </c>
      <c r="D31" s="862" t="s">
        <v>793</v>
      </c>
      <c r="E31" s="863">
        <v>2</v>
      </c>
    </row>
    <row r="32" spans="1:8" ht="20.100000000000001" customHeight="1">
      <c r="A32" s="1023"/>
      <c r="B32" s="186" t="s">
        <v>862</v>
      </c>
      <c r="C32" s="800" t="s">
        <v>802</v>
      </c>
      <c r="D32" s="847" t="s">
        <v>794</v>
      </c>
      <c r="E32" s="500">
        <v>2</v>
      </c>
    </row>
    <row r="33" spans="1:5" ht="20.100000000000001" customHeight="1">
      <c r="A33" s="1023"/>
      <c r="B33" s="864" t="s">
        <v>846</v>
      </c>
      <c r="C33" s="865" t="s">
        <v>802</v>
      </c>
      <c r="D33" s="866" t="s">
        <v>795</v>
      </c>
      <c r="E33" s="867">
        <v>2</v>
      </c>
    </row>
    <row r="34" spans="1:5" ht="20.100000000000001" customHeight="1" thickBot="1">
      <c r="A34" s="1024"/>
      <c r="B34" s="891" t="s">
        <v>848</v>
      </c>
      <c r="C34" s="850" t="s">
        <v>803</v>
      </c>
      <c r="D34" s="851" t="s">
        <v>832</v>
      </c>
      <c r="E34" s="852">
        <v>1</v>
      </c>
    </row>
    <row r="35" spans="1:5" ht="15.75" thickTop="1">
      <c r="E35" s="172"/>
    </row>
    <row r="36" spans="1:5">
      <c r="A36" s="892" t="s">
        <v>886</v>
      </c>
      <c r="B36" s="892"/>
      <c r="C36" s="892"/>
      <c r="D36" s="892"/>
      <c r="E36" s="892"/>
    </row>
    <row r="37" spans="1:5">
      <c r="A37" s="858" t="s">
        <v>796</v>
      </c>
      <c r="B37" s="858" t="s">
        <v>659</v>
      </c>
      <c r="C37" s="739" t="s">
        <v>799</v>
      </c>
      <c r="D37" s="859" t="s">
        <v>790</v>
      </c>
      <c r="E37" s="739" t="s">
        <v>836</v>
      </c>
    </row>
    <row r="38" spans="1:5" ht="20.100000000000001" customHeight="1">
      <c r="A38" s="1035" t="s">
        <v>837</v>
      </c>
      <c r="B38" s="182" t="s">
        <v>852</v>
      </c>
      <c r="C38" s="831" t="s">
        <v>801</v>
      </c>
      <c r="D38" s="847" t="s">
        <v>793</v>
      </c>
      <c r="E38" s="500">
        <v>2</v>
      </c>
    </row>
    <row r="39" spans="1:5" ht="20.100000000000001" customHeight="1">
      <c r="A39" s="1023"/>
      <c r="B39" s="893" t="s">
        <v>853</v>
      </c>
      <c r="C39" s="831" t="s">
        <v>829</v>
      </c>
      <c r="D39" s="847" t="s">
        <v>794</v>
      </c>
      <c r="E39" s="500">
        <v>2</v>
      </c>
    </row>
    <row r="40" spans="1:5" ht="20.100000000000001" customHeight="1">
      <c r="A40" s="1023"/>
      <c r="B40" s="182" t="s">
        <v>855</v>
      </c>
      <c r="C40" s="831" t="s">
        <v>830</v>
      </c>
      <c r="D40" s="847" t="s">
        <v>795</v>
      </c>
      <c r="E40" s="500">
        <v>2</v>
      </c>
    </row>
    <row r="41" spans="1:5" ht="20.100000000000001" customHeight="1" thickBot="1">
      <c r="A41" s="1024"/>
      <c r="B41" s="849" t="s">
        <v>854</v>
      </c>
      <c r="C41" s="850" t="s">
        <v>831</v>
      </c>
      <c r="D41" s="851" t="s">
        <v>833</v>
      </c>
      <c r="E41" s="852">
        <v>2</v>
      </c>
    </row>
    <row r="42" spans="1:5" ht="20.100000000000001" customHeight="1" thickTop="1">
      <c r="A42" s="1022" t="s">
        <v>798</v>
      </c>
      <c r="B42" s="853" t="s">
        <v>856</v>
      </c>
      <c r="C42" s="854" t="s">
        <v>800</v>
      </c>
      <c r="D42" s="855" t="s">
        <v>793</v>
      </c>
      <c r="E42" s="848">
        <v>4</v>
      </c>
    </row>
    <row r="43" spans="1:5" ht="20.100000000000001" customHeight="1">
      <c r="A43" s="1023"/>
      <c r="B43" s="186" t="s">
        <v>857</v>
      </c>
      <c r="C43" s="831" t="s">
        <v>801</v>
      </c>
      <c r="D43" s="847" t="s">
        <v>794</v>
      </c>
      <c r="E43" s="500">
        <v>4</v>
      </c>
    </row>
    <row r="44" spans="1:5" ht="20.100000000000001" customHeight="1">
      <c r="A44" s="1023"/>
      <c r="B44" s="186" t="s">
        <v>858</v>
      </c>
      <c r="C44" s="831" t="s">
        <v>802</v>
      </c>
      <c r="D44" s="847" t="s">
        <v>795</v>
      </c>
      <c r="E44" s="500">
        <v>4</v>
      </c>
    </row>
    <row r="45" spans="1:5" ht="20.100000000000001" customHeight="1" thickBot="1">
      <c r="A45" s="1024"/>
      <c r="B45" s="856" t="s">
        <v>859</v>
      </c>
      <c r="C45" s="850" t="s">
        <v>803</v>
      </c>
      <c r="D45" s="851" t="s">
        <v>834</v>
      </c>
      <c r="E45" s="852">
        <v>2</v>
      </c>
    </row>
    <row r="46" spans="1:5" ht="20.100000000000001" customHeight="1" thickTop="1">
      <c r="A46" s="1022" t="s">
        <v>792</v>
      </c>
      <c r="B46" s="860" t="s">
        <v>863</v>
      </c>
      <c r="C46" s="861" t="s">
        <v>802</v>
      </c>
      <c r="D46" s="862" t="s">
        <v>793</v>
      </c>
      <c r="E46" s="863">
        <v>4</v>
      </c>
    </row>
    <row r="47" spans="1:5" ht="20.100000000000001" customHeight="1">
      <c r="A47" s="1023"/>
      <c r="B47" s="186" t="s">
        <v>860</v>
      </c>
      <c r="C47" s="800" t="s">
        <v>802</v>
      </c>
      <c r="D47" s="847" t="s">
        <v>794</v>
      </c>
      <c r="E47" s="500">
        <v>4</v>
      </c>
    </row>
    <row r="48" spans="1:5" ht="20.100000000000001" customHeight="1">
      <c r="A48" s="1023"/>
      <c r="B48" s="864" t="s">
        <v>864</v>
      </c>
      <c r="C48" s="865" t="s">
        <v>802</v>
      </c>
      <c r="D48" s="866" t="s">
        <v>795</v>
      </c>
      <c r="E48" s="867">
        <v>4</v>
      </c>
    </row>
    <row r="49" spans="1:6" ht="15.75" thickBot="1">
      <c r="A49" s="1024"/>
      <c r="B49" s="856" t="s">
        <v>861</v>
      </c>
      <c r="C49" s="850" t="s">
        <v>803</v>
      </c>
      <c r="D49" s="851" t="s">
        <v>832</v>
      </c>
      <c r="E49" s="852">
        <v>2</v>
      </c>
    </row>
    <row r="50" spans="1:6" ht="15.75" thickTop="1"/>
    <row r="53" spans="1:6">
      <c r="A53" t="s">
        <v>887</v>
      </c>
    </row>
    <row r="54" spans="1:6" ht="30" customHeight="1">
      <c r="A54" s="1040" t="s">
        <v>880</v>
      </c>
      <c r="B54" s="1041"/>
      <c r="C54" s="1041"/>
      <c r="D54" s="1041"/>
      <c r="E54" s="1041"/>
      <c r="F54" s="1041"/>
    </row>
    <row r="55" spans="1:6">
      <c r="A55" s="871" t="s">
        <v>796</v>
      </c>
      <c r="B55" s="500" t="s">
        <v>659</v>
      </c>
      <c r="C55" s="500" t="s">
        <v>799</v>
      </c>
      <c r="D55" s="500" t="s">
        <v>790</v>
      </c>
      <c r="E55" s="500" t="s">
        <v>873</v>
      </c>
      <c r="F55" s="500" t="s">
        <v>874</v>
      </c>
    </row>
    <row r="56" spans="1:6" ht="20.100000000000001" customHeight="1">
      <c r="A56" s="1035" t="s">
        <v>837</v>
      </c>
      <c r="B56" s="182" t="s">
        <v>838</v>
      </c>
      <c r="C56" s="186" t="s">
        <v>801</v>
      </c>
      <c r="D56" s="498" t="s">
        <v>793</v>
      </c>
      <c r="E56" s="1036">
        <v>6</v>
      </c>
      <c r="F56" s="1037">
        <v>6</v>
      </c>
    </row>
    <row r="57" spans="1:6" ht="20.100000000000001" customHeight="1">
      <c r="A57" s="1023"/>
      <c r="B57" s="890" t="s">
        <v>865</v>
      </c>
      <c r="C57" s="186" t="s">
        <v>829</v>
      </c>
      <c r="D57" s="498" t="s">
        <v>794</v>
      </c>
      <c r="E57" s="1026"/>
      <c r="F57" s="1029"/>
    </row>
    <row r="58" spans="1:6" ht="20.100000000000001" customHeight="1">
      <c r="A58" s="1023"/>
      <c r="B58" s="182" t="s">
        <v>839</v>
      </c>
      <c r="C58" s="186" t="s">
        <v>830</v>
      </c>
      <c r="D58" s="498" t="s">
        <v>795</v>
      </c>
      <c r="E58" s="1026"/>
      <c r="F58" s="1029"/>
    </row>
    <row r="59" spans="1:6" ht="20.100000000000001" customHeight="1">
      <c r="A59" s="1023"/>
      <c r="B59" s="879" t="s">
        <v>876</v>
      </c>
      <c r="C59" s="186" t="s">
        <v>879</v>
      </c>
      <c r="D59" s="880" t="s">
        <v>875</v>
      </c>
      <c r="E59" s="1026"/>
      <c r="F59" s="1029"/>
    </row>
    <row r="60" spans="1:6" ht="20.100000000000001" customHeight="1" thickBot="1">
      <c r="A60" s="1024"/>
      <c r="B60" s="849" t="s">
        <v>841</v>
      </c>
      <c r="C60" s="856" t="s">
        <v>831</v>
      </c>
      <c r="D60" s="874" t="s">
        <v>833</v>
      </c>
      <c r="E60" s="1027"/>
      <c r="F60" s="1030"/>
    </row>
    <row r="61" spans="1:6" ht="20.100000000000001" customHeight="1" thickTop="1">
      <c r="A61" s="1023" t="s">
        <v>798</v>
      </c>
      <c r="B61" s="868" t="s">
        <v>842</v>
      </c>
      <c r="C61" s="868" t="s">
        <v>800</v>
      </c>
      <c r="D61" s="873" t="s">
        <v>793</v>
      </c>
      <c r="E61" s="1025">
        <v>12</v>
      </c>
      <c r="F61" s="1028">
        <v>24</v>
      </c>
    </row>
    <row r="62" spans="1:6" ht="20.100000000000001" customHeight="1">
      <c r="A62" s="1023"/>
      <c r="B62" s="186" t="s">
        <v>843</v>
      </c>
      <c r="C62" s="186" t="s">
        <v>801</v>
      </c>
      <c r="D62" s="498" t="s">
        <v>794</v>
      </c>
      <c r="E62" s="1026"/>
      <c r="F62" s="1029"/>
    </row>
    <row r="63" spans="1:6" ht="20.100000000000001" customHeight="1">
      <c r="A63" s="1023"/>
      <c r="B63" s="186" t="s">
        <v>808</v>
      </c>
      <c r="C63" s="186" t="s">
        <v>802</v>
      </c>
      <c r="D63" s="498" t="s">
        <v>795</v>
      </c>
      <c r="E63" s="1026"/>
      <c r="F63" s="1029"/>
    </row>
    <row r="64" spans="1:6" ht="20.100000000000001" customHeight="1">
      <c r="A64" s="1023"/>
      <c r="B64" s="878" t="s">
        <v>877</v>
      </c>
      <c r="C64" s="186" t="s">
        <v>879</v>
      </c>
      <c r="D64" s="880" t="s">
        <v>875</v>
      </c>
      <c r="E64" s="1026"/>
      <c r="F64" s="1029"/>
    </row>
    <row r="65" spans="1:7" ht="20.100000000000001" customHeight="1" thickBot="1">
      <c r="A65" s="1024"/>
      <c r="B65" s="856" t="s">
        <v>844</v>
      </c>
      <c r="C65" s="856" t="s">
        <v>803</v>
      </c>
      <c r="D65" s="874" t="s">
        <v>866</v>
      </c>
      <c r="E65" s="1027"/>
      <c r="F65" s="1029"/>
    </row>
    <row r="66" spans="1:7" ht="20.100000000000001" customHeight="1" thickTop="1">
      <c r="A66" s="1022" t="s">
        <v>792</v>
      </c>
      <c r="B66" s="853" t="s">
        <v>845</v>
      </c>
      <c r="C66" s="872" t="s">
        <v>802</v>
      </c>
      <c r="D66" s="875" t="s">
        <v>793</v>
      </c>
      <c r="E66" s="1025">
        <v>8</v>
      </c>
      <c r="F66" s="1037">
        <v>16</v>
      </c>
    </row>
    <row r="67" spans="1:7" ht="20.100000000000001" customHeight="1">
      <c r="A67" s="1023"/>
      <c r="B67" s="186" t="s">
        <v>862</v>
      </c>
      <c r="C67" s="182" t="s">
        <v>802</v>
      </c>
      <c r="D67" s="498" t="s">
        <v>794</v>
      </c>
      <c r="E67" s="1026"/>
      <c r="F67" s="1029"/>
    </row>
    <row r="68" spans="1:7" ht="20.100000000000001" customHeight="1">
      <c r="A68" s="1023"/>
      <c r="B68" s="186" t="s">
        <v>846</v>
      </c>
      <c r="C68" s="182" t="s">
        <v>802</v>
      </c>
      <c r="D68" s="498" t="s">
        <v>795</v>
      </c>
      <c r="E68" s="1026"/>
      <c r="F68" s="1029"/>
    </row>
    <row r="69" spans="1:7" ht="20.100000000000001" customHeight="1">
      <c r="A69" s="1023"/>
      <c r="B69" s="878" t="s">
        <v>878</v>
      </c>
      <c r="C69" s="186" t="s">
        <v>879</v>
      </c>
      <c r="D69" s="880" t="s">
        <v>875</v>
      </c>
      <c r="E69" s="1026"/>
      <c r="F69" s="1029"/>
    </row>
    <row r="70" spans="1:7" ht="20.100000000000001" customHeight="1" thickBot="1">
      <c r="A70" s="1024"/>
      <c r="B70" s="891" t="s">
        <v>861</v>
      </c>
      <c r="C70" s="856" t="s">
        <v>803</v>
      </c>
      <c r="D70" s="874" t="s">
        <v>832</v>
      </c>
      <c r="E70" s="1027"/>
      <c r="F70" s="1038"/>
    </row>
    <row r="71" spans="1:7" ht="15.75" thickTop="1">
      <c r="A71" s="876"/>
      <c r="B71" s="877"/>
      <c r="C71" s="877"/>
      <c r="D71" s="159"/>
      <c r="E71" s="870"/>
      <c r="F71" s="120"/>
    </row>
    <row r="72" spans="1:7" ht="15.75" thickBot="1">
      <c r="A72" s="1031" t="s">
        <v>867</v>
      </c>
      <c r="B72" s="1031"/>
      <c r="C72" s="1031"/>
      <c r="D72" s="1031"/>
      <c r="E72" s="1031"/>
      <c r="F72" s="120"/>
    </row>
    <row r="73" spans="1:7" s="283" customFormat="1" ht="20.100000000000001" customHeight="1">
      <c r="A73" s="881" t="s">
        <v>796</v>
      </c>
      <c r="B73" s="1032" t="s">
        <v>868</v>
      </c>
      <c r="C73" s="1032"/>
      <c r="D73" s="1032" t="s">
        <v>870</v>
      </c>
      <c r="E73" s="1032"/>
      <c r="F73" s="885"/>
      <c r="G73" s="86"/>
    </row>
    <row r="74" spans="1:7" s="283" customFormat="1" ht="24.95" customHeight="1">
      <c r="A74" s="59" t="s">
        <v>837</v>
      </c>
      <c r="B74" s="1020" t="s">
        <v>869</v>
      </c>
      <c r="C74" s="1020"/>
      <c r="D74" s="1021" t="s">
        <v>872</v>
      </c>
      <c r="E74" s="1021"/>
      <c r="G74" s="86"/>
    </row>
    <row r="75" spans="1:7" s="283" customFormat="1" ht="24.95" customHeight="1">
      <c r="A75" s="59" t="s">
        <v>792</v>
      </c>
      <c r="B75" s="1020" t="s">
        <v>871</v>
      </c>
      <c r="C75" s="1020"/>
      <c r="D75" s="1021" t="s">
        <v>872</v>
      </c>
      <c r="E75" s="1021"/>
      <c r="G75" s="86"/>
    </row>
    <row r="76" spans="1:7" s="120" customFormat="1">
      <c r="G76" s="869"/>
    </row>
    <row r="77" spans="1:7">
      <c r="A77" s="1033" t="s">
        <v>880</v>
      </c>
      <c r="B77" s="1034"/>
      <c r="C77" s="1034"/>
      <c r="D77" s="1034"/>
      <c r="E77" s="1034"/>
      <c r="F77" s="1034"/>
      <c r="G77" s="886"/>
    </row>
    <row r="78" spans="1:7">
      <c r="A78" s="871" t="s">
        <v>796</v>
      </c>
      <c r="B78" s="500" t="s">
        <v>659</v>
      </c>
      <c r="C78" s="500" t="s">
        <v>799</v>
      </c>
      <c r="D78" s="500" t="s">
        <v>790</v>
      </c>
      <c r="E78" s="500" t="s">
        <v>873</v>
      </c>
      <c r="F78" s="500" t="s">
        <v>874</v>
      </c>
      <c r="G78" s="573" t="s">
        <v>881</v>
      </c>
    </row>
    <row r="79" spans="1:7">
      <c r="A79" s="1035" t="s">
        <v>837</v>
      </c>
      <c r="B79" s="182" t="s">
        <v>838</v>
      </c>
      <c r="C79" s="186" t="s">
        <v>801</v>
      </c>
      <c r="D79" s="498" t="s">
        <v>793</v>
      </c>
      <c r="E79" s="1036">
        <v>6</v>
      </c>
      <c r="F79" s="1037">
        <v>6</v>
      </c>
      <c r="G79" s="887">
        <v>33609</v>
      </c>
    </row>
    <row r="80" spans="1:7">
      <c r="A80" s="1023"/>
      <c r="B80" s="182" t="s">
        <v>865</v>
      </c>
      <c r="C80" s="186" t="s">
        <v>829</v>
      </c>
      <c r="D80" s="498" t="s">
        <v>794</v>
      </c>
      <c r="E80" s="1026"/>
      <c r="F80" s="1029"/>
      <c r="G80" s="887">
        <v>6464</v>
      </c>
    </row>
    <row r="81" spans="1:7">
      <c r="A81" s="1023"/>
      <c r="B81" s="182" t="s">
        <v>839</v>
      </c>
      <c r="C81" s="186" t="s">
        <v>830</v>
      </c>
      <c r="D81" s="498" t="s">
        <v>795</v>
      </c>
      <c r="E81" s="1026"/>
      <c r="F81" s="1029"/>
      <c r="G81" s="887">
        <v>4520</v>
      </c>
    </row>
    <row r="82" spans="1:7">
      <c r="A82" s="1023"/>
      <c r="B82" s="879" t="s">
        <v>876</v>
      </c>
      <c r="C82" s="186" t="s">
        <v>879</v>
      </c>
      <c r="D82" s="880" t="s">
        <v>875</v>
      </c>
      <c r="E82" s="1026"/>
      <c r="F82" s="1029"/>
      <c r="G82" s="887">
        <v>3137</v>
      </c>
    </row>
    <row r="83" spans="1:7" ht="15.75" thickBot="1">
      <c r="A83" s="1024"/>
      <c r="B83" s="944" t="s">
        <v>841</v>
      </c>
      <c r="C83" s="856" t="s">
        <v>831</v>
      </c>
      <c r="D83" s="874" t="s">
        <v>833</v>
      </c>
      <c r="E83" s="1027"/>
      <c r="F83" s="1030"/>
      <c r="G83" s="888">
        <v>20788</v>
      </c>
    </row>
    <row r="84" spans="1:7" ht="15.75" thickTop="1">
      <c r="A84" s="1023" t="s">
        <v>798</v>
      </c>
      <c r="B84" s="884" t="s">
        <v>882</v>
      </c>
      <c r="C84" s="884" t="s">
        <v>800</v>
      </c>
      <c r="D84" s="873" t="s">
        <v>793</v>
      </c>
      <c r="E84" s="1025">
        <v>12</v>
      </c>
      <c r="F84" s="1028">
        <v>24</v>
      </c>
      <c r="G84" s="889">
        <v>35301</v>
      </c>
    </row>
    <row r="85" spans="1:7">
      <c r="A85" s="1023"/>
      <c r="B85" s="186" t="s">
        <v>883</v>
      </c>
      <c r="C85" s="186" t="s">
        <v>801</v>
      </c>
      <c r="D85" s="498" t="s">
        <v>794</v>
      </c>
      <c r="E85" s="1026"/>
      <c r="F85" s="1029"/>
      <c r="G85" s="887">
        <v>17073</v>
      </c>
    </row>
    <row r="86" spans="1:7">
      <c r="A86" s="1023"/>
      <c r="B86" s="186" t="s">
        <v>808</v>
      </c>
      <c r="C86" s="186" t="s">
        <v>802</v>
      </c>
      <c r="D86" s="498" t="s">
        <v>795</v>
      </c>
      <c r="E86" s="1026"/>
      <c r="F86" s="1029"/>
      <c r="G86" s="887">
        <v>2862</v>
      </c>
    </row>
    <row r="87" spans="1:7">
      <c r="A87" s="1023"/>
      <c r="B87" s="883" t="s">
        <v>877</v>
      </c>
      <c r="C87" s="186" t="s">
        <v>879</v>
      </c>
      <c r="D87" s="880" t="s">
        <v>875</v>
      </c>
      <c r="E87" s="1026"/>
      <c r="F87" s="1029"/>
      <c r="G87" s="887">
        <v>6467</v>
      </c>
    </row>
    <row r="88" spans="1:7" ht="15.75" thickBot="1">
      <c r="A88" s="1024"/>
      <c r="B88" s="856" t="s">
        <v>844</v>
      </c>
      <c r="C88" s="856" t="s">
        <v>803</v>
      </c>
      <c r="D88" s="874" t="s">
        <v>866</v>
      </c>
      <c r="E88" s="1027"/>
      <c r="F88" s="1030"/>
      <c r="G88" s="888">
        <v>36095</v>
      </c>
    </row>
    <row r="89" spans="1:7" ht="15.75" thickTop="1">
      <c r="A89" s="1022" t="s">
        <v>792</v>
      </c>
      <c r="B89" s="853" t="s">
        <v>888</v>
      </c>
      <c r="C89" s="872" t="s">
        <v>802</v>
      </c>
      <c r="D89" s="875" t="s">
        <v>793</v>
      </c>
      <c r="E89" s="1025">
        <v>8</v>
      </c>
      <c r="F89" s="1028">
        <v>16</v>
      </c>
      <c r="G89" s="889">
        <v>14151</v>
      </c>
    </row>
    <row r="90" spans="1:7">
      <c r="A90" s="1023"/>
      <c r="B90" s="186" t="s">
        <v>884</v>
      </c>
      <c r="C90" s="182" t="s">
        <v>802</v>
      </c>
      <c r="D90" s="498" t="s">
        <v>794</v>
      </c>
      <c r="E90" s="1026"/>
      <c r="F90" s="1029"/>
      <c r="G90" s="887">
        <v>6473</v>
      </c>
    </row>
    <row r="91" spans="1:7">
      <c r="A91" s="1023"/>
      <c r="B91" s="186" t="s">
        <v>846</v>
      </c>
      <c r="C91" s="182" t="s">
        <v>802</v>
      </c>
      <c r="D91" s="498" t="s">
        <v>795</v>
      </c>
      <c r="E91" s="1026"/>
      <c r="F91" s="1029"/>
      <c r="G91" s="887">
        <v>2131</v>
      </c>
    </row>
    <row r="92" spans="1:7">
      <c r="A92" s="1023"/>
      <c r="B92" s="883" t="s">
        <v>878</v>
      </c>
      <c r="C92" s="186" t="s">
        <v>879</v>
      </c>
      <c r="D92" s="880" t="s">
        <v>875</v>
      </c>
      <c r="E92" s="1026"/>
      <c r="F92" s="1029"/>
      <c r="G92" s="887">
        <v>4497</v>
      </c>
    </row>
    <row r="93" spans="1:7" ht="15.75" thickBot="1">
      <c r="A93" s="1024"/>
      <c r="B93" s="856" t="s">
        <v>861</v>
      </c>
      <c r="C93" s="856" t="s">
        <v>803</v>
      </c>
      <c r="D93" s="874" t="s">
        <v>832</v>
      </c>
      <c r="E93" s="1027"/>
      <c r="F93" s="1030"/>
      <c r="G93" s="888">
        <v>24870</v>
      </c>
    </row>
    <row r="94" spans="1:7" ht="15.75" thickTop="1">
      <c r="A94" s="876"/>
      <c r="B94" s="877" t="s">
        <v>889</v>
      </c>
      <c r="C94" s="877" t="s">
        <v>891</v>
      </c>
      <c r="D94" s="159"/>
      <c r="E94" s="870"/>
      <c r="F94" s="120"/>
    </row>
    <row r="95" spans="1:7">
      <c r="A95" s="876"/>
      <c r="B95" s="945" t="s">
        <v>892</v>
      </c>
      <c r="C95" s="877" t="s">
        <v>893</v>
      </c>
      <c r="D95" s="159" t="s">
        <v>918</v>
      </c>
      <c r="E95" s="870"/>
      <c r="F95" s="120"/>
    </row>
    <row r="96" spans="1:7" ht="15.75" thickBot="1">
      <c r="A96" s="1031" t="s">
        <v>867</v>
      </c>
      <c r="B96" s="1031"/>
      <c r="C96" s="1031"/>
      <c r="D96" s="1031"/>
      <c r="E96" s="1031"/>
      <c r="F96" s="120"/>
    </row>
    <row r="97" spans="1:6">
      <c r="A97" s="882" t="s">
        <v>796</v>
      </c>
      <c r="B97" s="1032" t="s">
        <v>868</v>
      </c>
      <c r="C97" s="1032"/>
      <c r="D97" s="1032" t="s">
        <v>870</v>
      </c>
      <c r="E97" s="1032"/>
      <c r="F97" s="885"/>
    </row>
    <row r="98" spans="1:6">
      <c r="A98" s="59" t="s">
        <v>837</v>
      </c>
      <c r="B98" s="1020" t="s">
        <v>869</v>
      </c>
      <c r="C98" s="1020"/>
      <c r="D98" s="1021" t="s">
        <v>872</v>
      </c>
      <c r="E98" s="1021"/>
      <c r="F98" s="283"/>
    </row>
    <row r="99" spans="1:6">
      <c r="A99" s="59" t="s">
        <v>792</v>
      </c>
      <c r="B99" s="1020" t="s">
        <v>871</v>
      </c>
      <c r="C99" s="1020"/>
      <c r="D99" s="1021" t="s">
        <v>872</v>
      </c>
      <c r="E99" s="1021"/>
      <c r="F99" s="283"/>
    </row>
    <row r="101" spans="1:6">
      <c r="A101" s="1039" t="s">
        <v>798</v>
      </c>
      <c r="B101" s="186" t="s">
        <v>882</v>
      </c>
      <c r="C101" s="186" t="s">
        <v>800</v>
      </c>
      <c r="D101" s="498" t="s">
        <v>793</v>
      </c>
      <c r="E101" s="42">
        <v>10</v>
      </c>
    </row>
    <row r="102" spans="1:6">
      <c r="A102" s="1039"/>
      <c r="B102" s="186" t="s">
        <v>883</v>
      </c>
      <c r="C102" s="186" t="s">
        <v>801</v>
      </c>
      <c r="D102" s="498" t="s">
        <v>794</v>
      </c>
      <c r="E102" s="42">
        <v>10</v>
      </c>
    </row>
    <row r="103" spans="1:6">
      <c r="A103" s="1039"/>
      <c r="B103" s="186" t="s">
        <v>808</v>
      </c>
      <c r="C103" s="186" t="s">
        <v>802</v>
      </c>
      <c r="D103" s="498" t="s">
        <v>795</v>
      </c>
      <c r="E103" s="42">
        <v>10</v>
      </c>
    </row>
    <row r="104" spans="1:6">
      <c r="A104" s="1039"/>
      <c r="B104" s="186" t="s">
        <v>877</v>
      </c>
      <c r="C104" s="186" t="s">
        <v>879</v>
      </c>
      <c r="D104" s="498" t="s">
        <v>875</v>
      </c>
      <c r="E104" s="42">
        <v>5</v>
      </c>
    </row>
    <row r="105" spans="1:6">
      <c r="A105" s="1039"/>
      <c r="B105" s="186" t="s">
        <v>844</v>
      </c>
      <c r="C105" s="186" t="s">
        <v>803</v>
      </c>
      <c r="D105" s="498" t="s">
        <v>866</v>
      </c>
      <c r="E105" s="42">
        <v>5</v>
      </c>
    </row>
  </sheetData>
  <mergeCells count="46">
    <mergeCell ref="A101:A105"/>
    <mergeCell ref="A54:F54"/>
    <mergeCell ref="A2:D2"/>
    <mergeCell ref="A4:A7"/>
    <mergeCell ref="A46:A49"/>
    <mergeCell ref="A10:A13"/>
    <mergeCell ref="A16:A19"/>
    <mergeCell ref="A23:A26"/>
    <mergeCell ref="A27:A30"/>
    <mergeCell ref="A31:A34"/>
    <mergeCell ref="A21:E21"/>
    <mergeCell ref="A38:A41"/>
    <mergeCell ref="A42:A45"/>
    <mergeCell ref="A56:A60"/>
    <mergeCell ref="A61:A65"/>
    <mergeCell ref="A66:A70"/>
    <mergeCell ref="E56:E60"/>
    <mergeCell ref="F56:F60"/>
    <mergeCell ref="F61:F65"/>
    <mergeCell ref="E61:E65"/>
    <mergeCell ref="E66:E70"/>
    <mergeCell ref="F66:F70"/>
    <mergeCell ref="A72:E72"/>
    <mergeCell ref="B74:C74"/>
    <mergeCell ref="B75:C75"/>
    <mergeCell ref="B73:C73"/>
    <mergeCell ref="D74:E74"/>
    <mergeCell ref="D75:E75"/>
    <mergeCell ref="D73:E73"/>
    <mergeCell ref="F89:F93"/>
    <mergeCell ref="A96:E96"/>
    <mergeCell ref="B97:C97"/>
    <mergeCell ref="D97:E97"/>
    <mergeCell ref="A77:F77"/>
    <mergeCell ref="A79:A83"/>
    <mergeCell ref="E79:E83"/>
    <mergeCell ref="F79:F83"/>
    <mergeCell ref="A84:A88"/>
    <mergeCell ref="E84:E88"/>
    <mergeCell ref="F84:F88"/>
    <mergeCell ref="B98:C98"/>
    <mergeCell ref="D98:E98"/>
    <mergeCell ref="B99:C99"/>
    <mergeCell ref="D99:E99"/>
    <mergeCell ref="A89:A93"/>
    <mergeCell ref="E89:E93"/>
  </mergeCells>
  <printOptions horizontalCentered="1"/>
  <pageMargins left="0.7" right="0.7" top="0.75" bottom="0.75" header="0.3" footer="0.3"/>
  <pageSetup paperSize="9" scale="65" orientation="landscape" r:id="rId1"/>
  <rowBreaks count="1" manualBreakCount="1">
    <brk id="44" max="7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29"/>
  <sheetViews>
    <sheetView view="pageBreakPreview" topLeftCell="A7" zoomScale="130" zoomScaleNormal="100" zoomScaleSheetLayoutView="130" workbookViewId="0">
      <selection activeCell="B17" sqref="B17"/>
    </sheetView>
  </sheetViews>
  <sheetFormatPr defaultRowHeight="15"/>
  <cols>
    <col min="1" max="1" width="57.28515625" customWidth="1"/>
    <col min="2" max="2" width="20.140625" customWidth="1"/>
    <col min="3" max="3" width="14.85546875" customWidth="1"/>
    <col min="4" max="4" width="15.85546875" customWidth="1"/>
    <col min="5" max="5" width="28.85546875" customWidth="1"/>
  </cols>
  <sheetData>
    <row r="1" spans="1:5">
      <c r="A1" s="1042" t="s">
        <v>797</v>
      </c>
      <c r="B1" s="1042"/>
      <c r="C1" s="1042"/>
      <c r="D1" s="1042"/>
      <c r="E1" s="1042"/>
    </row>
    <row r="2" spans="1:5" ht="27.75" customHeight="1">
      <c r="A2" s="827" t="s">
        <v>796</v>
      </c>
      <c r="B2" s="827" t="s">
        <v>804</v>
      </c>
      <c r="C2" s="828" t="s">
        <v>805</v>
      </c>
      <c r="D2" s="828" t="s">
        <v>799</v>
      </c>
      <c r="E2" s="828" t="s">
        <v>790</v>
      </c>
    </row>
    <row r="3" spans="1:5">
      <c r="A3" s="1035" t="s">
        <v>791</v>
      </c>
      <c r="B3" s="182" t="s">
        <v>825</v>
      </c>
      <c r="C3" s="830" t="s">
        <v>811</v>
      </c>
      <c r="D3" s="830" t="s">
        <v>801</v>
      </c>
      <c r="E3" s="42" t="s">
        <v>793</v>
      </c>
    </row>
    <row r="4" spans="1:5">
      <c r="A4" s="1023"/>
      <c r="B4" s="182" t="s">
        <v>826</v>
      </c>
      <c r="C4" s="830" t="s">
        <v>812</v>
      </c>
      <c r="D4" s="830" t="s">
        <v>829</v>
      </c>
      <c r="E4" s="42" t="s">
        <v>794</v>
      </c>
    </row>
    <row r="5" spans="1:5">
      <c r="A5" s="1023"/>
      <c r="B5" s="182" t="s">
        <v>827</v>
      </c>
      <c r="C5" s="830" t="s">
        <v>813</v>
      </c>
      <c r="D5" s="830" t="s">
        <v>830</v>
      </c>
      <c r="E5" s="42" t="s">
        <v>795</v>
      </c>
    </row>
    <row r="6" spans="1:5">
      <c r="A6" s="1045"/>
      <c r="B6" s="182" t="s">
        <v>828</v>
      </c>
      <c r="C6" s="830" t="s">
        <v>814</v>
      </c>
      <c r="D6" s="830" t="s">
        <v>831</v>
      </c>
      <c r="E6" s="829" t="s">
        <v>833</v>
      </c>
    </row>
    <row r="7" spans="1:5">
      <c r="A7" s="1035" t="s">
        <v>798</v>
      </c>
      <c r="B7" s="186" t="s">
        <v>806</v>
      </c>
      <c r="C7" s="830" t="s">
        <v>815</v>
      </c>
      <c r="D7" s="830" t="s">
        <v>800</v>
      </c>
      <c r="E7" s="42" t="s">
        <v>793</v>
      </c>
    </row>
    <row r="8" spans="1:5">
      <c r="A8" s="1023"/>
      <c r="B8" s="186" t="s">
        <v>807</v>
      </c>
      <c r="C8" s="830" t="s">
        <v>816</v>
      </c>
      <c r="D8" s="830" t="s">
        <v>801</v>
      </c>
      <c r="E8" s="42" t="s">
        <v>794</v>
      </c>
    </row>
    <row r="9" spans="1:5">
      <c r="A9" s="1023"/>
      <c r="B9" s="186" t="s">
        <v>808</v>
      </c>
      <c r="C9" s="830" t="s">
        <v>817</v>
      </c>
      <c r="D9" s="830" t="s">
        <v>802</v>
      </c>
      <c r="E9" s="42" t="s">
        <v>795</v>
      </c>
    </row>
    <row r="10" spans="1:5">
      <c r="A10" s="1045"/>
      <c r="B10" s="186" t="s">
        <v>835</v>
      </c>
      <c r="C10" s="830" t="s">
        <v>818</v>
      </c>
      <c r="D10" s="830" t="s">
        <v>803</v>
      </c>
      <c r="E10" s="829" t="s">
        <v>834</v>
      </c>
    </row>
    <row r="11" spans="1:5">
      <c r="A11" s="1035" t="s">
        <v>792</v>
      </c>
      <c r="B11" s="186" t="s">
        <v>809</v>
      </c>
      <c r="C11" s="800" t="s">
        <v>819</v>
      </c>
      <c r="D11" s="800" t="s">
        <v>802</v>
      </c>
      <c r="E11" s="42" t="s">
        <v>793</v>
      </c>
    </row>
    <row r="12" spans="1:5">
      <c r="A12" s="1023"/>
      <c r="B12" s="186" t="s">
        <v>810</v>
      </c>
      <c r="C12" s="800" t="s">
        <v>820</v>
      </c>
      <c r="D12" s="800" t="s">
        <v>802</v>
      </c>
      <c r="E12" s="42" t="s">
        <v>794</v>
      </c>
    </row>
    <row r="13" spans="1:5">
      <c r="A13" s="1023"/>
      <c r="B13" s="186" t="s">
        <v>823</v>
      </c>
      <c r="C13" s="800" t="s">
        <v>821</v>
      </c>
      <c r="D13" s="800" t="s">
        <v>802</v>
      </c>
      <c r="E13" s="42" t="s">
        <v>795</v>
      </c>
    </row>
    <row r="14" spans="1:5">
      <c r="A14" s="1045"/>
      <c r="B14" s="186" t="s">
        <v>824</v>
      </c>
      <c r="C14" s="830" t="s">
        <v>822</v>
      </c>
      <c r="D14" s="830" t="s">
        <v>803</v>
      </c>
      <c r="E14" s="829" t="s">
        <v>832</v>
      </c>
    </row>
    <row r="16" spans="1:5">
      <c r="A16" s="1042" t="s">
        <v>797</v>
      </c>
      <c r="B16" s="1042"/>
      <c r="C16" s="1042"/>
      <c r="D16" s="1042"/>
      <c r="E16" s="1042"/>
    </row>
    <row r="17" spans="1:5">
      <c r="A17" s="827" t="s">
        <v>796</v>
      </c>
      <c r="B17" s="827" t="s">
        <v>659</v>
      </c>
      <c r="C17" s="828" t="s">
        <v>836</v>
      </c>
      <c r="D17" s="828" t="s">
        <v>799</v>
      </c>
      <c r="E17" s="828" t="s">
        <v>790</v>
      </c>
    </row>
    <row r="18" spans="1:5">
      <c r="A18" s="1035" t="s">
        <v>837</v>
      </c>
      <c r="B18" s="182" t="s">
        <v>838</v>
      </c>
      <c r="C18" s="831">
        <v>3</v>
      </c>
      <c r="D18" s="831" t="s">
        <v>801</v>
      </c>
      <c r="E18" s="42" t="s">
        <v>793</v>
      </c>
    </row>
    <row r="19" spans="1:5">
      <c r="A19" s="1023"/>
      <c r="B19" s="182" t="s">
        <v>840</v>
      </c>
      <c r="C19" s="831">
        <v>3</v>
      </c>
      <c r="D19" s="831" t="s">
        <v>829</v>
      </c>
      <c r="E19" s="42" t="s">
        <v>794</v>
      </c>
    </row>
    <row r="20" spans="1:5">
      <c r="A20" s="1023"/>
      <c r="B20" s="182" t="s">
        <v>839</v>
      </c>
      <c r="C20" s="831">
        <v>3</v>
      </c>
      <c r="D20" s="831" t="s">
        <v>830</v>
      </c>
      <c r="E20" s="42" t="s">
        <v>795</v>
      </c>
    </row>
    <row r="21" spans="1:5">
      <c r="A21" s="1045"/>
      <c r="B21" s="182" t="s">
        <v>841</v>
      </c>
      <c r="C21" s="831">
        <v>3</v>
      </c>
      <c r="D21" s="831" t="s">
        <v>831</v>
      </c>
      <c r="E21" s="829" t="s">
        <v>833</v>
      </c>
    </row>
    <row r="22" spans="1:5">
      <c r="A22" s="1035" t="s">
        <v>798</v>
      </c>
      <c r="B22" s="186" t="s">
        <v>842</v>
      </c>
      <c r="C22" s="831">
        <v>6</v>
      </c>
      <c r="D22" s="831" t="s">
        <v>800</v>
      </c>
      <c r="E22" s="42" t="s">
        <v>793</v>
      </c>
    </row>
    <row r="23" spans="1:5">
      <c r="A23" s="1023"/>
      <c r="B23" s="186" t="s">
        <v>843</v>
      </c>
      <c r="C23" s="831">
        <v>6</v>
      </c>
      <c r="D23" s="831" t="s">
        <v>801</v>
      </c>
      <c r="E23" s="42" t="s">
        <v>794</v>
      </c>
    </row>
    <row r="24" spans="1:5">
      <c r="A24" s="1023"/>
      <c r="B24" s="186" t="s">
        <v>808</v>
      </c>
      <c r="C24" s="831">
        <v>6</v>
      </c>
      <c r="D24" s="831" t="s">
        <v>802</v>
      </c>
      <c r="E24" s="42" t="s">
        <v>795</v>
      </c>
    </row>
    <row r="25" spans="1:5">
      <c r="A25" s="1045"/>
      <c r="B25" s="186" t="s">
        <v>844</v>
      </c>
      <c r="C25" s="831">
        <v>3</v>
      </c>
      <c r="D25" s="831" t="s">
        <v>803</v>
      </c>
      <c r="E25" s="829" t="s">
        <v>834</v>
      </c>
    </row>
    <row r="26" spans="1:5">
      <c r="A26" s="1035" t="s">
        <v>792</v>
      </c>
      <c r="B26" s="186" t="s">
        <v>845</v>
      </c>
      <c r="C26" s="800">
        <v>12</v>
      </c>
      <c r="D26" s="800" t="s">
        <v>802</v>
      </c>
      <c r="E26" s="42" t="s">
        <v>793</v>
      </c>
    </row>
    <row r="27" spans="1:5">
      <c r="A27" s="1023"/>
      <c r="B27" s="186" t="s">
        <v>847</v>
      </c>
      <c r="C27" s="800">
        <v>12</v>
      </c>
      <c r="D27" s="800" t="s">
        <v>802</v>
      </c>
      <c r="E27" s="42" t="s">
        <v>794</v>
      </c>
    </row>
    <row r="28" spans="1:5">
      <c r="A28" s="1023"/>
      <c r="B28" s="186" t="s">
        <v>846</v>
      </c>
      <c r="C28" s="800">
        <v>12</v>
      </c>
      <c r="D28" s="800" t="s">
        <v>802</v>
      </c>
      <c r="E28" s="42" t="s">
        <v>795</v>
      </c>
    </row>
    <row r="29" spans="1:5">
      <c r="A29" s="1045"/>
      <c r="B29" s="186" t="s">
        <v>848</v>
      </c>
      <c r="C29" s="831">
        <v>6</v>
      </c>
      <c r="D29" s="831" t="s">
        <v>803</v>
      </c>
      <c r="E29" s="829" t="s">
        <v>832</v>
      </c>
    </row>
  </sheetData>
  <mergeCells count="8">
    <mergeCell ref="A26:A29"/>
    <mergeCell ref="A16:E16"/>
    <mergeCell ref="A11:A14"/>
    <mergeCell ref="A3:A6"/>
    <mergeCell ref="A1:E1"/>
    <mergeCell ref="A7:A10"/>
    <mergeCell ref="A18:A21"/>
    <mergeCell ref="A22:A25"/>
  </mergeCells>
  <printOptions horizontalCentered="1"/>
  <pageMargins left="0.7" right="0.7" top="0.75" bottom="0.75" header="0.3" footer="0.3"/>
  <pageSetup paperSize="9" scale="8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19"/>
  <sheetViews>
    <sheetView view="pageBreakPreview" zoomScale="130" zoomScaleNormal="100" zoomScaleSheetLayoutView="130" workbookViewId="0">
      <selection activeCell="B8" sqref="B8"/>
    </sheetView>
  </sheetViews>
  <sheetFormatPr defaultRowHeight="15"/>
  <cols>
    <col min="2" max="2" width="47.7109375" customWidth="1"/>
    <col min="3" max="4" width="9.140625" style="257"/>
    <col min="5" max="5" width="10.28515625" style="257" customWidth="1"/>
    <col min="6" max="6" width="15.42578125" customWidth="1"/>
  </cols>
  <sheetData>
    <row r="1" spans="1:6">
      <c r="A1" s="1046" t="s">
        <v>753</v>
      </c>
      <c r="B1" s="1047"/>
      <c r="C1" s="573" t="s">
        <v>755</v>
      </c>
      <c r="D1" s="573" t="s">
        <v>756</v>
      </c>
      <c r="E1" s="573" t="s">
        <v>775</v>
      </c>
      <c r="F1" s="573" t="s">
        <v>754</v>
      </c>
    </row>
    <row r="2" spans="1:6">
      <c r="A2" s="808" t="s">
        <v>757</v>
      </c>
      <c r="B2" s="808"/>
      <c r="C2" s="799">
        <v>20</v>
      </c>
      <c r="D2" s="811">
        <v>160</v>
      </c>
      <c r="E2" s="799">
        <f>D2/C2</f>
        <v>8</v>
      </c>
      <c r="F2" s="1048" t="s">
        <v>326</v>
      </c>
    </row>
    <row r="3" spans="1:6">
      <c r="A3" s="808" t="s">
        <v>767</v>
      </c>
      <c r="B3" s="808"/>
      <c r="C3" s="799">
        <v>36</v>
      </c>
      <c r="D3" s="811">
        <v>288</v>
      </c>
      <c r="E3" s="799">
        <f t="shared" ref="E3:E19" si="0">D3/C3</f>
        <v>8</v>
      </c>
      <c r="F3" s="1048"/>
    </row>
    <row r="4" spans="1:6">
      <c r="A4" s="808" t="s">
        <v>760</v>
      </c>
      <c r="B4" s="808"/>
      <c r="C4" s="799">
        <v>56</v>
      </c>
      <c r="D4" s="811">
        <v>448</v>
      </c>
      <c r="E4" s="799">
        <f t="shared" si="0"/>
        <v>8</v>
      </c>
      <c r="F4" s="1048"/>
    </row>
    <row r="5" spans="1:6">
      <c r="A5" s="808" t="s">
        <v>761</v>
      </c>
      <c r="B5" s="808"/>
      <c r="C5" s="799">
        <v>8</v>
      </c>
      <c r="D5" s="811">
        <v>64</v>
      </c>
      <c r="E5" s="800">
        <f>D5/C5</f>
        <v>8</v>
      </c>
      <c r="F5" s="1048"/>
    </row>
    <row r="6" spans="1:6">
      <c r="A6" s="798" t="s">
        <v>770</v>
      </c>
      <c r="B6" s="798"/>
      <c r="C6" s="799">
        <v>12</v>
      </c>
      <c r="D6" s="799">
        <v>144</v>
      </c>
      <c r="E6" s="799">
        <f t="shared" si="0"/>
        <v>12</v>
      </c>
      <c r="F6" s="799" t="s">
        <v>264</v>
      </c>
    </row>
    <row r="7" spans="1:6">
      <c r="A7" s="798" t="s">
        <v>758</v>
      </c>
      <c r="B7" s="798"/>
      <c r="C7" s="799">
        <v>24</v>
      </c>
      <c r="D7" s="799">
        <v>96</v>
      </c>
      <c r="E7" s="799">
        <f t="shared" si="0"/>
        <v>4</v>
      </c>
      <c r="F7" s="1048" t="s">
        <v>267</v>
      </c>
    </row>
    <row r="8" spans="1:6">
      <c r="A8" s="798" t="s">
        <v>759</v>
      </c>
      <c r="B8" s="798"/>
      <c r="C8" s="799">
        <v>15</v>
      </c>
      <c r="D8" s="799">
        <v>60</v>
      </c>
      <c r="E8" s="799">
        <f t="shared" si="0"/>
        <v>4</v>
      </c>
      <c r="F8" s="1048"/>
    </row>
    <row r="9" spans="1:6">
      <c r="A9" s="798" t="s">
        <v>762</v>
      </c>
      <c r="B9" s="798"/>
      <c r="C9" s="799">
        <v>15</v>
      </c>
      <c r="D9" s="799">
        <v>60</v>
      </c>
      <c r="E9" s="799">
        <f t="shared" si="0"/>
        <v>4</v>
      </c>
      <c r="F9" s="1048"/>
    </row>
    <row r="10" spans="1:6">
      <c r="A10" s="798" t="s">
        <v>763</v>
      </c>
      <c r="B10" s="798"/>
      <c r="C10" s="799">
        <v>15</v>
      </c>
      <c r="D10" s="799">
        <v>60</v>
      </c>
      <c r="E10" s="799">
        <f t="shared" si="0"/>
        <v>4</v>
      </c>
      <c r="F10" s="1048"/>
    </row>
    <row r="11" spans="1:6">
      <c r="A11" s="798" t="s">
        <v>764</v>
      </c>
      <c r="B11" s="798"/>
      <c r="C11" s="799">
        <v>15</v>
      </c>
      <c r="D11" s="799">
        <v>60</v>
      </c>
      <c r="E11" s="799">
        <f t="shared" si="0"/>
        <v>4</v>
      </c>
      <c r="F11" s="1048"/>
    </row>
    <row r="12" spans="1:6">
      <c r="A12" s="798" t="s">
        <v>765</v>
      </c>
      <c r="B12" s="798"/>
      <c r="C12" s="799">
        <v>15</v>
      </c>
      <c r="D12" s="799">
        <v>60</v>
      </c>
      <c r="E12" s="799">
        <f t="shared" si="0"/>
        <v>4</v>
      </c>
      <c r="F12" s="1048"/>
    </row>
    <row r="13" spans="1:6">
      <c r="A13" s="798" t="s">
        <v>766</v>
      </c>
      <c r="B13" s="798"/>
      <c r="C13" s="799">
        <v>20</v>
      </c>
      <c r="D13" s="799">
        <v>80</v>
      </c>
      <c r="E13" s="799">
        <f t="shared" si="0"/>
        <v>4</v>
      </c>
      <c r="F13" s="1048"/>
    </row>
    <row r="14" spans="1:6">
      <c r="A14" s="798" t="s">
        <v>768</v>
      </c>
      <c r="B14" s="798"/>
      <c r="C14" s="799">
        <v>27</v>
      </c>
      <c r="D14" s="799">
        <v>108</v>
      </c>
      <c r="E14" s="799">
        <f t="shared" si="0"/>
        <v>4</v>
      </c>
      <c r="F14" s="1048"/>
    </row>
    <row r="15" spans="1:6">
      <c r="A15" s="798" t="s">
        <v>769</v>
      </c>
      <c r="B15" s="798"/>
      <c r="C15" s="799">
        <v>20</v>
      </c>
      <c r="D15" s="799">
        <v>80</v>
      </c>
      <c r="E15" s="799">
        <f t="shared" si="0"/>
        <v>4</v>
      </c>
      <c r="F15" s="1048"/>
    </row>
    <row r="16" spans="1:6">
      <c r="A16" s="798" t="s">
        <v>771</v>
      </c>
      <c r="B16" s="798"/>
      <c r="C16" s="799">
        <v>18</v>
      </c>
      <c r="D16" s="799">
        <v>72</v>
      </c>
      <c r="E16" s="799">
        <f t="shared" si="0"/>
        <v>4</v>
      </c>
      <c r="F16" s="1048"/>
    </row>
    <row r="17" spans="1:6">
      <c r="A17" s="798" t="s">
        <v>772</v>
      </c>
      <c r="B17" s="798"/>
      <c r="C17" s="799">
        <v>18</v>
      </c>
      <c r="D17" s="799">
        <v>72</v>
      </c>
      <c r="E17" s="799">
        <f t="shared" si="0"/>
        <v>4</v>
      </c>
      <c r="F17" s="1048"/>
    </row>
    <row r="18" spans="1:6">
      <c r="A18" s="798" t="s">
        <v>773</v>
      </c>
      <c r="B18" s="798"/>
      <c r="C18" s="799">
        <v>14</v>
      </c>
      <c r="D18" s="799">
        <v>56</v>
      </c>
      <c r="E18" s="799">
        <f t="shared" si="0"/>
        <v>4</v>
      </c>
      <c r="F18" s="1048"/>
    </row>
    <row r="19" spans="1:6">
      <c r="A19" s="798" t="s">
        <v>774</v>
      </c>
      <c r="B19" s="798"/>
      <c r="C19" s="799">
        <v>30</v>
      </c>
      <c r="D19" s="799">
        <v>120</v>
      </c>
      <c r="E19" s="799">
        <f t="shared" si="0"/>
        <v>4</v>
      </c>
      <c r="F19" s="1048"/>
    </row>
  </sheetData>
  <mergeCells count="3">
    <mergeCell ref="A1:B1"/>
    <mergeCell ref="F7:F19"/>
    <mergeCell ref="F2:F5"/>
  </mergeCells>
  <pageMargins left="0.7" right="0.7" top="0.75" bottom="0.75" header="0.3" footer="0.3"/>
  <pageSetup paperSize="9" scale="8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K90"/>
  <sheetViews>
    <sheetView tabSelected="1" view="pageBreakPreview" zoomScaleSheetLayoutView="100" workbookViewId="0">
      <pane xSplit="2" ySplit="4" topLeftCell="C36" activePane="bottomRight" state="frozen"/>
      <selection pane="topRight" activeCell="C1" sqref="C1"/>
      <selection pane="bottomLeft" activeCell="A5" sqref="A5"/>
      <selection pane="bottomRight" activeCell="B42" sqref="B42"/>
    </sheetView>
  </sheetViews>
  <sheetFormatPr defaultRowHeight="15"/>
  <cols>
    <col min="1" max="1" width="4.5703125" style="86" customWidth="1"/>
    <col min="2" max="2" width="47" style="285" customWidth="1"/>
    <col min="3" max="3" width="13.140625" style="257" customWidth="1"/>
    <col min="4" max="4" width="12.7109375" style="257" customWidth="1"/>
    <col min="5" max="5" width="10.42578125" customWidth="1"/>
    <col min="6" max="6" width="17.42578125" style="285" customWidth="1"/>
    <col min="7" max="7" width="27.28515625" style="257" customWidth="1"/>
    <col min="8" max="8" width="6.7109375" style="260" customWidth="1"/>
    <col min="9" max="9" width="14" style="260" customWidth="1"/>
    <col min="10" max="10" width="9.140625" style="260"/>
    <col min="11" max="11" width="9.140625" hidden="1" customWidth="1"/>
  </cols>
  <sheetData>
    <row r="1" spans="1:10" ht="26.25">
      <c r="A1" s="776"/>
      <c r="B1" s="1074" t="s">
        <v>363</v>
      </c>
      <c r="C1" s="1074"/>
      <c r="D1" s="1074"/>
      <c r="E1" s="1074"/>
      <c r="F1" s="1074"/>
      <c r="G1" s="1074"/>
    </row>
    <row r="2" spans="1:10">
      <c r="A2" s="776"/>
      <c r="B2" s="763"/>
      <c r="C2" s="764"/>
      <c r="D2" s="764"/>
      <c r="E2" s="765"/>
      <c r="F2" s="896"/>
      <c r="G2" s="766"/>
    </row>
    <row r="3" spans="1:10" ht="24.95" customHeight="1">
      <c r="A3" s="1075" t="s">
        <v>358</v>
      </c>
      <c r="B3" s="1076" t="s">
        <v>255</v>
      </c>
      <c r="C3" s="1078" t="s">
        <v>256</v>
      </c>
      <c r="D3" s="1078" t="s">
        <v>382</v>
      </c>
      <c r="E3" s="1078" t="s">
        <v>381</v>
      </c>
      <c r="F3" s="1079" t="s">
        <v>259</v>
      </c>
      <c r="G3" s="1078" t="s">
        <v>260</v>
      </c>
    </row>
    <row r="4" spans="1:10" ht="31.5" customHeight="1">
      <c r="A4" s="1075"/>
      <c r="B4" s="1077"/>
      <c r="C4" s="1078"/>
      <c r="D4" s="1078"/>
      <c r="E4" s="1078"/>
      <c r="F4" s="1079"/>
      <c r="G4" s="1078"/>
    </row>
    <row r="5" spans="1:10" ht="15" customHeight="1">
      <c r="A5" s="994">
        <v>1</v>
      </c>
      <c r="B5" s="582" t="s">
        <v>318</v>
      </c>
      <c r="C5" s="661">
        <v>24</v>
      </c>
      <c r="D5" s="661">
        <f>C5*E5</f>
        <v>384</v>
      </c>
      <c r="E5" s="661">
        <v>16</v>
      </c>
      <c r="F5" s="1062" t="s">
        <v>392</v>
      </c>
      <c r="G5" s="1065"/>
    </row>
    <row r="6" spans="1:10" ht="15" customHeight="1">
      <c r="A6" s="767">
        <v>2</v>
      </c>
      <c r="B6" s="582" t="s">
        <v>643</v>
      </c>
      <c r="C6" s="661">
        <v>36</v>
      </c>
      <c r="D6" s="661">
        <f>C6*E6</f>
        <v>576</v>
      </c>
      <c r="E6" s="661">
        <v>16</v>
      </c>
      <c r="F6" s="1063"/>
      <c r="G6" s="1066"/>
    </row>
    <row r="7" spans="1:10" s="331" customFormat="1" ht="15" customHeight="1">
      <c r="A7" s="994">
        <v>3</v>
      </c>
      <c r="B7" s="809" t="s">
        <v>477</v>
      </c>
      <c r="C7" s="810">
        <v>162</v>
      </c>
      <c r="D7" s="810">
        <f t="shared" ref="D7" si="0">C7*E7</f>
        <v>2592</v>
      </c>
      <c r="E7" s="810">
        <v>16</v>
      </c>
      <c r="F7" s="1063"/>
      <c r="G7" s="1066"/>
      <c r="H7" s="260"/>
      <c r="I7" s="260"/>
      <c r="J7" s="260"/>
    </row>
    <row r="8" spans="1:10" s="331" customFormat="1" ht="15" customHeight="1">
      <c r="A8" s="924">
        <v>4</v>
      </c>
      <c r="B8" s="928" t="s">
        <v>911</v>
      </c>
      <c r="C8" s="739">
        <v>45</v>
      </c>
      <c r="D8" s="739">
        <f>C8*E8</f>
        <v>720</v>
      </c>
      <c r="E8" s="925">
        <v>16</v>
      </c>
      <c r="F8" s="1064"/>
      <c r="G8" s="1067"/>
      <c r="H8" s="260"/>
      <c r="I8" s="260"/>
      <c r="J8" s="260"/>
    </row>
    <row r="9" spans="1:10" s="276" customFormat="1" ht="15" customHeight="1">
      <c r="A9" s="777">
        <v>1</v>
      </c>
      <c r="B9" s="778" t="s">
        <v>537</v>
      </c>
      <c r="C9" s="721">
        <v>300</v>
      </c>
      <c r="D9" s="721">
        <f>C9*E9</f>
        <v>2400</v>
      </c>
      <c r="E9" s="721">
        <v>8</v>
      </c>
      <c r="F9" s="1068" t="s">
        <v>326</v>
      </c>
      <c r="G9" s="958"/>
      <c r="H9" s="260"/>
    </row>
    <row r="10" spans="1:10" s="276" customFormat="1" ht="15" customHeight="1">
      <c r="A10" s="1071">
        <v>2</v>
      </c>
      <c r="B10" s="1072" t="s">
        <v>555</v>
      </c>
      <c r="C10" s="1073">
        <v>56</v>
      </c>
      <c r="D10" s="1073">
        <f>C10*E10</f>
        <v>448</v>
      </c>
      <c r="E10" s="1073">
        <v>8</v>
      </c>
      <c r="F10" s="1069"/>
      <c r="G10" s="959" t="s">
        <v>570</v>
      </c>
    </row>
    <row r="11" spans="1:10" s="276" customFormat="1" ht="16.5" customHeight="1">
      <c r="A11" s="1071"/>
      <c r="B11" s="1072"/>
      <c r="C11" s="1073"/>
      <c r="D11" s="1073"/>
      <c r="E11" s="1073"/>
      <c r="F11" s="1069"/>
      <c r="G11" s="959" t="s">
        <v>571</v>
      </c>
    </row>
    <row r="12" spans="1:10" s="276" customFormat="1" ht="15" customHeight="1">
      <c r="A12" s="990">
        <v>3</v>
      </c>
      <c r="B12" s="991" t="s">
        <v>476</v>
      </c>
      <c r="C12" s="992">
        <v>34</v>
      </c>
      <c r="D12" s="992">
        <f>C12*E12</f>
        <v>272</v>
      </c>
      <c r="E12" s="992">
        <v>8</v>
      </c>
      <c r="F12" s="1069"/>
      <c r="G12" s="959" t="s">
        <v>567</v>
      </c>
      <c r="H12" s="260"/>
    </row>
    <row r="13" spans="1:10" s="276" customFormat="1" ht="15" customHeight="1">
      <c r="A13" s="777">
        <v>4</v>
      </c>
      <c r="B13" s="771" t="s">
        <v>486</v>
      </c>
      <c r="C13" s="664">
        <v>72</v>
      </c>
      <c r="D13" s="992">
        <f t="shared" ref="D13:D38" si="1">C13*E13</f>
        <v>576</v>
      </c>
      <c r="E13" s="992">
        <v>8</v>
      </c>
      <c r="F13" s="1069"/>
      <c r="G13" s="781"/>
      <c r="H13" s="260"/>
    </row>
    <row r="14" spans="1:10" s="276" customFormat="1" ht="15" customHeight="1">
      <c r="A14" s="990">
        <v>5</v>
      </c>
      <c r="B14" s="772" t="s">
        <v>757</v>
      </c>
      <c r="C14" s="992">
        <v>20</v>
      </c>
      <c r="D14" s="992">
        <v>160</v>
      </c>
      <c r="E14" s="992">
        <v>8</v>
      </c>
      <c r="F14" s="1069"/>
      <c r="G14" s="781"/>
      <c r="H14" s="260"/>
    </row>
    <row r="15" spans="1:10" s="276" customFormat="1" ht="15" customHeight="1">
      <c r="A15" s="777">
        <v>6</v>
      </c>
      <c r="B15" s="773" t="s">
        <v>894</v>
      </c>
      <c r="C15" s="901">
        <v>36</v>
      </c>
      <c r="D15" s="901">
        <v>288</v>
      </c>
      <c r="E15" s="901">
        <v>8</v>
      </c>
      <c r="F15" s="1069"/>
      <c r="G15" s="781"/>
      <c r="H15" s="902"/>
    </row>
    <row r="16" spans="1:10" s="276" customFormat="1" ht="15" customHeight="1">
      <c r="A16" s="990">
        <v>7</v>
      </c>
      <c r="B16" s="772" t="s">
        <v>783</v>
      </c>
      <c r="C16" s="992">
        <v>60</v>
      </c>
      <c r="D16" s="992">
        <f>C16*E16</f>
        <v>480</v>
      </c>
      <c r="E16" s="992">
        <v>8</v>
      </c>
      <c r="F16" s="1069"/>
      <c r="G16" s="781"/>
      <c r="H16" s="260"/>
    </row>
    <row r="17" spans="1:10" s="276" customFormat="1" ht="15" customHeight="1">
      <c r="A17" s="777">
        <v>8</v>
      </c>
      <c r="B17" s="772" t="s">
        <v>784</v>
      </c>
      <c r="C17" s="992">
        <v>60</v>
      </c>
      <c r="D17" s="992">
        <f t="shared" ref="D17:D18" si="2">C17*E17</f>
        <v>480</v>
      </c>
      <c r="E17" s="992">
        <v>8</v>
      </c>
      <c r="F17" s="1069"/>
      <c r="G17" s="781"/>
      <c r="H17" s="260"/>
    </row>
    <row r="18" spans="1:10" s="276" customFormat="1" ht="15" customHeight="1">
      <c r="A18" s="990">
        <v>9</v>
      </c>
      <c r="B18" s="772" t="s">
        <v>785</v>
      </c>
      <c r="C18" s="992">
        <v>60</v>
      </c>
      <c r="D18" s="992">
        <f t="shared" si="2"/>
        <v>480</v>
      </c>
      <c r="E18" s="992">
        <v>8</v>
      </c>
      <c r="F18" s="1069"/>
      <c r="G18" s="781"/>
      <c r="H18" s="260"/>
    </row>
    <row r="19" spans="1:10" s="276" customFormat="1" ht="15" customHeight="1">
      <c r="A19" s="777">
        <v>10</v>
      </c>
      <c r="B19" s="772" t="s">
        <v>786</v>
      </c>
      <c r="C19" s="992">
        <v>28</v>
      </c>
      <c r="D19" s="992">
        <f>C19*E19</f>
        <v>224</v>
      </c>
      <c r="E19" s="992">
        <v>8</v>
      </c>
      <c r="F19" s="1069"/>
      <c r="G19" s="781"/>
      <c r="H19" s="260"/>
    </row>
    <row r="20" spans="1:10" s="276" customFormat="1" ht="15" customHeight="1">
      <c r="A20" s="990">
        <v>11</v>
      </c>
      <c r="B20" s="772" t="s">
        <v>739</v>
      </c>
      <c r="C20" s="992">
        <v>40</v>
      </c>
      <c r="D20" s="992">
        <f t="shared" ref="D20:D22" si="3">C20*E20</f>
        <v>320</v>
      </c>
      <c r="E20" s="992">
        <v>8</v>
      </c>
      <c r="F20" s="1069"/>
      <c r="G20" s="781"/>
      <c r="H20" s="260"/>
    </row>
    <row r="21" spans="1:10" s="276" customFormat="1" ht="15" customHeight="1">
      <c r="A21" s="777">
        <v>12</v>
      </c>
      <c r="B21" s="772" t="s">
        <v>740</v>
      </c>
      <c r="C21" s="992">
        <v>40</v>
      </c>
      <c r="D21" s="992">
        <f t="shared" si="3"/>
        <v>320</v>
      </c>
      <c r="E21" s="992">
        <v>8</v>
      </c>
      <c r="F21" s="1069"/>
      <c r="G21" s="781"/>
      <c r="H21" s="260"/>
    </row>
    <row r="22" spans="1:10" s="276" customFormat="1" ht="15" customHeight="1">
      <c r="A22" s="990">
        <v>13</v>
      </c>
      <c r="B22" s="772" t="s">
        <v>778</v>
      </c>
      <c r="C22" s="992">
        <v>24</v>
      </c>
      <c r="D22" s="992">
        <f t="shared" si="3"/>
        <v>192</v>
      </c>
      <c r="E22" s="992">
        <v>8</v>
      </c>
      <c r="F22" s="1069"/>
      <c r="G22" s="781"/>
      <c r="H22" s="260"/>
    </row>
    <row r="23" spans="1:10" s="276" customFormat="1" ht="15" customHeight="1">
      <c r="A23" s="777">
        <v>14</v>
      </c>
      <c r="B23" s="773" t="s">
        <v>910</v>
      </c>
      <c r="C23" s="992">
        <v>20</v>
      </c>
      <c r="D23" s="992">
        <v>160</v>
      </c>
      <c r="E23" s="992">
        <v>8</v>
      </c>
      <c r="F23" s="1069"/>
      <c r="G23" s="781"/>
      <c r="H23" s="260"/>
    </row>
    <row r="24" spans="1:10" s="276" customFormat="1" ht="15" customHeight="1">
      <c r="A24" s="990">
        <v>15</v>
      </c>
      <c r="B24" s="772" t="s">
        <v>914</v>
      </c>
      <c r="C24" s="992">
        <v>100</v>
      </c>
      <c r="D24" s="992">
        <v>800</v>
      </c>
      <c r="E24" s="992">
        <v>8</v>
      </c>
      <c r="F24" s="1069"/>
      <c r="G24" s="781"/>
      <c r="H24" s="260"/>
    </row>
    <row r="25" spans="1:10" s="276" customFormat="1" ht="15" customHeight="1">
      <c r="A25" s="777">
        <v>16</v>
      </c>
      <c r="B25" s="772" t="s">
        <v>917</v>
      </c>
      <c r="C25" s="992">
        <v>300</v>
      </c>
      <c r="D25" s="992">
        <v>2400</v>
      </c>
      <c r="E25" s="992">
        <v>8</v>
      </c>
      <c r="F25" s="1069"/>
      <c r="G25" s="781"/>
      <c r="H25" s="260"/>
    </row>
    <row r="26" spans="1:10" s="149" customFormat="1" ht="15" customHeight="1">
      <c r="A26" s="990">
        <v>17</v>
      </c>
      <c r="B26" s="930" t="s">
        <v>916</v>
      </c>
      <c r="C26" s="931">
        <v>56</v>
      </c>
      <c r="D26" s="932">
        <v>224</v>
      </c>
      <c r="E26" s="932">
        <v>4</v>
      </c>
      <c r="F26" s="1070"/>
      <c r="G26" s="781"/>
      <c r="H26" s="260"/>
      <c r="I26" s="260"/>
      <c r="J26" s="260"/>
    </row>
    <row r="27" spans="1:10" s="149" customFormat="1" ht="15" customHeight="1">
      <c r="A27" s="774">
        <v>1</v>
      </c>
      <c r="B27" s="437" t="s">
        <v>413</v>
      </c>
      <c r="C27" s="652">
        <v>54</v>
      </c>
      <c r="D27" s="660">
        <f t="shared" si="1"/>
        <v>216</v>
      </c>
      <c r="E27" s="652">
        <v>4</v>
      </c>
      <c r="F27" s="1049" t="s">
        <v>267</v>
      </c>
      <c r="G27" s="995"/>
      <c r="H27" s="260"/>
      <c r="I27" s="260"/>
      <c r="J27" s="260"/>
    </row>
    <row r="28" spans="1:10" s="149" customFormat="1" ht="15" customHeight="1">
      <c r="A28" s="774">
        <v>2</v>
      </c>
      <c r="B28" s="437" t="s">
        <v>414</v>
      </c>
      <c r="C28" s="652">
        <v>224</v>
      </c>
      <c r="D28" s="660">
        <f t="shared" si="1"/>
        <v>896</v>
      </c>
      <c r="E28" s="652">
        <v>4</v>
      </c>
      <c r="F28" s="1050"/>
      <c r="G28" s="995"/>
      <c r="H28" s="260"/>
      <c r="I28" s="260"/>
      <c r="J28" s="260"/>
    </row>
    <row r="29" spans="1:10" s="149" customFormat="1" ht="15" customHeight="1">
      <c r="A29" s="774">
        <v>3</v>
      </c>
      <c r="B29" s="437" t="s">
        <v>375</v>
      </c>
      <c r="C29" s="652">
        <v>20</v>
      </c>
      <c r="D29" s="660">
        <f t="shared" si="1"/>
        <v>80</v>
      </c>
      <c r="E29" s="652">
        <v>4</v>
      </c>
      <c r="F29" s="1050"/>
      <c r="G29" s="995"/>
      <c r="H29" s="260"/>
      <c r="I29" s="260"/>
      <c r="J29" s="260"/>
    </row>
    <row r="30" spans="1:10" s="149" customFormat="1" ht="15" customHeight="1">
      <c r="A30" s="774">
        <v>4</v>
      </c>
      <c r="B30" s="437" t="s">
        <v>67</v>
      </c>
      <c r="C30" s="652">
        <v>14</v>
      </c>
      <c r="D30" s="660">
        <f t="shared" si="1"/>
        <v>56</v>
      </c>
      <c r="E30" s="652">
        <v>4</v>
      </c>
      <c r="F30" s="1050"/>
      <c r="G30" s="995"/>
      <c r="H30" s="260"/>
      <c r="I30" s="260"/>
      <c r="J30" s="260"/>
    </row>
    <row r="31" spans="1:10" s="149" customFormat="1" ht="15" customHeight="1">
      <c r="A31" s="774">
        <v>5</v>
      </c>
      <c r="B31" s="437" t="s">
        <v>540</v>
      </c>
      <c r="C31" s="652">
        <v>16</v>
      </c>
      <c r="D31" s="660">
        <f t="shared" si="1"/>
        <v>64</v>
      </c>
      <c r="E31" s="652">
        <v>4</v>
      </c>
      <c r="F31" s="1050"/>
      <c r="G31" s="995"/>
      <c r="H31" s="260"/>
      <c r="I31" s="260"/>
      <c r="J31" s="260"/>
    </row>
    <row r="32" spans="1:10" s="149" customFormat="1" ht="15" customHeight="1">
      <c r="A32" s="774">
        <v>6</v>
      </c>
      <c r="B32" s="437" t="s">
        <v>550</v>
      </c>
      <c r="C32" s="652">
        <v>14</v>
      </c>
      <c r="D32" s="660">
        <f t="shared" si="1"/>
        <v>56</v>
      </c>
      <c r="E32" s="652">
        <v>4</v>
      </c>
      <c r="F32" s="1050"/>
      <c r="G32" s="995"/>
      <c r="H32" s="260"/>
      <c r="I32" s="260"/>
      <c r="J32" s="260"/>
    </row>
    <row r="33" spans="1:10" s="149" customFormat="1" ht="15" customHeight="1">
      <c r="A33" s="774">
        <v>7</v>
      </c>
      <c r="B33" s="749" t="s">
        <v>528</v>
      </c>
      <c r="C33" s="652">
        <v>9</v>
      </c>
      <c r="D33" s="660">
        <f t="shared" si="1"/>
        <v>36</v>
      </c>
      <c r="E33" s="652">
        <v>4</v>
      </c>
      <c r="F33" s="1050"/>
      <c r="G33" s="995"/>
      <c r="H33" s="260"/>
      <c r="I33" s="260"/>
      <c r="J33" s="260"/>
    </row>
    <row r="34" spans="1:10" s="149" customFormat="1" ht="15" customHeight="1">
      <c r="A34" s="774">
        <v>8</v>
      </c>
      <c r="B34" s="749" t="s">
        <v>538</v>
      </c>
      <c r="C34" s="652">
        <v>16</v>
      </c>
      <c r="D34" s="660">
        <f t="shared" si="1"/>
        <v>64</v>
      </c>
      <c r="E34" s="652">
        <v>4</v>
      </c>
      <c r="F34" s="1050"/>
      <c r="G34" s="995" t="s">
        <v>569</v>
      </c>
      <c r="H34" s="260"/>
      <c r="I34" s="260"/>
      <c r="J34" s="260"/>
    </row>
    <row r="35" spans="1:10" s="149" customFormat="1" ht="15" customHeight="1">
      <c r="A35" s="774">
        <v>9</v>
      </c>
      <c r="B35" s="749" t="s">
        <v>553</v>
      </c>
      <c r="C35" s="652">
        <v>15</v>
      </c>
      <c r="D35" s="660">
        <f t="shared" si="1"/>
        <v>60</v>
      </c>
      <c r="E35" s="652">
        <v>4</v>
      </c>
      <c r="F35" s="1050"/>
      <c r="G35" s="995" t="s">
        <v>568</v>
      </c>
      <c r="H35" s="260"/>
      <c r="I35" s="260"/>
      <c r="J35" s="260"/>
    </row>
    <row r="36" spans="1:10" s="149" customFormat="1" ht="15" customHeight="1">
      <c r="A36" s="774">
        <v>10</v>
      </c>
      <c r="B36" s="501" t="s">
        <v>782</v>
      </c>
      <c r="C36" s="648">
        <v>24</v>
      </c>
      <c r="D36" s="660">
        <f t="shared" si="1"/>
        <v>96</v>
      </c>
      <c r="E36" s="652">
        <v>4</v>
      </c>
      <c r="F36" s="1050"/>
      <c r="G36" s="995"/>
      <c r="H36" s="260"/>
      <c r="I36" s="260"/>
      <c r="J36" s="260"/>
    </row>
    <row r="37" spans="1:10" s="149" customFormat="1" ht="15" customHeight="1">
      <c r="A37" s="774">
        <v>11</v>
      </c>
      <c r="B37" s="501" t="s">
        <v>521</v>
      </c>
      <c r="C37" s="648">
        <v>16</v>
      </c>
      <c r="D37" s="660">
        <f t="shared" si="1"/>
        <v>64</v>
      </c>
      <c r="E37" s="652">
        <v>4</v>
      </c>
      <c r="F37" s="1050"/>
      <c r="G37" s="995"/>
      <c r="H37" s="260"/>
      <c r="I37" s="260"/>
      <c r="J37" s="260"/>
    </row>
    <row r="38" spans="1:10" s="149" customFormat="1" ht="15" customHeight="1">
      <c r="A38" s="774">
        <v>12</v>
      </c>
      <c r="B38" s="501" t="s">
        <v>931</v>
      </c>
      <c r="C38" s="648">
        <v>36</v>
      </c>
      <c r="D38" s="660">
        <f t="shared" si="1"/>
        <v>144</v>
      </c>
      <c r="E38" s="652">
        <v>4</v>
      </c>
      <c r="F38" s="1050"/>
      <c r="G38" s="995"/>
      <c r="H38" s="260"/>
      <c r="I38" s="260"/>
      <c r="J38" s="260"/>
    </row>
    <row r="39" spans="1:10" s="149" customFormat="1" ht="15" hidden="1" customHeight="1">
      <c r="A39" s="774">
        <v>13</v>
      </c>
      <c r="B39" s="507" t="s">
        <v>543</v>
      </c>
      <c r="C39" s="518">
        <v>12</v>
      </c>
      <c r="D39" s="657">
        <v>72</v>
      </c>
      <c r="E39" s="652">
        <v>4</v>
      </c>
      <c r="F39" s="1050"/>
      <c r="G39" s="995"/>
      <c r="H39" s="260"/>
      <c r="I39" s="260"/>
      <c r="J39" s="260"/>
    </row>
    <row r="40" spans="1:10" s="149" customFormat="1" ht="15" hidden="1" customHeight="1">
      <c r="A40" s="774">
        <v>14</v>
      </c>
      <c r="B40" s="507" t="s">
        <v>545</v>
      </c>
      <c r="C40" s="518"/>
      <c r="D40" s="657"/>
      <c r="E40" s="652">
        <v>4</v>
      </c>
      <c r="F40" s="1050"/>
      <c r="G40" s="995"/>
      <c r="H40" s="260"/>
      <c r="I40" s="260"/>
      <c r="J40" s="260"/>
    </row>
    <row r="41" spans="1:10" s="149" customFormat="1" ht="15" hidden="1" customHeight="1">
      <c r="A41" s="774">
        <v>15</v>
      </c>
      <c r="B41" s="507" t="s">
        <v>547</v>
      </c>
      <c r="C41" s="518"/>
      <c r="D41" s="657"/>
      <c r="E41" s="652">
        <v>4</v>
      </c>
      <c r="F41" s="1050"/>
      <c r="G41" s="995"/>
      <c r="H41" s="260"/>
      <c r="I41" s="260"/>
      <c r="J41" s="260"/>
    </row>
    <row r="42" spans="1:10" s="149" customFormat="1" ht="15" customHeight="1">
      <c r="A42" s="774">
        <v>16</v>
      </c>
      <c r="B42" s="775" t="s">
        <v>657</v>
      </c>
      <c r="C42" s="650">
        <v>30</v>
      </c>
      <c r="D42" s="655">
        <f t="shared" ref="D42:D52" si="4">C42*E42</f>
        <v>120</v>
      </c>
      <c r="E42" s="655">
        <v>4</v>
      </c>
      <c r="F42" s="1050"/>
      <c r="G42" s="995"/>
      <c r="H42" s="260"/>
      <c r="I42" s="260"/>
      <c r="J42" s="260"/>
    </row>
    <row r="43" spans="1:10" s="149" customFormat="1" ht="15" customHeight="1">
      <c r="A43" s="774">
        <v>17</v>
      </c>
      <c r="B43" s="900" t="s">
        <v>669</v>
      </c>
      <c r="C43" s="650">
        <v>40</v>
      </c>
      <c r="D43" s="655">
        <f t="shared" si="4"/>
        <v>160</v>
      </c>
      <c r="E43" s="655">
        <v>4</v>
      </c>
      <c r="F43" s="1050"/>
      <c r="G43" s="995"/>
      <c r="H43" s="260"/>
      <c r="I43" s="260"/>
      <c r="J43" s="260"/>
    </row>
    <row r="44" spans="1:10" s="149" customFormat="1" ht="15" customHeight="1">
      <c r="A44" s="774">
        <v>18</v>
      </c>
      <c r="B44" s="775" t="s">
        <v>742</v>
      </c>
      <c r="C44" s="650">
        <v>22</v>
      </c>
      <c r="D44" s="655">
        <f t="shared" si="4"/>
        <v>88</v>
      </c>
      <c r="E44" s="655">
        <v>4</v>
      </c>
      <c r="F44" s="1050"/>
      <c r="G44" s="995"/>
      <c r="H44" s="260"/>
      <c r="I44" s="260"/>
      <c r="J44" s="260"/>
    </row>
    <row r="45" spans="1:10" s="149" customFormat="1" ht="15" customHeight="1">
      <c r="A45" s="774">
        <v>19</v>
      </c>
      <c r="B45" s="775" t="s">
        <v>662</v>
      </c>
      <c r="C45" s="650">
        <v>20</v>
      </c>
      <c r="D45" s="655">
        <f t="shared" si="4"/>
        <v>80</v>
      </c>
      <c r="E45" s="655">
        <v>4</v>
      </c>
      <c r="F45" s="1050"/>
      <c r="G45" s="995"/>
      <c r="H45" s="260"/>
      <c r="I45" s="260"/>
      <c r="J45" s="260"/>
    </row>
    <row r="46" spans="1:10" s="149" customFormat="1" ht="15" customHeight="1">
      <c r="A46" s="774">
        <v>20</v>
      </c>
      <c r="B46" s="775" t="s">
        <v>663</v>
      </c>
      <c r="C46" s="650">
        <v>16</v>
      </c>
      <c r="D46" s="655">
        <f t="shared" si="4"/>
        <v>64</v>
      </c>
      <c r="E46" s="655">
        <v>4</v>
      </c>
      <c r="F46" s="1050"/>
      <c r="G46" s="995"/>
      <c r="H46" s="260"/>
      <c r="I46" s="260"/>
      <c r="J46" s="260"/>
    </row>
    <row r="47" spans="1:10" s="149" customFormat="1" ht="15" customHeight="1">
      <c r="A47" s="774">
        <v>21</v>
      </c>
      <c r="B47" s="775" t="s">
        <v>722</v>
      </c>
      <c r="C47" s="650">
        <v>20</v>
      </c>
      <c r="D47" s="655">
        <f t="shared" si="4"/>
        <v>80</v>
      </c>
      <c r="E47" s="655">
        <v>4</v>
      </c>
      <c r="F47" s="1050"/>
      <c r="G47" s="995"/>
      <c r="H47" s="260"/>
      <c r="I47" s="260"/>
      <c r="J47" s="260"/>
    </row>
    <row r="48" spans="1:10" s="149" customFormat="1" ht="15" customHeight="1">
      <c r="A48" s="774">
        <v>22</v>
      </c>
      <c r="B48" s="749" t="s">
        <v>374</v>
      </c>
      <c r="C48" s="650">
        <v>66</v>
      </c>
      <c r="D48" s="655">
        <f t="shared" si="4"/>
        <v>264</v>
      </c>
      <c r="E48" s="655">
        <v>4</v>
      </c>
      <c r="F48" s="1050"/>
      <c r="G48" s="995"/>
      <c r="H48" s="260"/>
      <c r="I48" s="260"/>
      <c r="J48" s="260"/>
    </row>
    <row r="49" spans="1:10" s="149" customFormat="1" ht="15" customHeight="1">
      <c r="A49" s="774">
        <v>23</v>
      </c>
      <c r="B49" s="749" t="s">
        <v>542</v>
      </c>
      <c r="C49" s="650">
        <v>8</v>
      </c>
      <c r="D49" s="655">
        <f t="shared" si="4"/>
        <v>32</v>
      </c>
      <c r="E49" s="655">
        <v>4</v>
      </c>
      <c r="F49" s="1050"/>
      <c r="G49" s="995"/>
      <c r="H49" s="260"/>
      <c r="I49" s="260"/>
      <c r="J49" s="260"/>
    </row>
    <row r="50" spans="1:10" s="149" customFormat="1" ht="15" customHeight="1">
      <c r="A50" s="774">
        <v>24</v>
      </c>
      <c r="B50" s="927" t="s">
        <v>927</v>
      </c>
      <c r="C50" s="650">
        <v>124</v>
      </c>
      <c r="D50" s="655">
        <f t="shared" si="4"/>
        <v>496</v>
      </c>
      <c r="E50" s="655">
        <v>4</v>
      </c>
      <c r="F50" s="1050"/>
      <c r="G50" s="995"/>
      <c r="H50" s="260"/>
      <c r="I50" s="260"/>
      <c r="J50" s="260"/>
    </row>
    <row r="51" spans="1:10" s="149" customFormat="1" ht="15" customHeight="1">
      <c r="A51" s="774">
        <v>25</v>
      </c>
      <c r="B51" s="749" t="s">
        <v>519</v>
      </c>
      <c r="C51" s="650">
        <v>5</v>
      </c>
      <c r="D51" s="655">
        <f t="shared" si="4"/>
        <v>20</v>
      </c>
      <c r="E51" s="655">
        <v>4</v>
      </c>
      <c r="F51" s="1050"/>
      <c r="G51" s="995"/>
      <c r="H51" s="260"/>
      <c r="I51" s="260"/>
      <c r="J51" s="260"/>
    </row>
    <row r="52" spans="1:10" s="149" customFormat="1" ht="15" customHeight="1">
      <c r="A52" s="774">
        <v>26</v>
      </c>
      <c r="B52" s="749" t="s">
        <v>520</v>
      </c>
      <c r="C52" s="650">
        <v>10</v>
      </c>
      <c r="D52" s="655">
        <f t="shared" si="4"/>
        <v>40</v>
      </c>
      <c r="E52" s="655">
        <v>4</v>
      </c>
      <c r="F52" s="1050"/>
      <c r="G52" s="995"/>
      <c r="H52" s="260"/>
      <c r="I52" s="260"/>
      <c r="J52" s="260"/>
    </row>
    <row r="53" spans="1:10" s="149" customFormat="1" ht="15" customHeight="1">
      <c r="A53" s="774">
        <v>27</v>
      </c>
      <c r="B53" s="904" t="s">
        <v>758</v>
      </c>
      <c r="C53" s="650">
        <v>24</v>
      </c>
      <c r="D53" s="655">
        <v>96</v>
      </c>
      <c r="E53" s="655">
        <v>4</v>
      </c>
      <c r="F53" s="1050"/>
      <c r="G53" s="995" t="s">
        <v>781</v>
      </c>
      <c r="H53" s="260"/>
      <c r="I53" s="260"/>
      <c r="J53" s="260"/>
    </row>
    <row r="54" spans="1:10" s="149" customFormat="1" ht="15" customHeight="1">
      <c r="A54" s="774">
        <v>28</v>
      </c>
      <c r="B54" s="904" t="s">
        <v>759</v>
      </c>
      <c r="C54" s="650">
        <v>15</v>
      </c>
      <c r="D54" s="655">
        <v>60</v>
      </c>
      <c r="E54" s="655">
        <v>4</v>
      </c>
      <c r="F54" s="1050"/>
      <c r="G54" s="995" t="s">
        <v>780</v>
      </c>
      <c r="H54" s="260"/>
      <c r="I54" s="260"/>
      <c r="J54" s="260"/>
    </row>
    <row r="55" spans="1:10" s="149" customFormat="1" ht="15" customHeight="1">
      <c r="A55" s="774">
        <v>29</v>
      </c>
      <c r="B55" s="904" t="s">
        <v>762</v>
      </c>
      <c r="C55" s="650">
        <v>15</v>
      </c>
      <c r="D55" s="655">
        <v>60</v>
      </c>
      <c r="E55" s="655">
        <v>4</v>
      </c>
      <c r="F55" s="1050"/>
      <c r="G55" s="995" t="s">
        <v>568</v>
      </c>
      <c r="H55" s="260"/>
      <c r="I55" s="260"/>
      <c r="J55" s="260"/>
    </row>
    <row r="56" spans="1:10" s="149" customFormat="1" ht="15" customHeight="1">
      <c r="A56" s="774">
        <v>30</v>
      </c>
      <c r="B56" s="904" t="s">
        <v>763</v>
      </c>
      <c r="C56" s="650">
        <v>15</v>
      </c>
      <c r="D56" s="655">
        <v>60</v>
      </c>
      <c r="E56" s="655">
        <v>4</v>
      </c>
      <c r="F56" s="1050"/>
      <c r="G56" s="995" t="s">
        <v>568</v>
      </c>
      <c r="H56" s="260"/>
      <c r="I56" s="260"/>
      <c r="J56" s="260"/>
    </row>
    <row r="57" spans="1:10" s="149" customFormat="1" ht="15" customHeight="1">
      <c r="A57" s="774">
        <v>31</v>
      </c>
      <c r="B57" s="904" t="s">
        <v>921</v>
      </c>
      <c r="C57" s="650">
        <v>15</v>
      </c>
      <c r="D57" s="655">
        <v>60</v>
      </c>
      <c r="E57" s="655">
        <v>4</v>
      </c>
      <c r="F57" s="1050"/>
      <c r="G57" s="995" t="s">
        <v>568</v>
      </c>
      <c r="H57" s="260"/>
      <c r="I57" s="260"/>
      <c r="J57" s="260"/>
    </row>
    <row r="58" spans="1:10" s="149" customFormat="1" ht="15" customHeight="1">
      <c r="A58" s="774">
        <v>32</v>
      </c>
      <c r="B58" s="904" t="s">
        <v>765</v>
      </c>
      <c r="C58" s="650">
        <v>15</v>
      </c>
      <c r="D58" s="655">
        <v>60</v>
      </c>
      <c r="E58" s="655">
        <v>4</v>
      </c>
      <c r="F58" s="1050"/>
      <c r="G58" s="995" t="s">
        <v>568</v>
      </c>
      <c r="H58" s="260"/>
      <c r="I58" s="260"/>
      <c r="J58" s="260"/>
    </row>
    <row r="59" spans="1:10" s="149" customFormat="1" ht="15" customHeight="1">
      <c r="A59" s="774">
        <v>33</v>
      </c>
      <c r="B59" s="927" t="s">
        <v>890</v>
      </c>
      <c r="C59" s="650">
        <v>20</v>
      </c>
      <c r="D59" s="655">
        <v>80</v>
      </c>
      <c r="E59" s="655">
        <v>4</v>
      </c>
      <c r="F59" s="1050"/>
      <c r="G59" s="995"/>
      <c r="H59" s="260"/>
      <c r="I59" s="260"/>
      <c r="J59" s="260"/>
    </row>
    <row r="60" spans="1:10" s="149" customFormat="1" ht="15" customHeight="1">
      <c r="A60" s="774">
        <v>34</v>
      </c>
      <c r="B60" s="927" t="s">
        <v>895</v>
      </c>
      <c r="C60" s="650">
        <v>27</v>
      </c>
      <c r="D60" s="655">
        <v>108</v>
      </c>
      <c r="E60" s="655">
        <v>4</v>
      </c>
      <c r="F60" s="1050"/>
      <c r="G60" s="995"/>
      <c r="H60" s="260"/>
      <c r="I60" s="260"/>
      <c r="J60" s="260"/>
    </row>
    <row r="61" spans="1:10" s="149" customFormat="1" ht="15" customHeight="1">
      <c r="A61" s="774">
        <v>35</v>
      </c>
      <c r="B61" s="904" t="s">
        <v>779</v>
      </c>
      <c r="C61" s="650">
        <v>20</v>
      </c>
      <c r="D61" s="655">
        <v>80</v>
      </c>
      <c r="E61" s="655">
        <v>4</v>
      </c>
      <c r="F61" s="1050"/>
      <c r="G61" s="995"/>
      <c r="H61" s="260"/>
      <c r="I61" s="260"/>
      <c r="J61" s="260"/>
    </row>
    <row r="62" spans="1:10" s="149" customFormat="1" ht="15" customHeight="1">
      <c r="A62" s="774">
        <v>36</v>
      </c>
      <c r="B62" s="927" t="s">
        <v>907</v>
      </c>
      <c r="C62" s="947">
        <v>24</v>
      </c>
      <c r="D62" s="948">
        <v>96</v>
      </c>
      <c r="E62" s="948">
        <v>4</v>
      </c>
      <c r="F62" s="1050"/>
      <c r="G62" s="995"/>
      <c r="H62" s="260"/>
      <c r="I62" s="260"/>
      <c r="J62" s="260"/>
    </row>
    <row r="63" spans="1:10" s="149" customFormat="1" ht="15" customHeight="1">
      <c r="A63" s="774">
        <v>37</v>
      </c>
      <c r="B63" s="927" t="s">
        <v>908</v>
      </c>
      <c r="C63" s="947">
        <v>24</v>
      </c>
      <c r="D63" s="948">
        <v>96</v>
      </c>
      <c r="E63" s="948">
        <v>4</v>
      </c>
      <c r="F63" s="1050"/>
      <c r="G63" s="995"/>
      <c r="H63" s="260"/>
      <c r="I63" s="260"/>
      <c r="J63" s="260"/>
    </row>
    <row r="64" spans="1:10" s="149" customFormat="1" ht="15" customHeight="1">
      <c r="A64" s="774">
        <v>38</v>
      </c>
      <c r="B64" s="927" t="s">
        <v>909</v>
      </c>
      <c r="C64" s="947">
        <v>12</v>
      </c>
      <c r="D64" s="948">
        <v>48</v>
      </c>
      <c r="E64" s="948">
        <v>4</v>
      </c>
      <c r="F64" s="1050"/>
      <c r="G64" s="995"/>
      <c r="H64" s="260"/>
      <c r="I64" s="260"/>
      <c r="J64" s="260"/>
    </row>
    <row r="65" spans="1:10" s="149" customFormat="1" ht="15" customHeight="1">
      <c r="A65" s="774">
        <v>39</v>
      </c>
      <c r="B65" s="904" t="s">
        <v>913</v>
      </c>
      <c r="C65" s="650">
        <v>24</v>
      </c>
      <c r="D65" s="655">
        <v>96</v>
      </c>
      <c r="E65" s="655">
        <v>4</v>
      </c>
      <c r="F65" s="1050"/>
      <c r="G65" s="995"/>
      <c r="H65" s="260"/>
      <c r="I65" s="260"/>
      <c r="J65" s="260"/>
    </row>
    <row r="66" spans="1:10" s="149" customFormat="1" ht="15" customHeight="1">
      <c r="A66" s="774">
        <v>40</v>
      </c>
      <c r="B66" s="904" t="s">
        <v>915</v>
      </c>
      <c r="C66" s="650">
        <v>16</v>
      </c>
      <c r="D66" s="655">
        <v>64</v>
      </c>
      <c r="E66" s="655">
        <v>4</v>
      </c>
      <c r="F66" s="1050"/>
      <c r="G66" s="995"/>
      <c r="H66" s="260"/>
      <c r="I66" s="260"/>
      <c r="J66" s="260"/>
    </row>
    <row r="67" spans="1:10" s="149" customFormat="1" ht="15" customHeight="1">
      <c r="A67" s="774">
        <v>41</v>
      </c>
      <c r="B67" s="950" t="s">
        <v>929</v>
      </c>
      <c r="C67" s="951">
        <v>16</v>
      </c>
      <c r="D67" s="655">
        <v>64</v>
      </c>
      <c r="E67" s="655">
        <v>4</v>
      </c>
      <c r="F67" s="993"/>
      <c r="G67" s="995"/>
      <c r="H67" s="260"/>
      <c r="I67" s="260"/>
      <c r="J67" s="260"/>
    </row>
    <row r="68" spans="1:10" s="149" customFormat="1" ht="15" customHeight="1">
      <c r="A68" s="774">
        <v>42</v>
      </c>
      <c r="B68" s="904" t="s">
        <v>926</v>
      </c>
      <c r="C68" s="650">
        <v>16</v>
      </c>
      <c r="D68" s="655">
        <v>64</v>
      </c>
      <c r="E68" s="655">
        <v>4</v>
      </c>
      <c r="F68" s="993"/>
      <c r="G68" s="998"/>
      <c r="H68" s="260"/>
      <c r="I68" s="260"/>
      <c r="J68" s="260"/>
    </row>
    <row r="69" spans="1:10" s="149" customFormat="1" ht="15" customHeight="1" thickBot="1">
      <c r="A69" s="999">
        <v>43</v>
      </c>
      <c r="B69" s="984" t="s">
        <v>930</v>
      </c>
      <c r="C69" s="985">
        <v>3</v>
      </c>
      <c r="D69" s="655">
        <v>64</v>
      </c>
      <c r="E69" s="655">
        <v>4</v>
      </c>
      <c r="F69" s="997"/>
      <c r="G69" s="998"/>
      <c r="H69" s="260"/>
      <c r="I69" s="260"/>
      <c r="J69" s="260"/>
    </row>
    <row r="70" spans="1:10" s="149" customFormat="1" ht="15" customHeight="1">
      <c r="A70" s="933">
        <v>1</v>
      </c>
      <c r="B70" s="934" t="s">
        <v>896</v>
      </c>
      <c r="C70" s="935">
        <v>63</v>
      </c>
      <c r="D70" s="936">
        <f>C70*E70</f>
        <v>3024</v>
      </c>
      <c r="E70" s="936">
        <v>48</v>
      </c>
      <c r="F70" s="1051" t="s">
        <v>901</v>
      </c>
      <c r="G70" s="1059" t="s">
        <v>902</v>
      </c>
      <c r="H70" s="260"/>
      <c r="I70" s="260"/>
      <c r="J70" s="260"/>
    </row>
    <row r="71" spans="1:10" s="149" customFormat="1" ht="15" customHeight="1">
      <c r="A71" s="342">
        <v>2</v>
      </c>
      <c r="B71" s="904" t="s">
        <v>897</v>
      </c>
      <c r="C71" s="650">
        <v>45</v>
      </c>
      <c r="D71" s="655">
        <f t="shared" ref="D71:D75" si="5">C71*E71</f>
        <v>2160</v>
      </c>
      <c r="E71" s="655">
        <v>48</v>
      </c>
      <c r="F71" s="1050"/>
      <c r="G71" s="1060"/>
      <c r="H71" s="260"/>
      <c r="I71" s="260"/>
      <c r="J71" s="260"/>
    </row>
    <row r="72" spans="1:10" s="149" customFormat="1" ht="15" customHeight="1">
      <c r="A72" s="342">
        <v>3</v>
      </c>
      <c r="B72" s="904" t="s">
        <v>898</v>
      </c>
      <c r="C72" s="650">
        <v>54</v>
      </c>
      <c r="D72" s="655">
        <f t="shared" si="5"/>
        <v>2592</v>
      </c>
      <c r="E72" s="655">
        <v>48</v>
      </c>
      <c r="F72" s="1050"/>
      <c r="G72" s="1060"/>
      <c r="H72" s="260"/>
      <c r="I72" s="260"/>
      <c r="J72" s="260"/>
    </row>
    <row r="73" spans="1:10" s="149" customFormat="1" ht="15" customHeight="1">
      <c r="A73" s="342">
        <v>4</v>
      </c>
      <c r="B73" s="904" t="s">
        <v>899</v>
      </c>
      <c r="C73" s="650">
        <v>54</v>
      </c>
      <c r="D73" s="655">
        <f t="shared" si="5"/>
        <v>2592</v>
      </c>
      <c r="E73" s="655">
        <v>48</v>
      </c>
      <c r="F73" s="1050"/>
      <c r="G73" s="1060"/>
      <c r="H73" s="260"/>
      <c r="I73" s="260"/>
      <c r="J73" s="260"/>
    </row>
    <row r="74" spans="1:10" s="149" customFormat="1" ht="15" customHeight="1">
      <c r="A74" s="342">
        <v>5</v>
      </c>
      <c r="B74" s="904" t="s">
        <v>900</v>
      </c>
      <c r="C74" s="650">
        <v>54</v>
      </c>
      <c r="D74" s="655">
        <f t="shared" si="5"/>
        <v>2592</v>
      </c>
      <c r="E74" s="655">
        <v>48</v>
      </c>
      <c r="F74" s="1050"/>
      <c r="G74" s="1060"/>
      <c r="H74" s="260"/>
      <c r="I74" s="260"/>
      <c r="J74" s="260"/>
    </row>
    <row r="75" spans="1:10" s="149" customFormat="1" ht="15" customHeight="1" thickBot="1">
      <c r="A75" s="938">
        <v>6</v>
      </c>
      <c r="B75" s="943" t="s">
        <v>912</v>
      </c>
      <c r="C75" s="939">
        <v>144</v>
      </c>
      <c r="D75" s="940">
        <f t="shared" si="5"/>
        <v>6912</v>
      </c>
      <c r="E75" s="940">
        <v>48</v>
      </c>
      <c r="F75" s="1052"/>
      <c r="G75" s="1061"/>
      <c r="H75" s="260"/>
      <c r="I75" s="260"/>
      <c r="J75" s="260"/>
    </row>
    <row r="76" spans="1:10" s="149" customFormat="1" ht="15" customHeight="1" thickBot="1">
      <c r="A76" s="996">
        <v>1</v>
      </c>
      <c r="B76" s="975" t="s">
        <v>664</v>
      </c>
      <c r="C76" s="976">
        <v>8</v>
      </c>
      <c r="D76" s="977">
        <f>C76*E76</f>
        <v>32</v>
      </c>
      <c r="E76" s="977">
        <v>4</v>
      </c>
      <c r="F76" s="894" t="s">
        <v>721</v>
      </c>
      <c r="G76" s="989"/>
      <c r="H76" s="260"/>
      <c r="I76" s="260"/>
      <c r="J76" s="260"/>
    </row>
    <row r="77" spans="1:10">
      <c r="A77" s="963">
        <v>1</v>
      </c>
      <c r="B77" s="978" t="s">
        <v>744</v>
      </c>
      <c r="C77" s="979">
        <v>24</v>
      </c>
      <c r="D77" s="966">
        <f>C77*E77</f>
        <v>48</v>
      </c>
      <c r="E77" s="966">
        <v>2</v>
      </c>
      <c r="F77" s="1053" t="s">
        <v>749</v>
      </c>
      <c r="G77" s="967"/>
    </row>
    <row r="78" spans="1:10">
      <c r="A78" s="968">
        <v>2</v>
      </c>
      <c r="B78" s="790" t="s">
        <v>745</v>
      </c>
      <c r="C78" s="573">
        <v>24</v>
      </c>
      <c r="D78" s="573">
        <f t="shared" ref="D78:D83" si="6">C78*E78</f>
        <v>48</v>
      </c>
      <c r="E78" s="573">
        <v>2</v>
      </c>
      <c r="F78" s="1054"/>
      <c r="G78" s="969"/>
    </row>
    <row r="79" spans="1:10">
      <c r="A79" s="968">
        <v>3</v>
      </c>
      <c r="B79" s="790" t="s">
        <v>746</v>
      </c>
      <c r="C79" s="573">
        <v>24</v>
      </c>
      <c r="D79" s="573">
        <f t="shared" si="6"/>
        <v>48</v>
      </c>
      <c r="E79" s="573">
        <v>2</v>
      </c>
      <c r="F79" s="1054"/>
      <c r="G79" s="969"/>
    </row>
    <row r="80" spans="1:10">
      <c r="A80" s="968">
        <v>4</v>
      </c>
      <c r="B80" s="790" t="s">
        <v>747</v>
      </c>
      <c r="C80" s="573">
        <v>24</v>
      </c>
      <c r="D80" s="573">
        <f t="shared" si="6"/>
        <v>48</v>
      </c>
      <c r="E80" s="573">
        <v>2</v>
      </c>
      <c r="F80" s="1054"/>
      <c r="G80" s="969"/>
    </row>
    <row r="81" spans="1:11">
      <c r="A81" s="968">
        <v>5</v>
      </c>
      <c r="B81" s="791" t="s">
        <v>748</v>
      </c>
      <c r="C81" s="573">
        <v>24</v>
      </c>
      <c r="D81" s="573">
        <f t="shared" si="6"/>
        <v>48</v>
      </c>
      <c r="E81" s="573">
        <v>2</v>
      </c>
      <c r="F81" s="1054"/>
      <c r="G81" s="969"/>
    </row>
    <row r="82" spans="1:11" s="260" customFormat="1" ht="15.75" thickBot="1">
      <c r="A82" s="970">
        <v>6</v>
      </c>
      <c r="B82" s="986" t="s">
        <v>928</v>
      </c>
      <c r="C82" s="980">
        <v>30</v>
      </c>
      <c r="D82" s="981">
        <f t="shared" si="6"/>
        <v>60</v>
      </c>
      <c r="E82" s="981">
        <v>2</v>
      </c>
      <c r="F82" s="1055"/>
      <c r="G82" s="982"/>
    </row>
    <row r="83" spans="1:11" ht="15" customHeight="1">
      <c r="A83" s="963">
        <v>1</v>
      </c>
      <c r="B83" s="964" t="s">
        <v>787</v>
      </c>
      <c r="C83" s="965">
        <v>18</v>
      </c>
      <c r="D83" s="966">
        <f t="shared" si="6"/>
        <v>72</v>
      </c>
      <c r="E83" s="966">
        <v>4</v>
      </c>
      <c r="F83" s="1056" t="s">
        <v>920</v>
      </c>
      <c r="G83" s="967"/>
    </row>
    <row r="84" spans="1:11">
      <c r="A84" s="968">
        <v>2</v>
      </c>
      <c r="B84" s="822" t="s">
        <v>788</v>
      </c>
      <c r="C84" s="824">
        <v>72</v>
      </c>
      <c r="D84" s="573">
        <f>C84*E84</f>
        <v>288</v>
      </c>
      <c r="E84" s="573">
        <v>4</v>
      </c>
      <c r="F84" s="1057"/>
      <c r="G84" s="969"/>
    </row>
    <row r="85" spans="1:11" s="260" customFormat="1">
      <c r="A85" s="968">
        <v>3</v>
      </c>
      <c r="B85" s="823" t="s">
        <v>789</v>
      </c>
      <c r="C85" s="825">
        <v>42</v>
      </c>
      <c r="D85" s="573">
        <f>C85*E85</f>
        <v>168</v>
      </c>
      <c r="E85" s="573">
        <v>4</v>
      </c>
      <c r="F85" s="1057"/>
      <c r="G85" s="969"/>
      <c r="K85"/>
    </row>
    <row r="86" spans="1:11" s="260" customFormat="1" ht="15.75" thickBot="1">
      <c r="A86" s="970">
        <v>4</v>
      </c>
      <c r="B86" s="971" t="s">
        <v>903</v>
      </c>
      <c r="C86" s="972">
        <v>15</v>
      </c>
      <c r="D86" s="973">
        <f>C86*E86</f>
        <v>60</v>
      </c>
      <c r="E86" s="973">
        <v>4</v>
      </c>
      <c r="F86" s="1058"/>
      <c r="G86" s="974"/>
      <c r="K86"/>
    </row>
    <row r="87" spans="1:11" s="260" customFormat="1">
      <c r="A87" s="987"/>
      <c r="B87" s="960" t="s">
        <v>904</v>
      </c>
      <c r="C87" s="961"/>
      <c r="D87" s="962"/>
      <c r="E87" s="962">
        <v>4</v>
      </c>
      <c r="F87" s="907" t="s">
        <v>905</v>
      </c>
      <c r="G87" s="962"/>
      <c r="K87"/>
    </row>
    <row r="88" spans="1:11" s="260" customFormat="1">
      <c r="A88" s="988"/>
      <c r="B88" s="823" t="s">
        <v>922</v>
      </c>
      <c r="C88" s="825"/>
      <c r="D88" s="573"/>
      <c r="E88" s="573">
        <v>48</v>
      </c>
      <c r="F88" s="907" t="s">
        <v>923</v>
      </c>
      <c r="G88" s="573"/>
      <c r="K88"/>
    </row>
    <row r="89" spans="1:11" s="260" customFormat="1">
      <c r="A89" s="497"/>
      <c r="B89" s="498" t="s">
        <v>427</v>
      </c>
      <c r="C89" s="500"/>
      <c r="D89" s="500"/>
      <c r="E89" s="500">
        <v>4</v>
      </c>
      <c r="F89" s="897" t="s">
        <v>428</v>
      </c>
      <c r="G89" s="500"/>
      <c r="K89"/>
    </row>
    <row r="90" spans="1:11" s="260" customFormat="1">
      <c r="A90" s="497"/>
      <c r="B90" s="498" t="s">
        <v>437</v>
      </c>
      <c r="C90" s="500"/>
      <c r="D90" s="500"/>
      <c r="E90" s="498"/>
      <c r="F90" s="897" t="s">
        <v>438</v>
      </c>
      <c r="G90" s="500"/>
      <c r="K90"/>
    </row>
  </sheetData>
  <mergeCells count="21">
    <mergeCell ref="B1:G1"/>
    <mergeCell ref="A3:A4"/>
    <mergeCell ref="B3:B4"/>
    <mergeCell ref="C3:C4"/>
    <mergeCell ref="D3:D4"/>
    <mergeCell ref="E3:E4"/>
    <mergeCell ref="F3:F4"/>
    <mergeCell ref="G3:G4"/>
    <mergeCell ref="F5:F8"/>
    <mergeCell ref="G5:G8"/>
    <mergeCell ref="F9:F26"/>
    <mergeCell ref="A10:A11"/>
    <mergeCell ref="B10:B11"/>
    <mergeCell ref="C10:C11"/>
    <mergeCell ref="D10:D11"/>
    <mergeCell ref="E10:E11"/>
    <mergeCell ref="F27:F66"/>
    <mergeCell ref="F70:F75"/>
    <mergeCell ref="F77:F82"/>
    <mergeCell ref="F83:F86"/>
    <mergeCell ref="G70:G75"/>
  </mergeCells>
  <printOptions horizontalCentered="1"/>
  <pageMargins left="0" right="0" top="1.0900000000000001" bottom="0.05" header="0" footer="0.2"/>
  <pageSetup paperSize="9" scale="59" orientation="portrait" r:id="rId1"/>
  <headerFooter>
    <oddHeader>&amp;L&amp;"Arial Black,Regular"PT.QUTY KARUNIA&amp;R18/07/2013</oddHeader>
  </headerFooter>
  <rowBreaks count="1" manualBreakCount="1">
    <brk id="76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K102"/>
  <sheetViews>
    <sheetView view="pageBreakPreview" topLeftCell="A85" zoomScaleSheetLayoutView="100" workbookViewId="0">
      <selection activeCell="B86" sqref="B86"/>
    </sheetView>
  </sheetViews>
  <sheetFormatPr defaultRowHeight="15"/>
  <cols>
    <col min="1" max="1" width="4.5703125" style="86" customWidth="1"/>
    <col min="2" max="2" width="47" style="285" customWidth="1"/>
    <col min="3" max="3" width="13.140625" style="257" customWidth="1"/>
    <col min="4" max="4" width="12.7109375" style="257" customWidth="1"/>
    <col min="5" max="5" width="10.42578125" customWidth="1"/>
    <col min="6" max="6" width="17.42578125" style="285" customWidth="1"/>
    <col min="7" max="7" width="27.28515625" style="257" customWidth="1"/>
    <col min="8" max="8" width="6.7109375" style="260" customWidth="1"/>
    <col min="9" max="9" width="14" style="260" customWidth="1"/>
    <col min="10" max="10" width="9.140625" style="260"/>
    <col min="11" max="11" width="9.140625" hidden="1" customWidth="1"/>
  </cols>
  <sheetData>
    <row r="1" spans="1:10" ht="26.25">
      <c r="A1" s="776"/>
      <c r="B1" s="1074" t="s">
        <v>363</v>
      </c>
      <c r="C1" s="1074"/>
      <c r="D1" s="1074"/>
      <c r="E1" s="1074"/>
      <c r="F1" s="1074"/>
      <c r="G1" s="1074"/>
    </row>
    <row r="2" spans="1:10">
      <c r="A2" s="776"/>
      <c r="B2" s="763"/>
      <c r="C2" s="764"/>
      <c r="D2" s="764"/>
      <c r="E2" s="765"/>
      <c r="F2" s="896"/>
      <c r="G2" s="766"/>
    </row>
    <row r="3" spans="1:10" ht="24.95" customHeight="1">
      <c r="A3" s="1075" t="s">
        <v>358</v>
      </c>
      <c r="B3" s="1076" t="s">
        <v>255</v>
      </c>
      <c r="C3" s="1078" t="s">
        <v>256</v>
      </c>
      <c r="D3" s="1078" t="s">
        <v>382</v>
      </c>
      <c r="E3" s="1078" t="s">
        <v>381</v>
      </c>
      <c r="F3" s="1079" t="s">
        <v>259</v>
      </c>
      <c r="G3" s="1078" t="s">
        <v>260</v>
      </c>
    </row>
    <row r="4" spans="1:10" ht="31.5" customHeight="1">
      <c r="A4" s="1075"/>
      <c r="B4" s="1077"/>
      <c r="C4" s="1078"/>
      <c r="D4" s="1078"/>
      <c r="E4" s="1078"/>
      <c r="F4" s="1079"/>
      <c r="G4" s="1078"/>
    </row>
    <row r="5" spans="1:10" ht="15" customHeight="1">
      <c r="A5" s="922">
        <v>1</v>
      </c>
      <c r="B5" s="582" t="s">
        <v>318</v>
      </c>
      <c r="C5" s="661">
        <v>24</v>
      </c>
      <c r="D5" s="661">
        <f>C5*E5</f>
        <v>384</v>
      </c>
      <c r="E5" s="661">
        <v>16</v>
      </c>
      <c r="F5" s="1062" t="s">
        <v>392</v>
      </c>
      <c r="G5" s="1065"/>
    </row>
    <row r="6" spans="1:10" ht="15" customHeight="1">
      <c r="A6" s="767">
        <v>2</v>
      </c>
      <c r="B6" s="582" t="s">
        <v>643</v>
      </c>
      <c r="C6" s="661">
        <v>36</v>
      </c>
      <c r="D6" s="661">
        <f>C6*E6</f>
        <v>576</v>
      </c>
      <c r="E6" s="661">
        <v>16</v>
      </c>
      <c r="F6" s="1063"/>
      <c r="G6" s="1066"/>
    </row>
    <row r="7" spans="1:10" s="331" customFormat="1" ht="15" customHeight="1">
      <c r="A7" s="922">
        <v>3</v>
      </c>
      <c r="B7" s="809" t="s">
        <v>477</v>
      </c>
      <c r="C7" s="810">
        <v>162</v>
      </c>
      <c r="D7" s="810">
        <f t="shared" ref="D7" si="0">C7*E7</f>
        <v>2592</v>
      </c>
      <c r="E7" s="810">
        <v>16</v>
      </c>
      <c r="F7" s="1063"/>
      <c r="G7" s="1066"/>
      <c r="H7" s="260"/>
      <c r="I7" s="260"/>
      <c r="J7" s="260"/>
    </row>
    <row r="8" spans="1:10" s="331" customFormat="1" ht="15" customHeight="1">
      <c r="A8" s="924">
        <v>4</v>
      </c>
      <c r="B8" s="928" t="s">
        <v>911</v>
      </c>
      <c r="C8" s="739">
        <v>45</v>
      </c>
      <c r="D8" s="739">
        <f>C8*E8</f>
        <v>720</v>
      </c>
      <c r="E8" s="925">
        <v>16</v>
      </c>
      <c r="F8" s="1064"/>
      <c r="G8" s="1067"/>
      <c r="H8" s="260"/>
      <c r="I8" s="260"/>
      <c r="J8" s="260"/>
    </row>
    <row r="9" spans="1:10" s="276" customFormat="1" ht="15" customHeight="1">
      <c r="A9" s="777">
        <v>1</v>
      </c>
      <c r="B9" s="778" t="s">
        <v>537</v>
      </c>
      <c r="C9" s="721">
        <v>300</v>
      </c>
      <c r="D9" s="721">
        <f>C9*E9</f>
        <v>2400</v>
      </c>
      <c r="E9" s="721">
        <v>8</v>
      </c>
      <c r="F9" s="1068" t="s">
        <v>326</v>
      </c>
      <c r="G9" s="958"/>
      <c r="H9" s="260"/>
    </row>
    <row r="10" spans="1:10" s="276" customFormat="1" ht="15" customHeight="1">
      <c r="A10" s="1071">
        <v>2</v>
      </c>
      <c r="B10" s="1072" t="s">
        <v>555</v>
      </c>
      <c r="C10" s="1073">
        <v>56</v>
      </c>
      <c r="D10" s="1073">
        <f>C10*E10</f>
        <v>448</v>
      </c>
      <c r="E10" s="1073">
        <v>8</v>
      </c>
      <c r="F10" s="1069"/>
      <c r="G10" s="959" t="s">
        <v>570</v>
      </c>
    </row>
    <row r="11" spans="1:10" s="276" customFormat="1" ht="16.5" customHeight="1">
      <c r="A11" s="1071"/>
      <c r="B11" s="1072"/>
      <c r="C11" s="1073"/>
      <c r="D11" s="1073"/>
      <c r="E11" s="1073"/>
      <c r="F11" s="1069"/>
      <c r="G11" s="959" t="s">
        <v>571</v>
      </c>
    </row>
    <row r="12" spans="1:10" s="276" customFormat="1" ht="15" customHeight="1">
      <c r="A12" s="919">
        <v>3</v>
      </c>
      <c r="B12" s="920" t="s">
        <v>476</v>
      </c>
      <c r="C12" s="921">
        <v>34</v>
      </c>
      <c r="D12" s="921">
        <f>C12*E12</f>
        <v>272</v>
      </c>
      <c r="E12" s="921">
        <v>8</v>
      </c>
      <c r="F12" s="1069"/>
      <c r="G12" s="959" t="s">
        <v>567</v>
      </c>
      <c r="H12" s="260"/>
    </row>
    <row r="13" spans="1:10" s="276" customFormat="1" ht="15" customHeight="1">
      <c r="A13" s="777">
        <v>4</v>
      </c>
      <c r="B13" s="770" t="s">
        <v>610</v>
      </c>
      <c r="C13" s="921">
        <v>50</v>
      </c>
      <c r="D13" s="921">
        <f>E13*C13</f>
        <v>400</v>
      </c>
      <c r="E13" s="921">
        <v>8</v>
      </c>
      <c r="F13" s="1069"/>
      <c r="G13" s="781"/>
      <c r="H13" s="260"/>
    </row>
    <row r="14" spans="1:10" s="276" customFormat="1" ht="15" customHeight="1">
      <c r="A14" s="919">
        <v>5</v>
      </c>
      <c r="B14" s="770" t="s">
        <v>654</v>
      </c>
      <c r="C14" s="921">
        <v>38</v>
      </c>
      <c r="D14" s="921">
        <f>C14*E14</f>
        <v>304</v>
      </c>
      <c r="E14" s="921">
        <v>8</v>
      </c>
      <c r="F14" s="1069"/>
      <c r="G14" s="781"/>
      <c r="H14" s="260"/>
    </row>
    <row r="15" spans="1:10" s="276" customFormat="1" ht="15" customHeight="1">
      <c r="A15" s="777">
        <v>6</v>
      </c>
      <c r="B15" s="771" t="s">
        <v>486</v>
      </c>
      <c r="C15" s="664">
        <v>72</v>
      </c>
      <c r="D15" s="921">
        <f t="shared" ref="D15:D43" si="1">C15*E15</f>
        <v>576</v>
      </c>
      <c r="E15" s="921">
        <v>8</v>
      </c>
      <c r="F15" s="1069"/>
      <c r="G15" s="781"/>
      <c r="H15" s="260"/>
    </row>
    <row r="16" spans="1:10" s="276" customFormat="1" ht="15" customHeight="1">
      <c r="A16" s="919">
        <v>7</v>
      </c>
      <c r="B16" s="772" t="s">
        <v>712</v>
      </c>
      <c r="C16" s="921">
        <v>120</v>
      </c>
      <c r="D16" s="921">
        <f t="shared" si="1"/>
        <v>960</v>
      </c>
      <c r="E16" s="921">
        <v>8</v>
      </c>
      <c r="F16" s="1069"/>
      <c r="G16" s="781"/>
      <c r="H16" s="260"/>
    </row>
    <row r="17" spans="1:10" s="276" customFormat="1" ht="15" customHeight="1">
      <c r="A17" s="777">
        <v>8</v>
      </c>
      <c r="B17" s="772" t="s">
        <v>757</v>
      </c>
      <c r="C17" s="921">
        <v>20</v>
      </c>
      <c r="D17" s="921">
        <v>160</v>
      </c>
      <c r="E17" s="921">
        <v>8</v>
      </c>
      <c r="F17" s="1069"/>
      <c r="G17" s="781"/>
      <c r="H17" s="260"/>
    </row>
    <row r="18" spans="1:10" s="276" customFormat="1" ht="15" customHeight="1">
      <c r="A18" s="919">
        <v>9</v>
      </c>
      <c r="B18" s="773" t="s">
        <v>894</v>
      </c>
      <c r="C18" s="901">
        <v>36</v>
      </c>
      <c r="D18" s="901">
        <v>288</v>
      </c>
      <c r="E18" s="901">
        <v>8</v>
      </c>
      <c r="F18" s="1069"/>
      <c r="G18" s="781"/>
      <c r="H18" s="902"/>
    </row>
    <row r="19" spans="1:10" s="276" customFormat="1" ht="15" customHeight="1">
      <c r="A19" s="777">
        <v>10</v>
      </c>
      <c r="B19" s="772" t="s">
        <v>776</v>
      </c>
      <c r="C19" s="921">
        <v>56</v>
      </c>
      <c r="D19" s="921">
        <v>448</v>
      </c>
      <c r="E19" s="921">
        <v>8</v>
      </c>
      <c r="F19" s="1069"/>
      <c r="G19" s="781"/>
      <c r="H19" s="260"/>
    </row>
    <row r="20" spans="1:10" s="276" customFormat="1" ht="15" customHeight="1">
      <c r="A20" s="919">
        <v>11</v>
      </c>
      <c r="B20" s="772" t="s">
        <v>777</v>
      </c>
      <c r="C20" s="921">
        <v>8</v>
      </c>
      <c r="D20" s="921">
        <v>64</v>
      </c>
      <c r="E20" s="921">
        <v>8</v>
      </c>
      <c r="F20" s="1069"/>
      <c r="G20" s="781"/>
      <c r="H20" s="260"/>
    </row>
    <row r="21" spans="1:10" s="276" customFormat="1" ht="15" customHeight="1">
      <c r="A21" s="777">
        <v>12</v>
      </c>
      <c r="B21" s="772" t="s">
        <v>783</v>
      </c>
      <c r="C21" s="921">
        <v>60</v>
      </c>
      <c r="D21" s="921">
        <f>C21*E21</f>
        <v>480</v>
      </c>
      <c r="E21" s="921">
        <v>8</v>
      </c>
      <c r="F21" s="1069"/>
      <c r="G21" s="781"/>
      <c r="H21" s="260"/>
    </row>
    <row r="22" spans="1:10" s="276" customFormat="1" ht="15" customHeight="1">
      <c r="A22" s="919">
        <v>13</v>
      </c>
      <c r="B22" s="772" t="s">
        <v>784</v>
      </c>
      <c r="C22" s="921">
        <v>60</v>
      </c>
      <c r="D22" s="921">
        <f t="shared" ref="D22:D23" si="2">C22*E22</f>
        <v>480</v>
      </c>
      <c r="E22" s="921">
        <v>8</v>
      </c>
      <c r="F22" s="1069"/>
      <c r="G22" s="781"/>
      <c r="H22" s="260"/>
    </row>
    <row r="23" spans="1:10" s="276" customFormat="1" ht="15" customHeight="1">
      <c r="A23" s="777">
        <v>14</v>
      </c>
      <c r="B23" s="772" t="s">
        <v>785</v>
      </c>
      <c r="C23" s="921">
        <v>60</v>
      </c>
      <c r="D23" s="921">
        <f t="shared" si="2"/>
        <v>480</v>
      </c>
      <c r="E23" s="921">
        <v>8</v>
      </c>
      <c r="F23" s="1069"/>
      <c r="G23" s="781"/>
      <c r="H23" s="260"/>
    </row>
    <row r="24" spans="1:10" s="276" customFormat="1" ht="15" customHeight="1">
      <c r="A24" s="919">
        <v>15</v>
      </c>
      <c r="B24" s="772" t="s">
        <v>786</v>
      </c>
      <c r="C24" s="921">
        <v>28</v>
      </c>
      <c r="D24" s="921">
        <f>C24*E24</f>
        <v>224</v>
      </c>
      <c r="E24" s="921">
        <v>8</v>
      </c>
      <c r="F24" s="1069"/>
      <c r="G24" s="781"/>
      <c r="H24" s="260"/>
    </row>
    <row r="25" spans="1:10" s="276" customFormat="1" ht="15" customHeight="1">
      <c r="A25" s="777">
        <v>16</v>
      </c>
      <c r="B25" s="772" t="s">
        <v>739</v>
      </c>
      <c r="C25" s="921">
        <v>40</v>
      </c>
      <c r="D25" s="921">
        <f t="shared" ref="D25:D27" si="3">C25*E25</f>
        <v>320</v>
      </c>
      <c r="E25" s="921">
        <v>8</v>
      </c>
      <c r="F25" s="1069"/>
      <c r="G25" s="781"/>
      <c r="H25" s="260"/>
    </row>
    <row r="26" spans="1:10" s="276" customFormat="1" ht="15" customHeight="1">
      <c r="A26" s="919">
        <v>17</v>
      </c>
      <c r="B26" s="772" t="s">
        <v>740</v>
      </c>
      <c r="C26" s="921">
        <v>40</v>
      </c>
      <c r="D26" s="921">
        <f t="shared" si="3"/>
        <v>320</v>
      </c>
      <c r="E26" s="921">
        <v>8</v>
      </c>
      <c r="F26" s="1069"/>
      <c r="G26" s="781"/>
      <c r="H26" s="260"/>
    </row>
    <row r="27" spans="1:10" s="276" customFormat="1" ht="15" customHeight="1">
      <c r="A27" s="777">
        <v>18</v>
      </c>
      <c r="B27" s="772" t="s">
        <v>778</v>
      </c>
      <c r="C27" s="921">
        <v>24</v>
      </c>
      <c r="D27" s="921">
        <f t="shared" si="3"/>
        <v>192</v>
      </c>
      <c r="E27" s="921">
        <v>8</v>
      </c>
      <c r="F27" s="1069"/>
      <c r="G27" s="781"/>
      <c r="H27" s="260"/>
    </row>
    <row r="28" spans="1:10" s="276" customFormat="1" ht="15" customHeight="1">
      <c r="A28" s="919">
        <v>19</v>
      </c>
      <c r="B28" s="773" t="s">
        <v>910</v>
      </c>
      <c r="C28" s="921">
        <v>20</v>
      </c>
      <c r="D28" s="921">
        <v>160</v>
      </c>
      <c r="E28" s="921">
        <v>8</v>
      </c>
      <c r="F28" s="1069"/>
      <c r="G28" s="781"/>
      <c r="H28" s="260"/>
    </row>
    <row r="29" spans="1:10" s="276" customFormat="1" ht="15" customHeight="1">
      <c r="A29" s="777">
        <v>20</v>
      </c>
      <c r="B29" s="772" t="s">
        <v>914</v>
      </c>
      <c r="C29" s="921">
        <v>100</v>
      </c>
      <c r="D29" s="921">
        <v>800</v>
      </c>
      <c r="E29" s="921">
        <v>8</v>
      </c>
      <c r="F29" s="1069"/>
      <c r="G29" s="781"/>
      <c r="H29" s="260"/>
    </row>
    <row r="30" spans="1:10" s="276" customFormat="1" ht="15" customHeight="1">
      <c r="A30" s="919">
        <v>21</v>
      </c>
      <c r="B30" s="772" t="s">
        <v>917</v>
      </c>
      <c r="C30" s="921">
        <v>300</v>
      </c>
      <c r="D30" s="921">
        <v>2400</v>
      </c>
      <c r="E30" s="921">
        <v>8</v>
      </c>
      <c r="F30" s="1069"/>
      <c r="G30" s="781"/>
      <c r="H30" s="260"/>
    </row>
    <row r="31" spans="1:10" s="149" customFormat="1" ht="15" customHeight="1">
      <c r="A31" s="929">
        <v>22</v>
      </c>
      <c r="B31" s="930" t="s">
        <v>916</v>
      </c>
      <c r="C31" s="931">
        <v>56</v>
      </c>
      <c r="D31" s="932">
        <v>224</v>
      </c>
      <c r="E31" s="932">
        <v>4</v>
      </c>
      <c r="F31" s="1070"/>
      <c r="G31" s="781"/>
      <c r="H31" s="260"/>
      <c r="I31" s="260"/>
      <c r="J31" s="260"/>
    </row>
    <row r="32" spans="1:10" s="149" customFormat="1" ht="15" customHeight="1">
      <c r="A32" s="774">
        <v>1</v>
      </c>
      <c r="B32" s="437" t="s">
        <v>413</v>
      </c>
      <c r="C32" s="652">
        <v>54</v>
      </c>
      <c r="D32" s="660">
        <f t="shared" si="1"/>
        <v>216</v>
      </c>
      <c r="E32" s="652">
        <v>4</v>
      </c>
      <c r="F32" s="1049" t="s">
        <v>267</v>
      </c>
      <c r="G32" s="923"/>
      <c r="H32" s="260"/>
      <c r="I32" s="260"/>
      <c r="J32" s="260"/>
    </row>
    <row r="33" spans="1:10" s="149" customFormat="1" ht="15" customHeight="1">
      <c r="A33" s="774">
        <v>2</v>
      </c>
      <c r="B33" s="437" t="s">
        <v>414</v>
      </c>
      <c r="C33" s="652">
        <v>224</v>
      </c>
      <c r="D33" s="660">
        <f t="shared" si="1"/>
        <v>896</v>
      </c>
      <c r="E33" s="652">
        <v>4</v>
      </c>
      <c r="F33" s="1050"/>
      <c r="G33" s="923"/>
      <c r="H33" s="260"/>
      <c r="I33" s="260"/>
      <c r="J33" s="260"/>
    </row>
    <row r="34" spans="1:10" s="149" customFormat="1" ht="15" customHeight="1">
      <c r="A34" s="774">
        <v>3</v>
      </c>
      <c r="B34" s="437" t="s">
        <v>375</v>
      </c>
      <c r="C34" s="652">
        <v>20</v>
      </c>
      <c r="D34" s="660">
        <f t="shared" si="1"/>
        <v>80</v>
      </c>
      <c r="E34" s="652">
        <v>4</v>
      </c>
      <c r="F34" s="1050"/>
      <c r="G34" s="923"/>
      <c r="H34" s="260"/>
      <c r="I34" s="260"/>
      <c r="J34" s="260"/>
    </row>
    <row r="35" spans="1:10" s="149" customFormat="1" ht="15" customHeight="1">
      <c r="A35" s="774">
        <v>4</v>
      </c>
      <c r="B35" s="437" t="s">
        <v>67</v>
      </c>
      <c r="C35" s="652">
        <v>14</v>
      </c>
      <c r="D35" s="660">
        <f t="shared" si="1"/>
        <v>56</v>
      </c>
      <c r="E35" s="652">
        <v>4</v>
      </c>
      <c r="F35" s="1050"/>
      <c r="G35" s="923"/>
      <c r="H35" s="260"/>
      <c r="I35" s="260"/>
      <c r="J35" s="260"/>
    </row>
    <row r="36" spans="1:10" s="149" customFormat="1" ht="15" customHeight="1">
      <c r="A36" s="774">
        <v>5</v>
      </c>
      <c r="B36" s="437" t="s">
        <v>540</v>
      </c>
      <c r="C36" s="652">
        <v>16</v>
      </c>
      <c r="D36" s="660">
        <f t="shared" si="1"/>
        <v>64</v>
      </c>
      <c r="E36" s="652">
        <v>4</v>
      </c>
      <c r="F36" s="1050"/>
      <c r="G36" s="923"/>
      <c r="H36" s="260"/>
      <c r="I36" s="260"/>
      <c r="J36" s="260"/>
    </row>
    <row r="37" spans="1:10" s="149" customFormat="1" ht="15" customHeight="1">
      <c r="A37" s="774">
        <v>6</v>
      </c>
      <c r="B37" s="437" t="s">
        <v>550</v>
      </c>
      <c r="C37" s="652">
        <v>14</v>
      </c>
      <c r="D37" s="660">
        <f t="shared" si="1"/>
        <v>56</v>
      </c>
      <c r="E37" s="652">
        <v>4</v>
      </c>
      <c r="F37" s="1050"/>
      <c r="G37" s="923"/>
      <c r="H37" s="260"/>
      <c r="I37" s="260"/>
      <c r="J37" s="260"/>
    </row>
    <row r="38" spans="1:10" s="149" customFormat="1" ht="15" customHeight="1">
      <c r="A38" s="774">
        <v>7</v>
      </c>
      <c r="B38" s="749" t="s">
        <v>528</v>
      </c>
      <c r="C38" s="652">
        <v>9</v>
      </c>
      <c r="D38" s="660">
        <f t="shared" si="1"/>
        <v>36</v>
      </c>
      <c r="E38" s="652">
        <v>4</v>
      </c>
      <c r="F38" s="1050"/>
      <c r="G38" s="923"/>
      <c r="H38" s="260"/>
      <c r="I38" s="260"/>
      <c r="J38" s="260"/>
    </row>
    <row r="39" spans="1:10" s="149" customFormat="1" ht="15" customHeight="1">
      <c r="A39" s="774">
        <v>8</v>
      </c>
      <c r="B39" s="749" t="s">
        <v>538</v>
      </c>
      <c r="C39" s="652">
        <v>16</v>
      </c>
      <c r="D39" s="660">
        <f t="shared" si="1"/>
        <v>64</v>
      </c>
      <c r="E39" s="652">
        <v>4</v>
      </c>
      <c r="F39" s="1050"/>
      <c r="G39" s="957" t="s">
        <v>569</v>
      </c>
      <c r="H39" s="260"/>
      <c r="I39" s="260"/>
      <c r="J39" s="260"/>
    </row>
    <row r="40" spans="1:10" s="149" customFormat="1" ht="15" customHeight="1">
      <c r="A40" s="774">
        <v>9</v>
      </c>
      <c r="B40" s="749" t="s">
        <v>553</v>
      </c>
      <c r="C40" s="652">
        <v>15</v>
      </c>
      <c r="D40" s="660">
        <f t="shared" si="1"/>
        <v>60</v>
      </c>
      <c r="E40" s="652">
        <v>4</v>
      </c>
      <c r="F40" s="1050"/>
      <c r="G40" s="957" t="s">
        <v>568</v>
      </c>
      <c r="H40" s="260"/>
      <c r="I40" s="260"/>
      <c r="J40" s="260"/>
    </row>
    <row r="41" spans="1:10" s="149" customFormat="1" ht="15" customHeight="1">
      <c r="A41" s="774">
        <v>10</v>
      </c>
      <c r="B41" s="501" t="s">
        <v>782</v>
      </c>
      <c r="C41" s="648">
        <v>24</v>
      </c>
      <c r="D41" s="660">
        <f t="shared" si="1"/>
        <v>96</v>
      </c>
      <c r="E41" s="652">
        <v>4</v>
      </c>
      <c r="F41" s="1050"/>
      <c r="G41" s="957"/>
      <c r="H41" s="260"/>
      <c r="I41" s="260"/>
      <c r="J41" s="260"/>
    </row>
    <row r="42" spans="1:10" s="149" customFormat="1" ht="15" customHeight="1">
      <c r="A42" s="774">
        <v>11</v>
      </c>
      <c r="B42" s="501" t="s">
        <v>521</v>
      </c>
      <c r="C42" s="648">
        <v>16</v>
      </c>
      <c r="D42" s="660">
        <f t="shared" si="1"/>
        <v>64</v>
      </c>
      <c r="E42" s="652">
        <v>4</v>
      </c>
      <c r="F42" s="1050"/>
      <c r="G42" s="923"/>
      <c r="H42" s="260"/>
      <c r="I42" s="260"/>
      <c r="J42" s="260"/>
    </row>
    <row r="43" spans="1:10" s="149" customFormat="1" ht="15" customHeight="1">
      <c r="A43" s="774">
        <v>12</v>
      </c>
      <c r="B43" s="501" t="s">
        <v>573</v>
      </c>
      <c r="C43" s="648">
        <v>36</v>
      </c>
      <c r="D43" s="660">
        <f t="shared" si="1"/>
        <v>144</v>
      </c>
      <c r="E43" s="652">
        <v>4</v>
      </c>
      <c r="F43" s="1050"/>
      <c r="G43" s="923"/>
      <c r="H43" s="260"/>
      <c r="I43" s="260"/>
      <c r="J43" s="260"/>
    </row>
    <row r="44" spans="1:10" s="149" customFormat="1" ht="15" hidden="1" customHeight="1">
      <c r="A44" s="774">
        <v>13</v>
      </c>
      <c r="B44" s="507" t="s">
        <v>543</v>
      </c>
      <c r="C44" s="518">
        <v>12</v>
      </c>
      <c r="D44" s="657">
        <v>72</v>
      </c>
      <c r="E44" s="652">
        <v>4</v>
      </c>
      <c r="F44" s="1050"/>
      <c r="G44" s="923"/>
      <c r="H44" s="260"/>
      <c r="I44" s="260"/>
      <c r="J44" s="260"/>
    </row>
    <row r="45" spans="1:10" s="149" customFormat="1" ht="15" hidden="1" customHeight="1">
      <c r="A45" s="774">
        <v>14</v>
      </c>
      <c r="B45" s="507" t="s">
        <v>545</v>
      </c>
      <c r="C45" s="518"/>
      <c r="D45" s="657"/>
      <c r="E45" s="652">
        <v>4</v>
      </c>
      <c r="F45" s="1050"/>
      <c r="G45" s="923"/>
      <c r="H45" s="260"/>
      <c r="I45" s="260"/>
      <c r="J45" s="260"/>
    </row>
    <row r="46" spans="1:10" s="149" customFormat="1" ht="15" hidden="1" customHeight="1">
      <c r="A46" s="774">
        <v>15</v>
      </c>
      <c r="B46" s="507" t="s">
        <v>547</v>
      </c>
      <c r="C46" s="518"/>
      <c r="D46" s="657"/>
      <c r="E46" s="652">
        <v>4</v>
      </c>
      <c r="F46" s="1050"/>
      <c r="G46" s="923"/>
      <c r="H46" s="260"/>
      <c r="I46" s="260"/>
      <c r="J46" s="260"/>
    </row>
    <row r="47" spans="1:10" s="149" customFormat="1" ht="15" customHeight="1">
      <c r="A47" s="774">
        <v>16</v>
      </c>
      <c r="B47" s="775" t="s">
        <v>622</v>
      </c>
      <c r="C47" s="655">
        <v>48</v>
      </c>
      <c r="D47" s="655">
        <v>192</v>
      </c>
      <c r="E47" s="652">
        <v>4</v>
      </c>
      <c r="F47" s="1050"/>
      <c r="G47" s="923"/>
      <c r="H47" s="260"/>
      <c r="I47" s="260"/>
      <c r="J47" s="260"/>
    </row>
    <row r="48" spans="1:10" s="149" customFormat="1" ht="15" customHeight="1">
      <c r="A48" s="774">
        <v>17</v>
      </c>
      <c r="B48" s="775" t="s">
        <v>606</v>
      </c>
      <c r="C48" s="655">
        <v>9</v>
      </c>
      <c r="D48" s="655">
        <v>36</v>
      </c>
      <c r="E48" s="652">
        <v>4</v>
      </c>
      <c r="F48" s="1050"/>
      <c r="G48" s="923"/>
      <c r="H48" s="260"/>
      <c r="I48" s="260"/>
      <c r="J48" s="260"/>
    </row>
    <row r="49" spans="1:10" s="149" customFormat="1" ht="15" customHeight="1">
      <c r="A49" s="774">
        <v>18</v>
      </c>
      <c r="B49" s="775" t="s">
        <v>655</v>
      </c>
      <c r="C49" s="650">
        <v>45</v>
      </c>
      <c r="D49" s="655">
        <f t="shared" ref="D49:D61" si="4">C49*E49</f>
        <v>180</v>
      </c>
      <c r="E49" s="655">
        <v>4</v>
      </c>
      <c r="F49" s="1050"/>
      <c r="G49" s="923"/>
      <c r="H49" s="260"/>
      <c r="I49" s="260"/>
      <c r="J49" s="260"/>
    </row>
    <row r="50" spans="1:10" s="149" customFormat="1" ht="15" customHeight="1">
      <c r="A50" s="774">
        <v>19</v>
      </c>
      <c r="B50" s="775" t="s">
        <v>656</v>
      </c>
      <c r="C50" s="650">
        <v>15</v>
      </c>
      <c r="D50" s="655">
        <f t="shared" si="4"/>
        <v>60</v>
      </c>
      <c r="E50" s="655">
        <v>4</v>
      </c>
      <c r="F50" s="1050"/>
      <c r="G50" s="923"/>
      <c r="H50" s="260"/>
      <c r="I50" s="260"/>
      <c r="J50" s="260"/>
    </row>
    <row r="51" spans="1:10" s="149" customFormat="1" ht="15" customHeight="1">
      <c r="A51" s="774">
        <v>20</v>
      </c>
      <c r="B51" s="775" t="s">
        <v>657</v>
      </c>
      <c r="C51" s="650">
        <v>30</v>
      </c>
      <c r="D51" s="655">
        <f t="shared" si="4"/>
        <v>120</v>
      </c>
      <c r="E51" s="655">
        <v>4</v>
      </c>
      <c r="F51" s="1050"/>
      <c r="G51" s="923"/>
      <c r="H51" s="260"/>
      <c r="I51" s="260"/>
      <c r="J51" s="260"/>
    </row>
    <row r="52" spans="1:10" s="149" customFormat="1" ht="15" customHeight="1">
      <c r="A52" s="774">
        <v>21</v>
      </c>
      <c r="B52" s="900" t="s">
        <v>669</v>
      </c>
      <c r="C52" s="650">
        <v>40</v>
      </c>
      <c r="D52" s="655">
        <f t="shared" si="4"/>
        <v>160</v>
      </c>
      <c r="E52" s="655">
        <v>4</v>
      </c>
      <c r="F52" s="1050"/>
      <c r="G52" s="923"/>
      <c r="H52" s="260"/>
      <c r="I52" s="260"/>
      <c r="J52" s="260"/>
    </row>
    <row r="53" spans="1:10" s="149" customFormat="1" ht="15" customHeight="1">
      <c r="A53" s="774">
        <v>22</v>
      </c>
      <c r="B53" s="775" t="s">
        <v>742</v>
      </c>
      <c r="C53" s="650">
        <v>22</v>
      </c>
      <c r="D53" s="655">
        <f t="shared" si="4"/>
        <v>88</v>
      </c>
      <c r="E53" s="655">
        <v>4</v>
      </c>
      <c r="F53" s="1050"/>
      <c r="G53" s="923"/>
      <c r="H53" s="260"/>
      <c r="I53" s="260"/>
      <c r="J53" s="260"/>
    </row>
    <row r="54" spans="1:10" s="149" customFormat="1" ht="15" customHeight="1">
      <c r="A54" s="774">
        <v>23</v>
      </c>
      <c r="B54" s="775" t="s">
        <v>662</v>
      </c>
      <c r="C54" s="650">
        <v>20</v>
      </c>
      <c r="D54" s="655">
        <f t="shared" si="4"/>
        <v>80</v>
      </c>
      <c r="E54" s="655">
        <v>4</v>
      </c>
      <c r="F54" s="1050"/>
      <c r="G54" s="923"/>
      <c r="H54" s="260"/>
      <c r="I54" s="260"/>
      <c r="J54" s="260"/>
    </row>
    <row r="55" spans="1:10" s="149" customFormat="1" ht="15" customHeight="1">
      <c r="A55" s="774">
        <v>24</v>
      </c>
      <c r="B55" s="775" t="s">
        <v>663</v>
      </c>
      <c r="C55" s="650">
        <v>16</v>
      </c>
      <c r="D55" s="655">
        <f t="shared" si="4"/>
        <v>64</v>
      </c>
      <c r="E55" s="655">
        <v>4</v>
      </c>
      <c r="F55" s="1050"/>
      <c r="G55" s="923"/>
      <c r="H55" s="260"/>
      <c r="I55" s="260"/>
      <c r="J55" s="260"/>
    </row>
    <row r="56" spans="1:10" s="149" customFormat="1" ht="15" customHeight="1">
      <c r="A56" s="774">
        <v>25</v>
      </c>
      <c r="B56" s="775" t="s">
        <v>722</v>
      </c>
      <c r="C56" s="650">
        <v>20</v>
      </c>
      <c r="D56" s="655">
        <f t="shared" si="4"/>
        <v>80</v>
      </c>
      <c r="E56" s="655">
        <v>4</v>
      </c>
      <c r="F56" s="1050"/>
      <c r="G56" s="923"/>
      <c r="H56" s="260"/>
      <c r="I56" s="260"/>
      <c r="J56" s="260"/>
    </row>
    <row r="57" spans="1:10" s="149" customFormat="1" ht="15" customHeight="1">
      <c r="A57" s="774">
        <v>26</v>
      </c>
      <c r="B57" s="749" t="s">
        <v>374</v>
      </c>
      <c r="C57" s="650">
        <v>66</v>
      </c>
      <c r="D57" s="655">
        <f t="shared" si="4"/>
        <v>264</v>
      </c>
      <c r="E57" s="655">
        <v>4</v>
      </c>
      <c r="F57" s="1050"/>
      <c r="G57" s="923"/>
      <c r="H57" s="260"/>
      <c r="I57" s="260"/>
      <c r="J57" s="260"/>
    </row>
    <row r="58" spans="1:10" s="149" customFormat="1" ht="15" customHeight="1">
      <c r="A58" s="774">
        <v>27</v>
      </c>
      <c r="B58" s="749" t="s">
        <v>542</v>
      </c>
      <c r="C58" s="650">
        <v>8</v>
      </c>
      <c r="D58" s="655">
        <f t="shared" si="4"/>
        <v>32</v>
      </c>
      <c r="E58" s="655">
        <v>4</v>
      </c>
      <c r="F58" s="1050"/>
      <c r="G58" s="923"/>
      <c r="H58" s="260"/>
      <c r="I58" s="260"/>
      <c r="J58" s="260"/>
    </row>
    <row r="59" spans="1:10" s="149" customFormat="1" ht="15" customHeight="1">
      <c r="A59" s="774">
        <v>28</v>
      </c>
      <c r="B59" s="927" t="s">
        <v>927</v>
      </c>
      <c r="C59" s="650">
        <v>124</v>
      </c>
      <c r="D59" s="655">
        <f t="shared" si="4"/>
        <v>496</v>
      </c>
      <c r="E59" s="655">
        <v>4</v>
      </c>
      <c r="F59" s="1050"/>
      <c r="G59" s="955"/>
      <c r="H59" s="260"/>
      <c r="I59" s="260"/>
      <c r="J59" s="260"/>
    </row>
    <row r="60" spans="1:10" s="149" customFormat="1" ht="15" customHeight="1">
      <c r="A60" s="774">
        <v>29</v>
      </c>
      <c r="B60" s="749" t="s">
        <v>519</v>
      </c>
      <c r="C60" s="650">
        <v>5</v>
      </c>
      <c r="D60" s="655">
        <f t="shared" si="4"/>
        <v>20</v>
      </c>
      <c r="E60" s="655">
        <v>4</v>
      </c>
      <c r="F60" s="1050"/>
      <c r="G60" s="923"/>
      <c r="H60" s="260"/>
      <c r="I60" s="260"/>
      <c r="J60" s="260"/>
    </row>
    <row r="61" spans="1:10" s="149" customFormat="1" ht="15" customHeight="1">
      <c r="A61" s="774">
        <v>30</v>
      </c>
      <c r="B61" s="749" t="s">
        <v>520</v>
      </c>
      <c r="C61" s="650">
        <v>10</v>
      </c>
      <c r="D61" s="655">
        <f t="shared" si="4"/>
        <v>40</v>
      </c>
      <c r="E61" s="655">
        <v>4</v>
      </c>
      <c r="F61" s="1050"/>
      <c r="G61" s="923"/>
      <c r="H61" s="260"/>
      <c r="I61" s="260"/>
      <c r="J61" s="260"/>
    </row>
    <row r="62" spans="1:10" s="149" customFormat="1" ht="15" customHeight="1">
      <c r="A62" s="774">
        <v>31</v>
      </c>
      <c r="B62" s="904" t="s">
        <v>758</v>
      </c>
      <c r="C62" s="650">
        <v>24</v>
      </c>
      <c r="D62" s="655">
        <v>96</v>
      </c>
      <c r="E62" s="655">
        <v>4</v>
      </c>
      <c r="F62" s="1050"/>
      <c r="G62" s="957" t="s">
        <v>781</v>
      </c>
      <c r="H62" s="260"/>
      <c r="I62" s="260"/>
      <c r="J62" s="260"/>
    </row>
    <row r="63" spans="1:10" s="149" customFormat="1" ht="15" customHeight="1">
      <c r="A63" s="774">
        <v>32</v>
      </c>
      <c r="B63" s="904" t="s">
        <v>759</v>
      </c>
      <c r="C63" s="650">
        <v>15</v>
      </c>
      <c r="D63" s="655">
        <v>60</v>
      </c>
      <c r="E63" s="655">
        <v>4</v>
      </c>
      <c r="F63" s="1050"/>
      <c r="G63" s="957" t="s">
        <v>780</v>
      </c>
      <c r="H63" s="260"/>
      <c r="I63" s="260"/>
      <c r="J63" s="260"/>
    </row>
    <row r="64" spans="1:10" s="149" customFormat="1" ht="15" customHeight="1">
      <c r="A64" s="774">
        <v>33</v>
      </c>
      <c r="B64" s="904" t="s">
        <v>762</v>
      </c>
      <c r="C64" s="650">
        <v>15</v>
      </c>
      <c r="D64" s="655">
        <v>60</v>
      </c>
      <c r="E64" s="655">
        <v>4</v>
      </c>
      <c r="F64" s="1050"/>
      <c r="G64" s="957" t="s">
        <v>568</v>
      </c>
      <c r="H64" s="260"/>
      <c r="I64" s="260"/>
      <c r="J64" s="260"/>
    </row>
    <row r="65" spans="1:10" s="149" customFormat="1" ht="15" customHeight="1">
      <c r="A65" s="774">
        <v>34</v>
      </c>
      <c r="B65" s="904" t="s">
        <v>763</v>
      </c>
      <c r="C65" s="650">
        <v>15</v>
      </c>
      <c r="D65" s="655">
        <v>60</v>
      </c>
      <c r="E65" s="655">
        <v>4</v>
      </c>
      <c r="F65" s="1050"/>
      <c r="G65" s="957" t="s">
        <v>568</v>
      </c>
      <c r="H65" s="260"/>
      <c r="I65" s="260"/>
      <c r="J65" s="260"/>
    </row>
    <row r="66" spans="1:10" s="149" customFormat="1" ht="15" customHeight="1">
      <c r="A66" s="774">
        <v>35</v>
      </c>
      <c r="B66" s="904" t="s">
        <v>921</v>
      </c>
      <c r="C66" s="650">
        <v>15</v>
      </c>
      <c r="D66" s="655">
        <v>60</v>
      </c>
      <c r="E66" s="655">
        <v>4</v>
      </c>
      <c r="F66" s="1050"/>
      <c r="G66" s="957" t="s">
        <v>568</v>
      </c>
      <c r="H66" s="260"/>
      <c r="I66" s="260"/>
      <c r="J66" s="260"/>
    </row>
    <row r="67" spans="1:10" s="149" customFormat="1" ht="15" customHeight="1">
      <c r="A67" s="774">
        <v>36</v>
      </c>
      <c r="B67" s="904" t="s">
        <v>765</v>
      </c>
      <c r="C67" s="650">
        <v>15</v>
      </c>
      <c r="D67" s="655">
        <v>60</v>
      </c>
      <c r="E67" s="655">
        <v>4</v>
      </c>
      <c r="F67" s="1050"/>
      <c r="G67" s="957" t="s">
        <v>568</v>
      </c>
      <c r="H67" s="260"/>
      <c r="I67" s="260"/>
      <c r="J67" s="260"/>
    </row>
    <row r="68" spans="1:10" s="149" customFormat="1" ht="15" customHeight="1">
      <c r="A68" s="774">
        <v>37</v>
      </c>
      <c r="B68" s="927" t="s">
        <v>890</v>
      </c>
      <c r="C68" s="650">
        <v>20</v>
      </c>
      <c r="D68" s="655">
        <v>80</v>
      </c>
      <c r="E68" s="655">
        <v>4</v>
      </c>
      <c r="F68" s="1050"/>
      <c r="G68" s="923"/>
      <c r="H68" s="260"/>
      <c r="I68" s="260"/>
      <c r="J68" s="260"/>
    </row>
    <row r="69" spans="1:10" s="149" customFormat="1" ht="15" customHeight="1">
      <c r="A69" s="774">
        <v>38</v>
      </c>
      <c r="B69" s="927" t="s">
        <v>895</v>
      </c>
      <c r="C69" s="650">
        <v>27</v>
      </c>
      <c r="D69" s="655">
        <v>108</v>
      </c>
      <c r="E69" s="655">
        <v>4</v>
      </c>
      <c r="F69" s="1050"/>
      <c r="G69" s="923"/>
      <c r="H69" s="260"/>
      <c r="I69" s="260"/>
      <c r="J69" s="260"/>
    </row>
    <row r="70" spans="1:10" s="149" customFormat="1" ht="15" customHeight="1">
      <c r="A70" s="774">
        <v>39</v>
      </c>
      <c r="B70" s="904" t="s">
        <v>779</v>
      </c>
      <c r="C70" s="650">
        <v>20</v>
      </c>
      <c r="D70" s="655">
        <v>80</v>
      </c>
      <c r="E70" s="655">
        <v>4</v>
      </c>
      <c r="F70" s="1050"/>
      <c r="G70" s="923"/>
      <c r="H70" s="260"/>
      <c r="I70" s="260"/>
      <c r="J70" s="260"/>
    </row>
    <row r="71" spans="1:10" s="149" customFormat="1" ht="15" customHeight="1">
      <c r="A71" s="774">
        <v>40</v>
      </c>
      <c r="B71" s="904" t="s">
        <v>771</v>
      </c>
      <c r="C71" s="650">
        <v>18</v>
      </c>
      <c r="D71" s="655">
        <v>72</v>
      </c>
      <c r="E71" s="655">
        <v>4</v>
      </c>
      <c r="F71" s="1050"/>
      <c r="G71" s="923"/>
      <c r="H71" s="260"/>
      <c r="I71" s="260"/>
      <c r="J71" s="260"/>
    </row>
    <row r="72" spans="1:10" s="149" customFormat="1" ht="15" customHeight="1">
      <c r="A72" s="774">
        <v>41</v>
      </c>
      <c r="B72" s="904" t="s">
        <v>772</v>
      </c>
      <c r="C72" s="650">
        <v>18</v>
      </c>
      <c r="D72" s="655">
        <v>72</v>
      </c>
      <c r="E72" s="655">
        <v>4</v>
      </c>
      <c r="F72" s="1050"/>
      <c r="G72" s="923"/>
      <c r="H72" s="260"/>
      <c r="I72" s="260"/>
      <c r="J72" s="260"/>
    </row>
    <row r="73" spans="1:10" s="149" customFormat="1" ht="15" customHeight="1">
      <c r="A73" s="774">
        <v>42</v>
      </c>
      <c r="B73" s="904" t="s">
        <v>773</v>
      </c>
      <c r="C73" s="650">
        <v>14</v>
      </c>
      <c r="D73" s="655">
        <v>56</v>
      </c>
      <c r="E73" s="655">
        <v>4</v>
      </c>
      <c r="F73" s="1050"/>
      <c r="G73" s="923"/>
      <c r="H73" s="260"/>
      <c r="I73" s="260"/>
      <c r="J73" s="260"/>
    </row>
    <row r="74" spans="1:10" s="149" customFormat="1" ht="15" customHeight="1">
      <c r="A74" s="774">
        <v>43</v>
      </c>
      <c r="B74" s="904" t="s">
        <v>774</v>
      </c>
      <c r="C74" s="650">
        <v>30</v>
      </c>
      <c r="D74" s="655">
        <v>120</v>
      </c>
      <c r="E74" s="655">
        <v>4</v>
      </c>
      <c r="F74" s="1050"/>
      <c r="G74" s="923"/>
      <c r="H74" s="260"/>
      <c r="I74" s="260"/>
      <c r="J74" s="260"/>
    </row>
    <row r="75" spans="1:10" s="149" customFormat="1" ht="15" customHeight="1">
      <c r="A75" s="774">
        <v>44</v>
      </c>
      <c r="B75" s="927" t="s">
        <v>907</v>
      </c>
      <c r="C75" s="947">
        <v>24</v>
      </c>
      <c r="D75" s="948">
        <v>96</v>
      </c>
      <c r="E75" s="948">
        <v>4</v>
      </c>
      <c r="F75" s="1050"/>
      <c r="G75" s="923"/>
      <c r="H75" s="260"/>
      <c r="I75" s="260"/>
      <c r="J75" s="260"/>
    </row>
    <row r="76" spans="1:10" s="149" customFormat="1" ht="15" customHeight="1">
      <c r="A76" s="774">
        <v>45</v>
      </c>
      <c r="B76" s="927" t="s">
        <v>908</v>
      </c>
      <c r="C76" s="947">
        <v>24</v>
      </c>
      <c r="D76" s="948">
        <v>96</v>
      </c>
      <c r="E76" s="948">
        <v>4</v>
      </c>
      <c r="F76" s="1050"/>
      <c r="G76" s="946"/>
      <c r="H76" s="260"/>
      <c r="I76" s="260"/>
      <c r="J76" s="260"/>
    </row>
    <row r="77" spans="1:10" s="149" customFormat="1" ht="15" customHeight="1">
      <c r="A77" s="774">
        <v>46</v>
      </c>
      <c r="B77" s="927" t="s">
        <v>909</v>
      </c>
      <c r="C77" s="947">
        <v>12</v>
      </c>
      <c r="D77" s="948">
        <v>48</v>
      </c>
      <c r="E77" s="948">
        <v>4</v>
      </c>
      <c r="F77" s="1050"/>
      <c r="G77" s="946"/>
      <c r="H77" s="260"/>
      <c r="I77" s="260"/>
      <c r="J77" s="260"/>
    </row>
    <row r="78" spans="1:10" s="149" customFormat="1" ht="15" customHeight="1">
      <c r="A78" s="774">
        <v>47</v>
      </c>
      <c r="B78" s="904" t="s">
        <v>913</v>
      </c>
      <c r="C78" s="650">
        <v>24</v>
      </c>
      <c r="D78" s="655">
        <v>96</v>
      </c>
      <c r="E78" s="655">
        <v>4</v>
      </c>
      <c r="F78" s="1050"/>
      <c r="G78" s="955"/>
      <c r="H78" s="260"/>
      <c r="I78" s="260"/>
      <c r="J78" s="260"/>
    </row>
    <row r="79" spans="1:10" s="149" customFormat="1" ht="15" customHeight="1">
      <c r="A79" s="774">
        <v>48</v>
      </c>
      <c r="B79" s="904" t="s">
        <v>915</v>
      </c>
      <c r="C79" s="650">
        <v>16</v>
      </c>
      <c r="D79" s="655">
        <v>64</v>
      </c>
      <c r="E79" s="655">
        <v>4</v>
      </c>
      <c r="F79" s="1050"/>
      <c r="G79" s="955"/>
      <c r="H79" s="260"/>
      <c r="I79" s="260"/>
      <c r="J79" s="260"/>
    </row>
    <row r="80" spans="1:10" s="149" customFormat="1" ht="15" customHeight="1">
      <c r="A80" s="774">
        <v>49</v>
      </c>
      <c r="B80" s="950" t="s">
        <v>925</v>
      </c>
      <c r="C80" s="951">
        <v>16</v>
      </c>
      <c r="D80" s="655">
        <v>64</v>
      </c>
      <c r="E80" s="655">
        <v>4</v>
      </c>
      <c r="F80" s="949"/>
      <c r="G80" s="955"/>
      <c r="H80" s="260"/>
      <c r="I80" s="260"/>
      <c r="J80" s="260"/>
    </row>
    <row r="81" spans="1:10" s="149" customFormat="1" ht="15" customHeight="1" thickBot="1">
      <c r="A81" s="983">
        <v>50</v>
      </c>
      <c r="B81" s="984" t="s">
        <v>926</v>
      </c>
      <c r="C81" s="985">
        <v>16</v>
      </c>
      <c r="D81" s="654">
        <v>64</v>
      </c>
      <c r="E81" s="654">
        <v>4</v>
      </c>
      <c r="F81" s="949"/>
      <c r="G81" s="954"/>
      <c r="H81" s="260"/>
      <c r="I81" s="260"/>
      <c r="J81" s="260"/>
    </row>
    <row r="82" spans="1:10" s="149" customFormat="1" ht="15" customHeight="1">
      <c r="A82" s="933">
        <v>1</v>
      </c>
      <c r="B82" s="934" t="s">
        <v>896</v>
      </c>
      <c r="C82" s="935">
        <v>63</v>
      </c>
      <c r="D82" s="936">
        <f>C82*E82</f>
        <v>3024</v>
      </c>
      <c r="E82" s="936">
        <v>48</v>
      </c>
      <c r="F82" s="1051" t="s">
        <v>901</v>
      </c>
      <c r="G82" s="937" t="s">
        <v>902</v>
      </c>
      <c r="H82" s="260"/>
      <c r="I82" s="260"/>
      <c r="J82" s="260"/>
    </row>
    <row r="83" spans="1:10" s="149" customFormat="1" ht="15" customHeight="1">
      <c r="A83" s="342">
        <v>2</v>
      </c>
      <c r="B83" s="904" t="s">
        <v>897</v>
      </c>
      <c r="C83" s="650">
        <v>45</v>
      </c>
      <c r="D83" s="655">
        <f t="shared" ref="D83:D87" si="5">C83*E83</f>
        <v>2160</v>
      </c>
      <c r="E83" s="655">
        <v>48</v>
      </c>
      <c r="F83" s="1050"/>
      <c r="G83" s="706"/>
      <c r="H83" s="260"/>
      <c r="I83" s="260"/>
      <c r="J83" s="260"/>
    </row>
    <row r="84" spans="1:10" s="149" customFormat="1" ht="15" customHeight="1">
      <c r="A84" s="342">
        <v>3</v>
      </c>
      <c r="B84" s="904" t="s">
        <v>898</v>
      </c>
      <c r="C84" s="650">
        <v>54</v>
      </c>
      <c r="D84" s="655">
        <f t="shared" si="5"/>
        <v>2592</v>
      </c>
      <c r="E84" s="655">
        <v>48</v>
      </c>
      <c r="F84" s="1050"/>
      <c r="G84" s="706"/>
      <c r="H84" s="260"/>
      <c r="I84" s="260"/>
      <c r="J84" s="260"/>
    </row>
    <row r="85" spans="1:10" s="149" customFormat="1" ht="15" customHeight="1">
      <c r="A85" s="342">
        <v>4</v>
      </c>
      <c r="B85" s="904" t="s">
        <v>899</v>
      </c>
      <c r="C85" s="650">
        <v>54</v>
      </c>
      <c r="D85" s="655">
        <f t="shared" si="5"/>
        <v>2592</v>
      </c>
      <c r="E85" s="655">
        <v>48</v>
      </c>
      <c r="F85" s="1050"/>
      <c r="G85" s="706"/>
      <c r="H85" s="260"/>
      <c r="I85" s="260"/>
      <c r="J85" s="260"/>
    </row>
    <row r="86" spans="1:10" s="149" customFormat="1" ht="15" customHeight="1">
      <c r="A86" s="342">
        <v>5</v>
      </c>
      <c r="B86" s="904" t="s">
        <v>900</v>
      </c>
      <c r="C86" s="650">
        <v>54</v>
      </c>
      <c r="D86" s="655">
        <f t="shared" si="5"/>
        <v>2592</v>
      </c>
      <c r="E86" s="655">
        <v>48</v>
      </c>
      <c r="F86" s="1050"/>
      <c r="G86" s="706"/>
      <c r="H86" s="260"/>
      <c r="I86" s="260"/>
      <c r="J86" s="260"/>
    </row>
    <row r="87" spans="1:10" s="149" customFormat="1" ht="15" customHeight="1" thickBot="1">
      <c r="A87" s="938">
        <v>6</v>
      </c>
      <c r="B87" s="943" t="s">
        <v>912</v>
      </c>
      <c r="C87" s="939">
        <v>144</v>
      </c>
      <c r="D87" s="940">
        <f t="shared" si="5"/>
        <v>6912</v>
      </c>
      <c r="E87" s="940">
        <v>48</v>
      </c>
      <c r="F87" s="1052"/>
      <c r="G87" s="941"/>
      <c r="H87" s="260"/>
      <c r="I87" s="260"/>
      <c r="J87" s="260"/>
    </row>
    <row r="88" spans="1:10" s="149" customFormat="1" ht="15" customHeight="1" thickBot="1">
      <c r="A88" s="956">
        <v>1</v>
      </c>
      <c r="B88" s="975" t="s">
        <v>664</v>
      </c>
      <c r="C88" s="976">
        <v>8</v>
      </c>
      <c r="D88" s="977">
        <f>C88*E88</f>
        <v>32</v>
      </c>
      <c r="E88" s="977">
        <v>4</v>
      </c>
      <c r="F88" s="894" t="s">
        <v>721</v>
      </c>
      <c r="G88" s="953"/>
      <c r="H88" s="260"/>
      <c r="I88" s="260"/>
      <c r="J88" s="260"/>
    </row>
    <row r="89" spans="1:10">
      <c r="A89" s="963">
        <v>1</v>
      </c>
      <c r="B89" s="978" t="s">
        <v>744</v>
      </c>
      <c r="C89" s="979">
        <v>24</v>
      </c>
      <c r="D89" s="966">
        <f>C89*E89</f>
        <v>48</v>
      </c>
      <c r="E89" s="966">
        <v>2</v>
      </c>
      <c r="F89" s="1053" t="s">
        <v>749</v>
      </c>
      <c r="G89" s="967"/>
    </row>
    <row r="90" spans="1:10">
      <c r="A90" s="968">
        <v>2</v>
      </c>
      <c r="B90" s="790" t="s">
        <v>745</v>
      </c>
      <c r="C90" s="573">
        <v>24</v>
      </c>
      <c r="D90" s="573">
        <f t="shared" ref="D90:D95" si="6">C90*E90</f>
        <v>48</v>
      </c>
      <c r="E90" s="573">
        <v>2</v>
      </c>
      <c r="F90" s="1054"/>
      <c r="G90" s="969"/>
    </row>
    <row r="91" spans="1:10">
      <c r="A91" s="968">
        <v>3</v>
      </c>
      <c r="B91" s="790" t="s">
        <v>746</v>
      </c>
      <c r="C91" s="573">
        <v>24</v>
      </c>
      <c r="D91" s="573">
        <f t="shared" si="6"/>
        <v>48</v>
      </c>
      <c r="E91" s="573">
        <v>2</v>
      </c>
      <c r="F91" s="1054"/>
      <c r="G91" s="969"/>
    </row>
    <row r="92" spans="1:10">
      <c r="A92" s="968">
        <v>4</v>
      </c>
      <c r="B92" s="790" t="s">
        <v>747</v>
      </c>
      <c r="C92" s="573">
        <v>24</v>
      </c>
      <c r="D92" s="573">
        <f t="shared" si="6"/>
        <v>48</v>
      </c>
      <c r="E92" s="573">
        <v>2</v>
      </c>
      <c r="F92" s="1054"/>
      <c r="G92" s="969"/>
    </row>
    <row r="93" spans="1:10">
      <c r="A93" s="968">
        <v>5</v>
      </c>
      <c r="B93" s="791" t="s">
        <v>748</v>
      </c>
      <c r="C93" s="573">
        <v>24</v>
      </c>
      <c r="D93" s="573">
        <f t="shared" si="6"/>
        <v>48</v>
      </c>
      <c r="E93" s="573">
        <v>2</v>
      </c>
      <c r="F93" s="1054"/>
      <c r="G93" s="969"/>
    </row>
    <row r="94" spans="1:10" s="260" customFormat="1" ht="15.75" thickBot="1">
      <c r="A94" s="970">
        <v>6</v>
      </c>
      <c r="B94" s="986" t="s">
        <v>928</v>
      </c>
      <c r="C94" s="980">
        <v>30</v>
      </c>
      <c r="D94" s="981">
        <f t="shared" si="6"/>
        <v>60</v>
      </c>
      <c r="E94" s="981">
        <v>2</v>
      </c>
      <c r="F94" s="1055"/>
      <c r="G94" s="982"/>
    </row>
    <row r="95" spans="1:10" ht="15" customHeight="1">
      <c r="A95" s="963">
        <v>1</v>
      </c>
      <c r="B95" s="964" t="s">
        <v>787</v>
      </c>
      <c r="C95" s="965">
        <v>18</v>
      </c>
      <c r="D95" s="966">
        <f t="shared" si="6"/>
        <v>72</v>
      </c>
      <c r="E95" s="966">
        <v>4</v>
      </c>
      <c r="F95" s="1056" t="s">
        <v>920</v>
      </c>
      <c r="G95" s="967"/>
    </row>
    <row r="96" spans="1:10">
      <c r="A96" s="968">
        <v>2</v>
      </c>
      <c r="B96" s="822" t="s">
        <v>788</v>
      </c>
      <c r="C96" s="824">
        <v>72</v>
      </c>
      <c r="D96" s="573">
        <f>C96*E96</f>
        <v>288</v>
      </c>
      <c r="E96" s="573">
        <v>4</v>
      </c>
      <c r="F96" s="1057"/>
      <c r="G96" s="969"/>
    </row>
    <row r="97" spans="1:7">
      <c r="A97" s="968">
        <v>3</v>
      </c>
      <c r="B97" s="823" t="s">
        <v>789</v>
      </c>
      <c r="C97" s="825">
        <v>42</v>
      </c>
      <c r="D97" s="573">
        <f>C97*E97</f>
        <v>168</v>
      </c>
      <c r="E97" s="573">
        <v>4</v>
      </c>
      <c r="F97" s="1057"/>
      <c r="G97" s="969"/>
    </row>
    <row r="98" spans="1:7" ht="15.75" thickBot="1">
      <c r="A98" s="970">
        <v>4</v>
      </c>
      <c r="B98" s="971" t="s">
        <v>903</v>
      </c>
      <c r="C98" s="972">
        <v>15</v>
      </c>
      <c r="D98" s="973">
        <f>C98*E98</f>
        <v>60</v>
      </c>
      <c r="E98" s="973">
        <v>4</v>
      </c>
      <c r="F98" s="1058"/>
      <c r="G98" s="974"/>
    </row>
    <row r="99" spans="1:7">
      <c r="A99" s="952"/>
      <c r="B99" s="960" t="s">
        <v>904</v>
      </c>
      <c r="C99" s="961"/>
      <c r="D99" s="962"/>
      <c r="E99" s="962">
        <v>4</v>
      </c>
      <c r="F99" s="907" t="s">
        <v>905</v>
      </c>
      <c r="G99" s="962"/>
    </row>
    <row r="100" spans="1:7">
      <c r="A100" s="942"/>
      <c r="B100" s="823" t="s">
        <v>922</v>
      </c>
      <c r="C100" s="825"/>
      <c r="D100" s="573"/>
      <c r="E100" s="573">
        <v>48</v>
      </c>
      <c r="F100" s="907" t="s">
        <v>923</v>
      </c>
      <c r="G100" s="573"/>
    </row>
    <row r="101" spans="1:7">
      <c r="A101" s="497"/>
      <c r="B101" s="498" t="s">
        <v>427</v>
      </c>
      <c r="C101" s="500"/>
      <c r="D101" s="500"/>
      <c r="E101" s="500">
        <v>4</v>
      </c>
      <c r="F101" s="897" t="s">
        <v>428</v>
      </c>
      <c r="G101" s="500"/>
    </row>
    <row r="102" spans="1:7">
      <c r="A102" s="497"/>
      <c r="B102" s="498" t="s">
        <v>437</v>
      </c>
      <c r="C102" s="500"/>
      <c r="D102" s="500"/>
      <c r="E102" s="498"/>
      <c r="F102" s="897" t="s">
        <v>438</v>
      </c>
      <c r="G102" s="500"/>
    </row>
  </sheetData>
  <mergeCells count="20">
    <mergeCell ref="G5:G8"/>
    <mergeCell ref="F95:F98"/>
    <mergeCell ref="F5:F8"/>
    <mergeCell ref="A10:A11"/>
    <mergeCell ref="B10:B11"/>
    <mergeCell ref="C10:C11"/>
    <mergeCell ref="D10:D11"/>
    <mergeCell ref="E10:E11"/>
    <mergeCell ref="F82:F87"/>
    <mergeCell ref="F9:F31"/>
    <mergeCell ref="F32:F79"/>
    <mergeCell ref="F89:F94"/>
    <mergeCell ref="B1:G1"/>
    <mergeCell ref="A3:A4"/>
    <mergeCell ref="B3:B4"/>
    <mergeCell ref="C3:C4"/>
    <mergeCell ref="D3:D4"/>
    <mergeCell ref="E3:E4"/>
    <mergeCell ref="F3:F4"/>
    <mergeCell ref="G3:G4"/>
  </mergeCells>
  <printOptions horizontalCentered="1"/>
  <pageMargins left="0" right="0" top="1.0900000000000001" bottom="0.05" header="0" footer="0.2"/>
  <pageSetup paperSize="9" scale="59" orientation="portrait" r:id="rId1"/>
  <headerFooter>
    <oddHeader>&amp;L&amp;"Arial Black,Regular"PT.QUTY KARUNIA&amp;R18/07/2013</oddHeader>
  </headerFooter>
  <rowBreaks count="1" manualBreakCount="1">
    <brk id="88" max="1638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I114"/>
  <sheetViews>
    <sheetView view="pageBreakPreview" topLeftCell="A74" zoomScaleSheetLayoutView="100" workbookViewId="0">
      <selection activeCell="B86" sqref="B86"/>
    </sheetView>
  </sheetViews>
  <sheetFormatPr defaultRowHeight="15"/>
  <cols>
    <col min="1" max="1" width="4.5703125" style="86" customWidth="1"/>
    <col min="2" max="2" width="47" style="285" customWidth="1"/>
    <col min="3" max="3" width="13.140625" style="257" customWidth="1"/>
    <col min="4" max="4" width="12.7109375" style="257" customWidth="1"/>
    <col min="5" max="5" width="10.42578125" customWidth="1"/>
    <col min="6" max="6" width="17.42578125" style="285" customWidth="1"/>
    <col min="7" max="7" width="27.28515625" style="257" customWidth="1"/>
    <col min="8" max="8" width="14" style="260" customWidth="1"/>
    <col min="9" max="9" width="9.140625" style="260"/>
  </cols>
  <sheetData>
    <row r="1" spans="1:9" ht="26.25">
      <c r="A1" s="776"/>
      <c r="B1" s="1074" t="s">
        <v>363</v>
      </c>
      <c r="C1" s="1074"/>
      <c r="D1" s="1074"/>
      <c r="E1" s="1074"/>
      <c r="F1" s="1074"/>
      <c r="G1" s="1074"/>
    </row>
    <row r="2" spans="1:9">
      <c r="A2" s="776"/>
      <c r="B2" s="763"/>
      <c r="C2" s="764"/>
      <c r="D2" s="764"/>
      <c r="E2" s="765"/>
      <c r="F2" s="896"/>
      <c r="G2" s="766"/>
    </row>
    <row r="3" spans="1:9" ht="24.95" customHeight="1">
      <c r="A3" s="1075" t="s">
        <v>358</v>
      </c>
      <c r="B3" s="1076" t="s">
        <v>255</v>
      </c>
      <c r="C3" s="1078" t="s">
        <v>256</v>
      </c>
      <c r="D3" s="1078" t="s">
        <v>382</v>
      </c>
      <c r="E3" s="1078" t="s">
        <v>381</v>
      </c>
      <c r="F3" s="1079" t="s">
        <v>259</v>
      </c>
      <c r="G3" s="1078" t="s">
        <v>260</v>
      </c>
    </row>
    <row r="4" spans="1:9" ht="31.5" customHeight="1">
      <c r="A4" s="1075"/>
      <c r="B4" s="1077"/>
      <c r="C4" s="1078"/>
      <c r="D4" s="1078"/>
      <c r="E4" s="1078"/>
      <c r="F4" s="1079"/>
      <c r="G4" s="1078"/>
    </row>
    <row r="5" spans="1:9" ht="15" customHeight="1">
      <c r="A5" s="801">
        <v>1</v>
      </c>
      <c r="B5" s="582" t="s">
        <v>318</v>
      </c>
      <c r="C5" s="661">
        <v>24</v>
      </c>
      <c r="D5" s="661">
        <f>C5*E5</f>
        <v>384</v>
      </c>
      <c r="E5" s="661">
        <v>16</v>
      </c>
      <c r="F5" s="1062" t="s">
        <v>392</v>
      </c>
      <c r="G5" s="1065"/>
    </row>
    <row r="6" spans="1:9" ht="15" customHeight="1">
      <c r="A6" s="767">
        <v>2</v>
      </c>
      <c r="B6" s="582" t="s">
        <v>643</v>
      </c>
      <c r="C6" s="661">
        <v>36</v>
      </c>
      <c r="D6" s="661">
        <f>C6*E6</f>
        <v>576</v>
      </c>
      <c r="E6" s="661">
        <v>16</v>
      </c>
      <c r="F6" s="1063"/>
      <c r="G6" s="1066"/>
    </row>
    <row r="7" spans="1:9" s="331" customFormat="1" ht="15" customHeight="1">
      <c r="A7" s="801">
        <v>3</v>
      </c>
      <c r="B7" s="809" t="s">
        <v>477</v>
      </c>
      <c r="C7" s="810">
        <v>162</v>
      </c>
      <c r="D7" s="810">
        <f t="shared" ref="D7" si="0">C7*E7</f>
        <v>2592</v>
      </c>
      <c r="E7" s="810">
        <v>16</v>
      </c>
      <c r="F7" s="1063"/>
      <c r="G7" s="1067"/>
      <c r="H7" s="260"/>
      <c r="I7" s="260"/>
    </row>
    <row r="8" spans="1:9" s="331" customFormat="1" ht="15" customHeight="1">
      <c r="A8" s="924">
        <v>4</v>
      </c>
      <c r="B8" s="926" t="s">
        <v>911</v>
      </c>
      <c r="C8" s="739">
        <v>45</v>
      </c>
      <c r="D8" s="739">
        <f>C8*E8</f>
        <v>720</v>
      </c>
      <c r="E8" s="925">
        <v>16</v>
      </c>
      <c r="F8" s="1064"/>
      <c r="G8" s="918"/>
      <c r="H8" s="260"/>
      <c r="I8" s="260"/>
    </row>
    <row r="9" spans="1:9" s="276" customFormat="1" ht="15" customHeight="1">
      <c r="A9" s="777">
        <v>1</v>
      </c>
      <c r="B9" s="778" t="s">
        <v>537</v>
      </c>
      <c r="C9" s="721">
        <v>300</v>
      </c>
      <c r="D9" s="721">
        <f>C9*E9</f>
        <v>2400</v>
      </c>
      <c r="E9" s="721">
        <v>8</v>
      </c>
      <c r="F9" s="1068" t="s">
        <v>326</v>
      </c>
      <c r="G9" s="803"/>
    </row>
    <row r="10" spans="1:9" s="276" customFormat="1" ht="15" customHeight="1">
      <c r="A10" s="1071">
        <v>2</v>
      </c>
      <c r="B10" s="1072" t="s">
        <v>555</v>
      </c>
      <c r="C10" s="1073">
        <v>56</v>
      </c>
      <c r="D10" s="1073">
        <f>C10*E10</f>
        <v>448</v>
      </c>
      <c r="E10" s="1073">
        <v>8</v>
      </c>
      <c r="F10" s="1069"/>
      <c r="G10" s="781" t="s">
        <v>570</v>
      </c>
    </row>
    <row r="11" spans="1:9" s="276" customFormat="1" ht="16.5" customHeight="1">
      <c r="A11" s="1071"/>
      <c r="B11" s="1072"/>
      <c r="C11" s="1073"/>
      <c r="D11" s="1073"/>
      <c r="E11" s="1073"/>
      <c r="F11" s="1069"/>
      <c r="G11" s="781" t="s">
        <v>571</v>
      </c>
    </row>
    <row r="12" spans="1:9" s="276" customFormat="1" ht="15" customHeight="1">
      <c r="A12" s="804">
        <v>3</v>
      </c>
      <c r="B12" s="805" t="s">
        <v>476</v>
      </c>
      <c r="C12" s="806">
        <v>34</v>
      </c>
      <c r="D12" s="917">
        <f>C12*E12</f>
        <v>272</v>
      </c>
      <c r="E12" s="806">
        <v>8</v>
      </c>
      <c r="F12" s="1069"/>
      <c r="G12" s="781" t="s">
        <v>567</v>
      </c>
    </row>
    <row r="13" spans="1:9" s="276" customFormat="1" ht="15" customHeight="1">
      <c r="A13" s="777">
        <v>4</v>
      </c>
      <c r="B13" s="770" t="s">
        <v>610</v>
      </c>
      <c r="C13" s="806">
        <v>50</v>
      </c>
      <c r="D13" s="917">
        <f>E13*C13</f>
        <v>400</v>
      </c>
      <c r="E13" s="806">
        <v>8</v>
      </c>
      <c r="F13" s="1069"/>
      <c r="G13" s="781"/>
    </row>
    <row r="14" spans="1:9" s="276" customFormat="1" ht="15" customHeight="1">
      <c r="A14" s="899">
        <v>5</v>
      </c>
      <c r="B14" s="770" t="s">
        <v>654</v>
      </c>
      <c r="C14" s="806">
        <v>38</v>
      </c>
      <c r="D14" s="917">
        <f>C14*E14</f>
        <v>304</v>
      </c>
      <c r="E14" s="806">
        <v>8</v>
      </c>
      <c r="F14" s="1069"/>
      <c r="G14" s="781"/>
    </row>
    <row r="15" spans="1:9" s="276" customFormat="1" ht="15" customHeight="1">
      <c r="A15" s="777">
        <v>6</v>
      </c>
      <c r="B15" s="771" t="s">
        <v>486</v>
      </c>
      <c r="C15" s="664">
        <v>72</v>
      </c>
      <c r="D15" s="917">
        <f t="shared" ref="D15:D44" si="1">C15*E15</f>
        <v>576</v>
      </c>
      <c r="E15" s="806">
        <v>8</v>
      </c>
      <c r="F15" s="1069"/>
      <c r="G15" s="781"/>
    </row>
    <row r="16" spans="1:9" s="276" customFormat="1" ht="15" customHeight="1">
      <c r="A16" s="899">
        <v>7</v>
      </c>
      <c r="B16" s="772" t="s">
        <v>712</v>
      </c>
      <c r="C16" s="806">
        <v>120</v>
      </c>
      <c r="D16" s="917">
        <f t="shared" si="1"/>
        <v>960</v>
      </c>
      <c r="E16" s="806">
        <v>8</v>
      </c>
      <c r="F16" s="1069"/>
      <c r="G16" s="781"/>
    </row>
    <row r="17" spans="1:9" s="276" customFormat="1" ht="15" customHeight="1">
      <c r="A17" s="777">
        <v>8</v>
      </c>
      <c r="B17" s="772" t="s">
        <v>757</v>
      </c>
      <c r="C17" s="806">
        <v>20</v>
      </c>
      <c r="D17" s="917">
        <v>160</v>
      </c>
      <c r="E17" s="806">
        <v>8</v>
      </c>
      <c r="F17" s="1069"/>
      <c r="G17" s="781"/>
    </row>
    <row r="18" spans="1:9" s="276" customFormat="1" ht="15" customHeight="1">
      <c r="A18" s="899">
        <v>9</v>
      </c>
      <c r="B18" s="772" t="s">
        <v>894</v>
      </c>
      <c r="C18" s="901">
        <v>36</v>
      </c>
      <c r="D18" s="901">
        <v>288</v>
      </c>
      <c r="E18" s="901">
        <v>8</v>
      </c>
      <c r="F18" s="1069"/>
      <c r="G18" s="781"/>
    </row>
    <row r="19" spans="1:9" s="276" customFormat="1" ht="15" customHeight="1">
      <c r="A19" s="777">
        <v>10</v>
      </c>
      <c r="B19" s="772" t="s">
        <v>776</v>
      </c>
      <c r="C19" s="806">
        <v>56</v>
      </c>
      <c r="D19" s="917">
        <v>448</v>
      </c>
      <c r="E19" s="806">
        <v>8</v>
      </c>
      <c r="F19" s="1069"/>
      <c r="G19" s="781"/>
    </row>
    <row r="20" spans="1:9" s="276" customFormat="1" ht="15" customHeight="1">
      <c r="A20" s="899">
        <v>11</v>
      </c>
      <c r="B20" s="772" t="s">
        <v>777</v>
      </c>
      <c r="C20" s="806">
        <v>8</v>
      </c>
      <c r="D20" s="917">
        <v>64</v>
      </c>
      <c r="E20" s="806">
        <v>8</v>
      </c>
      <c r="F20" s="1069"/>
      <c r="G20" s="781"/>
    </row>
    <row r="21" spans="1:9" s="276" customFormat="1" ht="15" customHeight="1">
      <c r="A21" s="777">
        <v>12</v>
      </c>
      <c r="B21" s="772" t="s">
        <v>783</v>
      </c>
      <c r="C21" s="817">
        <v>60</v>
      </c>
      <c r="D21" s="917">
        <f>C21*E21</f>
        <v>480</v>
      </c>
      <c r="E21" s="817">
        <v>8</v>
      </c>
      <c r="F21" s="1069"/>
      <c r="G21" s="781"/>
    </row>
    <row r="22" spans="1:9" s="276" customFormat="1" ht="15" customHeight="1">
      <c r="A22" s="899">
        <v>13</v>
      </c>
      <c r="B22" s="772" t="s">
        <v>784</v>
      </c>
      <c r="C22" s="817">
        <v>60</v>
      </c>
      <c r="D22" s="917">
        <f t="shared" ref="D22:D23" si="2">C22*E22</f>
        <v>480</v>
      </c>
      <c r="E22" s="817">
        <v>8</v>
      </c>
      <c r="F22" s="1069"/>
      <c r="G22" s="781"/>
    </row>
    <row r="23" spans="1:9" s="276" customFormat="1" ht="15" customHeight="1">
      <c r="A23" s="777">
        <v>14</v>
      </c>
      <c r="B23" s="772" t="s">
        <v>785</v>
      </c>
      <c r="C23" s="817">
        <v>60</v>
      </c>
      <c r="D23" s="917">
        <f t="shared" si="2"/>
        <v>480</v>
      </c>
      <c r="E23" s="817">
        <v>8</v>
      </c>
      <c r="F23" s="1069"/>
      <c r="G23" s="781"/>
    </row>
    <row r="24" spans="1:9" s="276" customFormat="1" ht="15" customHeight="1">
      <c r="A24" s="899">
        <v>15</v>
      </c>
      <c r="B24" s="772" t="s">
        <v>786</v>
      </c>
      <c r="C24" s="817">
        <v>28</v>
      </c>
      <c r="D24" s="917">
        <f>C24*E24</f>
        <v>224</v>
      </c>
      <c r="E24" s="817">
        <v>8</v>
      </c>
      <c r="F24" s="1069"/>
      <c r="G24" s="781"/>
    </row>
    <row r="25" spans="1:9" s="276" customFormat="1" ht="15" customHeight="1">
      <c r="A25" s="777">
        <v>16</v>
      </c>
      <c r="B25" s="772" t="s">
        <v>739</v>
      </c>
      <c r="C25" s="821">
        <v>40</v>
      </c>
      <c r="D25" s="917">
        <f t="shared" ref="D25:D27" si="3">C25*E25</f>
        <v>320</v>
      </c>
      <c r="E25" s="821">
        <v>8</v>
      </c>
      <c r="F25" s="1069"/>
      <c r="G25" s="781"/>
    </row>
    <row r="26" spans="1:9" s="276" customFormat="1" ht="15" customHeight="1">
      <c r="A26" s="899">
        <v>17</v>
      </c>
      <c r="B26" s="772" t="s">
        <v>740</v>
      </c>
      <c r="C26" s="821">
        <v>40</v>
      </c>
      <c r="D26" s="917">
        <f t="shared" si="3"/>
        <v>320</v>
      </c>
      <c r="E26" s="821">
        <v>8</v>
      </c>
      <c r="F26" s="1069"/>
      <c r="G26" s="781"/>
    </row>
    <row r="27" spans="1:9" s="276" customFormat="1" ht="15" customHeight="1">
      <c r="A27" s="777">
        <v>18</v>
      </c>
      <c r="B27" s="772" t="s">
        <v>778</v>
      </c>
      <c r="C27" s="898">
        <v>24</v>
      </c>
      <c r="D27" s="917">
        <f t="shared" si="3"/>
        <v>192</v>
      </c>
      <c r="E27" s="898">
        <v>8</v>
      </c>
      <c r="F27" s="1069"/>
      <c r="G27" s="781"/>
    </row>
    <row r="28" spans="1:9" s="276" customFormat="1" ht="15" customHeight="1">
      <c r="A28" s="919">
        <v>19</v>
      </c>
      <c r="B28" s="773" t="s">
        <v>910</v>
      </c>
      <c r="C28" s="921">
        <v>20</v>
      </c>
      <c r="D28" s="921">
        <v>160</v>
      </c>
      <c r="E28" s="921">
        <v>8</v>
      </c>
      <c r="F28" s="1069"/>
      <c r="G28" s="781"/>
    </row>
    <row r="29" spans="1:9" s="276" customFormat="1" ht="15" customHeight="1">
      <c r="A29" s="777">
        <v>20</v>
      </c>
      <c r="B29" s="772" t="s">
        <v>914</v>
      </c>
      <c r="C29" s="921">
        <v>100</v>
      </c>
      <c r="D29" s="921">
        <v>800</v>
      </c>
      <c r="E29" s="921">
        <v>8</v>
      </c>
      <c r="F29" s="1069"/>
      <c r="G29" s="781"/>
    </row>
    <row r="30" spans="1:9" s="276" customFormat="1" ht="15" customHeight="1">
      <c r="A30" s="919">
        <v>21</v>
      </c>
      <c r="B30" s="772" t="s">
        <v>917</v>
      </c>
      <c r="C30" s="921">
        <v>300</v>
      </c>
      <c r="D30" s="921">
        <v>2400</v>
      </c>
      <c r="E30" s="921">
        <v>8</v>
      </c>
      <c r="F30" s="1069"/>
      <c r="G30" s="781"/>
    </row>
    <row r="31" spans="1:9" s="276" customFormat="1" ht="15" customHeight="1">
      <c r="A31" s="812">
        <v>1</v>
      </c>
      <c r="B31" s="813" t="s">
        <v>778</v>
      </c>
      <c r="C31" s="810">
        <v>12</v>
      </c>
      <c r="D31" s="810">
        <v>144</v>
      </c>
      <c r="E31" s="810">
        <v>12</v>
      </c>
      <c r="F31" s="894" t="s">
        <v>264</v>
      </c>
      <c r="G31" s="814"/>
      <c r="H31" s="820"/>
    </row>
    <row r="32" spans="1:9" s="149" customFormat="1" ht="15" customHeight="1">
      <c r="A32" s="774">
        <v>1</v>
      </c>
      <c r="B32" s="437" t="s">
        <v>554</v>
      </c>
      <c r="C32" s="652">
        <v>8</v>
      </c>
      <c r="D32" s="660">
        <f t="shared" si="1"/>
        <v>32</v>
      </c>
      <c r="E32" s="652">
        <v>4</v>
      </c>
      <c r="F32" s="1049" t="s">
        <v>341</v>
      </c>
      <c r="G32" s="807" t="s">
        <v>372</v>
      </c>
      <c r="H32" s="260"/>
      <c r="I32" s="260"/>
    </row>
    <row r="33" spans="1:9" s="149" customFormat="1" ht="15" customHeight="1">
      <c r="A33" s="774">
        <v>2</v>
      </c>
      <c r="B33" s="437" t="s">
        <v>413</v>
      </c>
      <c r="C33" s="652">
        <v>54</v>
      </c>
      <c r="D33" s="660">
        <f t="shared" si="1"/>
        <v>216</v>
      </c>
      <c r="E33" s="652">
        <v>4</v>
      </c>
      <c r="F33" s="1050"/>
      <c r="G33" s="807"/>
      <c r="H33" s="260"/>
      <c r="I33" s="260"/>
    </row>
    <row r="34" spans="1:9" s="149" customFormat="1" ht="15" customHeight="1">
      <c r="A34" s="774">
        <v>3</v>
      </c>
      <c r="B34" s="437" t="s">
        <v>414</v>
      </c>
      <c r="C34" s="652">
        <v>224</v>
      </c>
      <c r="D34" s="660">
        <f t="shared" si="1"/>
        <v>896</v>
      </c>
      <c r="E34" s="652">
        <v>4</v>
      </c>
      <c r="F34" s="1050"/>
      <c r="G34" s="807"/>
      <c r="H34" s="260"/>
      <c r="I34" s="260"/>
    </row>
    <row r="35" spans="1:9" s="149" customFormat="1" ht="15" customHeight="1">
      <c r="A35" s="774">
        <v>4</v>
      </c>
      <c r="B35" s="437" t="s">
        <v>375</v>
      </c>
      <c r="C35" s="652">
        <v>20</v>
      </c>
      <c r="D35" s="660">
        <f t="shared" si="1"/>
        <v>80</v>
      </c>
      <c r="E35" s="652">
        <v>4</v>
      </c>
      <c r="F35" s="1050"/>
      <c r="G35" s="807"/>
      <c r="H35" s="260"/>
      <c r="I35" s="260"/>
    </row>
    <row r="36" spans="1:9" s="149" customFormat="1" ht="15" customHeight="1">
      <c r="A36" s="774">
        <v>5</v>
      </c>
      <c r="B36" s="437" t="s">
        <v>67</v>
      </c>
      <c r="C36" s="652">
        <v>14</v>
      </c>
      <c r="D36" s="660">
        <f t="shared" si="1"/>
        <v>56</v>
      </c>
      <c r="E36" s="652">
        <v>4</v>
      </c>
      <c r="F36" s="1050"/>
      <c r="G36" s="807"/>
      <c r="H36" s="260"/>
      <c r="I36" s="260"/>
    </row>
    <row r="37" spans="1:9" s="149" customFormat="1" ht="15" customHeight="1">
      <c r="A37" s="774">
        <v>6</v>
      </c>
      <c r="B37" s="437" t="s">
        <v>540</v>
      </c>
      <c r="C37" s="652">
        <v>16</v>
      </c>
      <c r="D37" s="660">
        <f t="shared" si="1"/>
        <v>64</v>
      </c>
      <c r="E37" s="652">
        <v>4</v>
      </c>
      <c r="F37" s="1050"/>
      <c r="G37" s="807"/>
      <c r="H37" s="260"/>
      <c r="I37" s="260"/>
    </row>
    <row r="38" spans="1:9" s="149" customFormat="1" ht="15" customHeight="1">
      <c r="A38" s="774">
        <v>7</v>
      </c>
      <c r="B38" s="437" t="s">
        <v>550</v>
      </c>
      <c r="C38" s="652">
        <v>14</v>
      </c>
      <c r="D38" s="660">
        <f t="shared" si="1"/>
        <v>56</v>
      </c>
      <c r="E38" s="652">
        <v>4</v>
      </c>
      <c r="F38" s="1050"/>
      <c r="G38" s="807"/>
      <c r="H38" s="260"/>
      <c r="I38" s="260"/>
    </row>
    <row r="39" spans="1:9" s="149" customFormat="1" ht="15" customHeight="1">
      <c r="A39" s="774">
        <v>8</v>
      </c>
      <c r="B39" s="749" t="s">
        <v>528</v>
      </c>
      <c r="C39" s="652">
        <v>9</v>
      </c>
      <c r="D39" s="660">
        <f t="shared" si="1"/>
        <v>36</v>
      </c>
      <c r="E39" s="652">
        <v>4</v>
      </c>
      <c r="F39" s="1050"/>
      <c r="G39" s="807"/>
      <c r="H39" s="260"/>
      <c r="I39" s="260"/>
    </row>
    <row r="40" spans="1:9" s="149" customFormat="1" ht="15" customHeight="1">
      <c r="A40" s="774">
        <v>9</v>
      </c>
      <c r="B40" s="749" t="s">
        <v>538</v>
      </c>
      <c r="C40" s="652">
        <v>16</v>
      </c>
      <c r="D40" s="660">
        <f t="shared" si="1"/>
        <v>64</v>
      </c>
      <c r="E40" s="652">
        <v>4</v>
      </c>
      <c r="F40" s="1050"/>
      <c r="G40" s="807" t="s">
        <v>569</v>
      </c>
      <c r="H40" s="260"/>
      <c r="I40" s="260"/>
    </row>
    <row r="41" spans="1:9" s="149" customFormat="1" ht="15" customHeight="1">
      <c r="A41" s="774">
        <v>10</v>
      </c>
      <c r="B41" s="749" t="s">
        <v>553</v>
      </c>
      <c r="C41" s="652">
        <v>15</v>
      </c>
      <c r="D41" s="660">
        <f t="shared" si="1"/>
        <v>60</v>
      </c>
      <c r="E41" s="652">
        <v>4</v>
      </c>
      <c r="F41" s="1050"/>
      <c r="G41" s="807" t="s">
        <v>568</v>
      </c>
      <c r="H41" s="260"/>
      <c r="I41" s="260"/>
    </row>
    <row r="42" spans="1:9" s="149" customFormat="1" ht="15" customHeight="1">
      <c r="A42" s="774">
        <v>11</v>
      </c>
      <c r="B42" s="501" t="s">
        <v>782</v>
      </c>
      <c r="C42" s="648">
        <v>24</v>
      </c>
      <c r="D42" s="660">
        <f t="shared" si="1"/>
        <v>96</v>
      </c>
      <c r="E42" s="652">
        <v>4</v>
      </c>
      <c r="F42" s="1050"/>
      <c r="G42" s="807"/>
      <c r="H42" s="260"/>
      <c r="I42" s="260"/>
    </row>
    <row r="43" spans="1:9" s="149" customFormat="1" ht="15" customHeight="1">
      <c r="A43" s="774">
        <v>12</v>
      </c>
      <c r="B43" s="501" t="s">
        <v>521</v>
      </c>
      <c r="C43" s="648">
        <v>16</v>
      </c>
      <c r="D43" s="660">
        <f t="shared" si="1"/>
        <v>64</v>
      </c>
      <c r="E43" s="652">
        <v>4</v>
      </c>
      <c r="F43" s="1050"/>
      <c r="G43" s="807"/>
      <c r="H43" s="260"/>
      <c r="I43" s="260"/>
    </row>
    <row r="44" spans="1:9" s="149" customFormat="1" ht="15" customHeight="1">
      <c r="A44" s="774">
        <v>13</v>
      </c>
      <c r="B44" s="501" t="s">
        <v>573</v>
      </c>
      <c r="C44" s="648">
        <v>36</v>
      </c>
      <c r="D44" s="660">
        <f t="shared" si="1"/>
        <v>144</v>
      </c>
      <c r="E44" s="652">
        <v>4</v>
      </c>
      <c r="F44" s="1050"/>
      <c r="G44" s="807"/>
      <c r="H44" s="260"/>
      <c r="I44" s="260"/>
    </row>
    <row r="45" spans="1:9" s="149" customFormat="1" ht="15" hidden="1" customHeight="1">
      <c r="A45" s="774">
        <v>14</v>
      </c>
      <c r="B45" s="507" t="s">
        <v>543</v>
      </c>
      <c r="C45" s="518">
        <v>12</v>
      </c>
      <c r="D45" s="657">
        <v>72</v>
      </c>
      <c r="E45" s="652">
        <v>4</v>
      </c>
      <c r="F45" s="1050"/>
      <c r="G45" s="807"/>
      <c r="H45" s="260"/>
      <c r="I45" s="260"/>
    </row>
    <row r="46" spans="1:9" s="149" customFormat="1" ht="15" hidden="1" customHeight="1">
      <c r="A46" s="774">
        <v>15</v>
      </c>
      <c r="B46" s="507" t="s">
        <v>545</v>
      </c>
      <c r="C46" s="518"/>
      <c r="D46" s="657"/>
      <c r="E46" s="652">
        <v>4</v>
      </c>
      <c r="F46" s="1050"/>
      <c r="G46" s="807"/>
      <c r="H46" s="260"/>
      <c r="I46" s="260"/>
    </row>
    <row r="47" spans="1:9" s="149" customFormat="1" ht="15" hidden="1" customHeight="1">
      <c r="A47" s="774">
        <v>16</v>
      </c>
      <c r="B47" s="507" t="s">
        <v>547</v>
      </c>
      <c r="C47" s="518"/>
      <c r="D47" s="657"/>
      <c r="E47" s="652">
        <v>4</v>
      </c>
      <c r="F47" s="1050"/>
      <c r="G47" s="807"/>
      <c r="H47" s="260"/>
      <c r="I47" s="260"/>
    </row>
    <row r="48" spans="1:9" s="149" customFormat="1" ht="15" customHeight="1">
      <c r="A48" s="774">
        <v>17</v>
      </c>
      <c r="B48" s="775" t="s">
        <v>622</v>
      </c>
      <c r="C48" s="655">
        <v>48</v>
      </c>
      <c r="D48" s="655">
        <v>192</v>
      </c>
      <c r="E48" s="652">
        <v>4</v>
      </c>
      <c r="F48" s="1050"/>
      <c r="G48" s="807"/>
      <c r="H48" s="260"/>
      <c r="I48" s="260"/>
    </row>
    <row r="49" spans="1:9" s="149" customFormat="1" ht="15" customHeight="1">
      <c r="A49" s="774">
        <v>18</v>
      </c>
      <c r="B49" s="775" t="s">
        <v>606</v>
      </c>
      <c r="C49" s="655">
        <v>9</v>
      </c>
      <c r="D49" s="655">
        <v>36</v>
      </c>
      <c r="E49" s="652">
        <v>4</v>
      </c>
      <c r="F49" s="1050"/>
      <c r="G49" s="826"/>
      <c r="H49" s="260"/>
      <c r="I49" s="260"/>
    </row>
    <row r="50" spans="1:9" s="149" customFormat="1" ht="15" customHeight="1">
      <c r="A50" s="774">
        <v>19</v>
      </c>
      <c r="B50" s="775" t="s">
        <v>655</v>
      </c>
      <c r="C50" s="650">
        <v>45</v>
      </c>
      <c r="D50" s="655">
        <f t="shared" ref="D50:D61" si="4">C50*E50</f>
        <v>180</v>
      </c>
      <c r="E50" s="655">
        <v>4</v>
      </c>
      <c r="F50" s="1050"/>
      <c r="G50" s="826"/>
      <c r="H50" s="260"/>
      <c r="I50" s="260"/>
    </row>
    <row r="51" spans="1:9" s="149" customFormat="1" ht="15" customHeight="1">
      <c r="A51" s="774">
        <v>20</v>
      </c>
      <c r="B51" s="775" t="s">
        <v>656</v>
      </c>
      <c r="C51" s="650">
        <v>15</v>
      </c>
      <c r="D51" s="655">
        <f t="shared" si="4"/>
        <v>60</v>
      </c>
      <c r="E51" s="655">
        <v>4</v>
      </c>
      <c r="F51" s="1050"/>
      <c r="G51" s="826"/>
      <c r="H51" s="260"/>
      <c r="I51" s="260"/>
    </row>
    <row r="52" spans="1:9" s="149" customFormat="1" ht="15" customHeight="1">
      <c r="A52" s="774">
        <v>21</v>
      </c>
      <c r="B52" s="775" t="s">
        <v>657</v>
      </c>
      <c r="C52" s="650">
        <v>30</v>
      </c>
      <c r="D52" s="655">
        <f t="shared" si="4"/>
        <v>120</v>
      </c>
      <c r="E52" s="655">
        <v>4</v>
      </c>
      <c r="F52" s="1050"/>
      <c r="G52" s="826"/>
      <c r="H52" s="260"/>
      <c r="I52" s="260"/>
    </row>
    <row r="53" spans="1:9" s="149" customFormat="1" ht="15" customHeight="1">
      <c r="A53" s="774">
        <v>22</v>
      </c>
      <c r="B53" s="900" t="s">
        <v>669</v>
      </c>
      <c r="C53" s="650">
        <v>40</v>
      </c>
      <c r="D53" s="655">
        <f t="shared" si="4"/>
        <v>160</v>
      </c>
      <c r="E53" s="655">
        <v>4</v>
      </c>
      <c r="F53" s="1050"/>
      <c r="G53" s="826"/>
      <c r="H53" s="260"/>
      <c r="I53" s="260"/>
    </row>
    <row r="54" spans="1:9" s="149" customFormat="1" ht="15" customHeight="1">
      <c r="A54" s="774">
        <v>23</v>
      </c>
      <c r="B54" s="775" t="s">
        <v>742</v>
      </c>
      <c r="C54" s="650">
        <v>22</v>
      </c>
      <c r="D54" s="655">
        <f t="shared" si="4"/>
        <v>88</v>
      </c>
      <c r="E54" s="655">
        <v>4</v>
      </c>
      <c r="F54" s="1050"/>
      <c r="G54" s="807"/>
      <c r="H54" s="260"/>
      <c r="I54" s="260"/>
    </row>
    <row r="55" spans="1:9" s="149" customFormat="1" ht="15" customHeight="1">
      <c r="A55" s="774">
        <v>24</v>
      </c>
      <c r="B55" s="775" t="s">
        <v>662</v>
      </c>
      <c r="C55" s="650">
        <v>20</v>
      </c>
      <c r="D55" s="655">
        <f t="shared" si="4"/>
        <v>80</v>
      </c>
      <c r="E55" s="655">
        <v>4</v>
      </c>
      <c r="F55" s="1050"/>
      <c r="G55" s="807"/>
      <c r="H55" s="260"/>
      <c r="I55" s="260"/>
    </row>
    <row r="56" spans="1:9" s="149" customFormat="1" ht="15" customHeight="1">
      <c r="A56" s="774">
        <v>25</v>
      </c>
      <c r="B56" s="775" t="s">
        <v>663</v>
      </c>
      <c r="C56" s="650">
        <v>16</v>
      </c>
      <c r="D56" s="655">
        <f t="shared" si="4"/>
        <v>64</v>
      </c>
      <c r="E56" s="655">
        <v>4</v>
      </c>
      <c r="F56" s="1050"/>
      <c r="G56" s="807"/>
      <c r="H56" s="260"/>
      <c r="I56" s="260"/>
    </row>
    <row r="57" spans="1:9" s="149" customFormat="1" ht="15" customHeight="1">
      <c r="A57" s="774">
        <v>26</v>
      </c>
      <c r="B57" s="775" t="s">
        <v>722</v>
      </c>
      <c r="C57" s="650">
        <v>20</v>
      </c>
      <c r="D57" s="655">
        <f t="shared" si="4"/>
        <v>80</v>
      </c>
      <c r="E57" s="655">
        <v>4</v>
      </c>
      <c r="F57" s="1050"/>
      <c r="G57" s="807"/>
      <c r="H57" s="260"/>
      <c r="I57" s="260"/>
    </row>
    <row r="58" spans="1:9" s="149" customFormat="1" ht="15" customHeight="1">
      <c r="A58" s="774">
        <v>27</v>
      </c>
      <c r="B58" s="749" t="s">
        <v>374</v>
      </c>
      <c r="C58" s="650">
        <v>66</v>
      </c>
      <c r="D58" s="655">
        <f t="shared" si="4"/>
        <v>264</v>
      </c>
      <c r="E58" s="655">
        <v>4</v>
      </c>
      <c r="F58" s="1050"/>
      <c r="G58" s="807"/>
      <c r="H58" s="260"/>
      <c r="I58" s="260"/>
    </row>
    <row r="59" spans="1:9" s="149" customFormat="1" ht="15" customHeight="1">
      <c r="A59" s="774">
        <v>28</v>
      </c>
      <c r="B59" s="749" t="s">
        <v>542</v>
      </c>
      <c r="C59" s="650">
        <v>8</v>
      </c>
      <c r="D59" s="655">
        <f t="shared" si="4"/>
        <v>32</v>
      </c>
      <c r="E59" s="655">
        <v>4</v>
      </c>
      <c r="F59" s="1050"/>
      <c r="G59" s="807"/>
      <c r="H59" s="260"/>
      <c r="I59" s="260"/>
    </row>
    <row r="60" spans="1:9" s="149" customFormat="1" ht="15" customHeight="1">
      <c r="A60" s="774">
        <v>29</v>
      </c>
      <c r="B60" s="749" t="s">
        <v>519</v>
      </c>
      <c r="C60" s="650">
        <v>5</v>
      </c>
      <c r="D60" s="655">
        <f t="shared" si="4"/>
        <v>20</v>
      </c>
      <c r="E60" s="655">
        <v>4</v>
      </c>
      <c r="F60" s="1050"/>
      <c r="G60" s="807"/>
      <c r="H60" s="260"/>
      <c r="I60" s="260"/>
    </row>
    <row r="61" spans="1:9" s="149" customFormat="1" ht="15" customHeight="1">
      <c r="A61" s="774">
        <v>30</v>
      </c>
      <c r="B61" s="749" t="s">
        <v>520</v>
      </c>
      <c r="C61" s="650">
        <v>10</v>
      </c>
      <c r="D61" s="655">
        <f t="shared" si="4"/>
        <v>40</v>
      </c>
      <c r="E61" s="655">
        <v>4</v>
      </c>
      <c r="F61" s="1050"/>
      <c r="G61" s="807"/>
      <c r="H61" s="260"/>
      <c r="I61" s="260"/>
    </row>
    <row r="62" spans="1:9" s="149" customFormat="1" ht="15" customHeight="1">
      <c r="A62" s="774">
        <v>31</v>
      </c>
      <c r="B62" s="904" t="s">
        <v>758</v>
      </c>
      <c r="C62" s="650">
        <v>24</v>
      </c>
      <c r="D62" s="655">
        <v>96</v>
      </c>
      <c r="E62" s="655">
        <v>4</v>
      </c>
      <c r="F62" s="1050"/>
      <c r="G62" s="807" t="s">
        <v>781</v>
      </c>
      <c r="H62" s="260"/>
      <c r="I62" s="260"/>
    </row>
    <row r="63" spans="1:9" s="149" customFormat="1" ht="15" customHeight="1">
      <c r="A63" s="774">
        <v>32</v>
      </c>
      <c r="B63" s="904" t="s">
        <v>759</v>
      </c>
      <c r="C63" s="650">
        <v>15</v>
      </c>
      <c r="D63" s="655">
        <v>60</v>
      </c>
      <c r="E63" s="655">
        <v>4</v>
      </c>
      <c r="F63" s="1050"/>
      <c r="G63" s="807" t="s">
        <v>780</v>
      </c>
      <c r="H63" s="260"/>
      <c r="I63" s="260"/>
    </row>
    <row r="64" spans="1:9" s="149" customFormat="1" ht="15" customHeight="1">
      <c r="A64" s="774">
        <v>33</v>
      </c>
      <c r="B64" s="904" t="s">
        <v>762</v>
      </c>
      <c r="C64" s="650">
        <v>15</v>
      </c>
      <c r="D64" s="655">
        <v>60</v>
      </c>
      <c r="E64" s="655">
        <v>4</v>
      </c>
      <c r="F64" s="1050"/>
      <c r="G64" s="807" t="s">
        <v>568</v>
      </c>
      <c r="H64" s="260"/>
      <c r="I64" s="260"/>
    </row>
    <row r="65" spans="1:9" s="149" customFormat="1" ht="15" customHeight="1">
      <c r="A65" s="774">
        <v>34</v>
      </c>
      <c r="B65" s="904" t="s">
        <v>763</v>
      </c>
      <c r="C65" s="650">
        <v>15</v>
      </c>
      <c r="D65" s="655">
        <v>60</v>
      </c>
      <c r="E65" s="655">
        <v>4</v>
      </c>
      <c r="F65" s="1050"/>
      <c r="G65" s="807" t="s">
        <v>568</v>
      </c>
      <c r="H65" s="260"/>
      <c r="I65" s="260"/>
    </row>
    <row r="66" spans="1:9" s="149" customFormat="1" ht="15" customHeight="1">
      <c r="A66" s="774">
        <v>35</v>
      </c>
      <c r="B66" s="904" t="s">
        <v>764</v>
      </c>
      <c r="C66" s="650">
        <v>15</v>
      </c>
      <c r="D66" s="655">
        <v>60</v>
      </c>
      <c r="E66" s="655">
        <v>4</v>
      </c>
      <c r="F66" s="1050"/>
      <c r="G66" s="807" t="s">
        <v>568</v>
      </c>
      <c r="H66" s="260"/>
      <c r="I66" s="260"/>
    </row>
    <row r="67" spans="1:9" s="149" customFormat="1" ht="15" customHeight="1">
      <c r="A67" s="774">
        <v>36</v>
      </c>
      <c r="B67" s="904" t="s">
        <v>765</v>
      </c>
      <c r="C67" s="650">
        <v>15</v>
      </c>
      <c r="D67" s="655">
        <v>60</v>
      </c>
      <c r="E67" s="655">
        <v>4</v>
      </c>
      <c r="F67" s="1050"/>
      <c r="G67" s="807" t="s">
        <v>568</v>
      </c>
      <c r="H67" s="260"/>
      <c r="I67" s="260"/>
    </row>
    <row r="68" spans="1:9" s="149" customFormat="1" ht="15" customHeight="1">
      <c r="A68" s="774">
        <v>37</v>
      </c>
      <c r="B68" s="904" t="s">
        <v>890</v>
      </c>
      <c r="C68" s="650">
        <v>20</v>
      </c>
      <c r="D68" s="655">
        <v>80</v>
      </c>
      <c r="E68" s="655">
        <v>4</v>
      </c>
      <c r="F68" s="1050"/>
      <c r="G68" s="807"/>
      <c r="H68" s="260"/>
      <c r="I68" s="260"/>
    </row>
    <row r="69" spans="1:9" s="149" customFormat="1" ht="15" customHeight="1">
      <c r="A69" s="774">
        <v>38</v>
      </c>
      <c r="B69" s="904" t="s">
        <v>895</v>
      </c>
      <c r="C69" s="650">
        <v>27</v>
      </c>
      <c r="D69" s="655">
        <v>108</v>
      </c>
      <c r="E69" s="655">
        <v>4</v>
      </c>
      <c r="F69" s="1050"/>
      <c r="G69" s="807"/>
      <c r="H69" s="260"/>
      <c r="I69" s="260"/>
    </row>
    <row r="70" spans="1:9" s="149" customFormat="1" ht="15" customHeight="1">
      <c r="A70" s="774">
        <v>39</v>
      </c>
      <c r="B70" s="904" t="s">
        <v>779</v>
      </c>
      <c r="C70" s="650">
        <v>20</v>
      </c>
      <c r="D70" s="655">
        <v>80</v>
      </c>
      <c r="E70" s="655">
        <v>4</v>
      </c>
      <c r="F70" s="1050"/>
      <c r="G70" s="807"/>
      <c r="H70" s="260"/>
      <c r="I70" s="260"/>
    </row>
    <row r="71" spans="1:9" s="149" customFormat="1" ht="15" customHeight="1">
      <c r="A71" s="774">
        <v>40</v>
      </c>
      <c r="B71" s="904" t="s">
        <v>771</v>
      </c>
      <c r="C71" s="650">
        <v>18</v>
      </c>
      <c r="D71" s="655">
        <v>72</v>
      </c>
      <c r="E71" s="655">
        <v>4</v>
      </c>
      <c r="F71" s="1050"/>
      <c r="G71" s="807"/>
      <c r="H71" s="260"/>
      <c r="I71" s="260"/>
    </row>
    <row r="72" spans="1:9" s="149" customFormat="1" ht="15" customHeight="1">
      <c r="A72" s="774">
        <v>41</v>
      </c>
      <c r="B72" s="904" t="s">
        <v>772</v>
      </c>
      <c r="C72" s="650">
        <v>18</v>
      </c>
      <c r="D72" s="655">
        <v>72</v>
      </c>
      <c r="E72" s="655">
        <v>4</v>
      </c>
      <c r="F72" s="1050"/>
      <c r="G72" s="807"/>
      <c r="H72" s="260"/>
      <c r="I72" s="260"/>
    </row>
    <row r="73" spans="1:9" s="149" customFormat="1" ht="15" customHeight="1">
      <c r="A73" s="774">
        <v>42</v>
      </c>
      <c r="B73" s="904" t="s">
        <v>773</v>
      </c>
      <c r="C73" s="650">
        <v>14</v>
      </c>
      <c r="D73" s="655">
        <v>56</v>
      </c>
      <c r="E73" s="655">
        <v>4</v>
      </c>
      <c r="F73" s="1050"/>
      <c r="G73" s="807"/>
      <c r="H73" s="260"/>
      <c r="I73" s="260"/>
    </row>
    <row r="74" spans="1:9" s="149" customFormat="1" ht="15" customHeight="1">
      <c r="A74" s="774">
        <v>43</v>
      </c>
      <c r="B74" s="904" t="s">
        <v>774</v>
      </c>
      <c r="C74" s="650">
        <v>30</v>
      </c>
      <c r="D74" s="655">
        <v>120</v>
      </c>
      <c r="E74" s="655">
        <v>4</v>
      </c>
      <c r="F74" s="1050"/>
      <c r="G74" s="807"/>
      <c r="H74" s="260"/>
      <c r="I74" s="260"/>
    </row>
    <row r="75" spans="1:9" s="149" customFormat="1" ht="15" customHeight="1">
      <c r="A75" s="774">
        <v>44</v>
      </c>
      <c r="B75" s="904" t="s">
        <v>906</v>
      </c>
      <c r="C75" s="650">
        <v>3</v>
      </c>
      <c r="D75" s="655">
        <v>12</v>
      </c>
      <c r="E75" s="655">
        <v>4</v>
      </c>
      <c r="F75" s="1050"/>
      <c r="G75" s="923"/>
      <c r="H75" s="260"/>
      <c r="I75" s="260"/>
    </row>
    <row r="76" spans="1:9" s="149" customFormat="1" ht="15" customHeight="1">
      <c r="A76" s="774">
        <v>45</v>
      </c>
      <c r="B76" s="904" t="s">
        <v>907</v>
      </c>
      <c r="C76" s="650">
        <v>24</v>
      </c>
      <c r="D76" s="655">
        <v>96</v>
      </c>
      <c r="E76" s="655">
        <v>4</v>
      </c>
      <c r="F76" s="1050"/>
      <c r="G76" s="923"/>
      <c r="H76" s="260"/>
      <c r="I76" s="260"/>
    </row>
    <row r="77" spans="1:9" s="149" customFormat="1" ht="15" customHeight="1">
      <c r="A77" s="774">
        <v>46</v>
      </c>
      <c r="B77" s="904" t="s">
        <v>908</v>
      </c>
      <c r="C77" s="650">
        <v>24</v>
      </c>
      <c r="D77" s="655">
        <v>96</v>
      </c>
      <c r="E77" s="655">
        <v>4</v>
      </c>
      <c r="F77" s="1050"/>
      <c r="G77" s="923"/>
      <c r="H77" s="260"/>
      <c r="I77" s="260"/>
    </row>
    <row r="78" spans="1:9" s="149" customFormat="1" ht="15" customHeight="1">
      <c r="A78" s="774">
        <v>47</v>
      </c>
      <c r="B78" s="927" t="s">
        <v>909</v>
      </c>
      <c r="C78" s="650">
        <v>12</v>
      </c>
      <c r="D78" s="655">
        <v>48</v>
      </c>
      <c r="E78" s="655">
        <v>4</v>
      </c>
      <c r="F78" s="1050"/>
      <c r="G78" s="923"/>
      <c r="H78" s="260"/>
      <c r="I78" s="260"/>
    </row>
    <row r="79" spans="1:9" s="149" customFormat="1" ht="15" customHeight="1">
      <c r="A79" s="774">
        <v>48</v>
      </c>
      <c r="B79" s="904" t="s">
        <v>913</v>
      </c>
      <c r="C79" s="650">
        <v>24</v>
      </c>
      <c r="D79" s="655">
        <v>96</v>
      </c>
      <c r="E79" s="655">
        <v>4</v>
      </c>
      <c r="F79" s="1050"/>
      <c r="G79" s="923"/>
      <c r="H79" s="260"/>
      <c r="I79" s="260"/>
    </row>
    <row r="80" spans="1:9" s="149" customFormat="1" ht="15" customHeight="1">
      <c r="A80" s="774">
        <v>49</v>
      </c>
      <c r="B80" s="904" t="s">
        <v>915</v>
      </c>
      <c r="C80" s="650">
        <v>16</v>
      </c>
      <c r="D80" s="655">
        <v>64</v>
      </c>
      <c r="E80" s="655">
        <v>4</v>
      </c>
      <c r="F80" s="1050"/>
      <c r="G80" s="923"/>
      <c r="H80" s="260"/>
      <c r="I80" s="260"/>
    </row>
    <row r="81" spans="1:9" s="149" customFormat="1" ht="15" customHeight="1">
      <c r="A81" s="774">
        <v>50</v>
      </c>
      <c r="B81" s="904" t="s">
        <v>916</v>
      </c>
      <c r="C81" s="650">
        <v>56</v>
      </c>
      <c r="D81" s="655">
        <v>224</v>
      </c>
      <c r="E81" s="655">
        <v>4</v>
      </c>
      <c r="F81" s="1085"/>
      <c r="G81" s="923"/>
      <c r="H81" s="260"/>
      <c r="I81" s="260"/>
    </row>
    <row r="82" spans="1:9" s="149" customFormat="1" ht="15" customHeight="1">
      <c r="A82" s="774">
        <v>1</v>
      </c>
      <c r="B82" s="904" t="s">
        <v>896</v>
      </c>
      <c r="C82" s="650">
        <v>63</v>
      </c>
      <c r="D82" s="655">
        <f>C82*E82</f>
        <v>3024</v>
      </c>
      <c r="E82" s="655">
        <v>48</v>
      </c>
      <c r="F82" s="1049" t="s">
        <v>901</v>
      </c>
      <c r="G82" s="903" t="s">
        <v>902</v>
      </c>
      <c r="H82" s="260"/>
      <c r="I82" s="260"/>
    </row>
    <row r="83" spans="1:9" s="149" customFormat="1" ht="15" customHeight="1">
      <c r="A83" s="774">
        <v>2</v>
      </c>
      <c r="B83" s="904" t="s">
        <v>897</v>
      </c>
      <c r="C83" s="650">
        <v>45</v>
      </c>
      <c r="D83" s="655">
        <f t="shared" ref="D83:D86" si="5">C83*E83</f>
        <v>2160</v>
      </c>
      <c r="E83" s="655">
        <v>48</v>
      </c>
      <c r="F83" s="1050"/>
      <c r="G83" s="903"/>
      <c r="H83" s="260"/>
      <c r="I83" s="260"/>
    </row>
    <row r="84" spans="1:9" s="149" customFormat="1" ht="15" customHeight="1">
      <c r="A84" s="774">
        <v>3</v>
      </c>
      <c r="B84" s="904" t="s">
        <v>898</v>
      </c>
      <c r="C84" s="650">
        <v>54</v>
      </c>
      <c r="D84" s="655">
        <f t="shared" si="5"/>
        <v>2592</v>
      </c>
      <c r="E84" s="655">
        <v>48</v>
      </c>
      <c r="F84" s="1050"/>
      <c r="G84" s="903"/>
      <c r="H84" s="260"/>
      <c r="I84" s="260"/>
    </row>
    <row r="85" spans="1:9" s="149" customFormat="1" ht="15" customHeight="1">
      <c r="A85" s="774">
        <v>4</v>
      </c>
      <c r="B85" s="904" t="s">
        <v>899</v>
      </c>
      <c r="C85" s="650">
        <v>54</v>
      </c>
      <c r="D85" s="655">
        <f t="shared" si="5"/>
        <v>2592</v>
      </c>
      <c r="E85" s="655">
        <v>48</v>
      </c>
      <c r="F85" s="1050"/>
      <c r="G85" s="903"/>
      <c r="H85" s="260"/>
      <c r="I85" s="260"/>
    </row>
    <row r="86" spans="1:9" s="149" customFormat="1" ht="15" customHeight="1">
      <c r="A86" s="774">
        <v>5</v>
      </c>
      <c r="B86" s="904" t="s">
        <v>900</v>
      </c>
      <c r="C86" s="650">
        <v>54</v>
      </c>
      <c r="D86" s="655">
        <f t="shared" si="5"/>
        <v>2592</v>
      </c>
      <c r="E86" s="655">
        <v>48</v>
      </c>
      <c r="F86" s="1085"/>
      <c r="G86" s="903"/>
      <c r="H86" s="260"/>
      <c r="I86" s="260"/>
    </row>
    <row r="87" spans="1:9" s="149" customFormat="1" ht="15" customHeight="1">
      <c r="A87" s="801">
        <v>1</v>
      </c>
      <c r="B87" s="795" t="s">
        <v>664</v>
      </c>
      <c r="C87" s="796">
        <v>8</v>
      </c>
      <c r="D87" s="797">
        <f>C87*E87</f>
        <v>32</v>
      </c>
      <c r="E87" s="797">
        <v>4</v>
      </c>
      <c r="F87" s="895" t="s">
        <v>721</v>
      </c>
      <c r="G87" s="802"/>
      <c r="H87" s="260"/>
      <c r="I87" s="260"/>
    </row>
    <row r="88" spans="1:9">
      <c r="A88" s="1080">
        <v>1</v>
      </c>
      <c r="B88" s="790" t="s">
        <v>744</v>
      </c>
      <c r="C88" s="792">
        <v>24</v>
      </c>
      <c r="D88" s="573">
        <f>C88*E88</f>
        <v>48</v>
      </c>
      <c r="E88" s="573">
        <v>2</v>
      </c>
      <c r="F88" s="1083" t="s">
        <v>749</v>
      </c>
      <c r="G88" s="573"/>
    </row>
    <row r="89" spans="1:9">
      <c r="A89" s="1081"/>
      <c r="B89" s="790" t="s">
        <v>745</v>
      </c>
      <c r="C89" s="573">
        <v>24</v>
      </c>
      <c r="D89" s="573">
        <f t="shared" ref="D89:D93" si="6">C89*E89</f>
        <v>48</v>
      </c>
      <c r="E89" s="573">
        <v>2</v>
      </c>
      <c r="F89" s="1054"/>
      <c r="G89" s="573"/>
    </row>
    <row r="90" spans="1:9">
      <c r="A90" s="1081"/>
      <c r="B90" s="790" t="s">
        <v>746</v>
      </c>
      <c r="C90" s="573">
        <v>24</v>
      </c>
      <c r="D90" s="573">
        <f t="shared" si="6"/>
        <v>48</v>
      </c>
      <c r="E90" s="573">
        <v>2</v>
      </c>
      <c r="F90" s="1054"/>
      <c r="G90" s="573"/>
    </row>
    <row r="91" spans="1:9">
      <c r="A91" s="1081"/>
      <c r="B91" s="790" t="s">
        <v>747</v>
      </c>
      <c r="C91" s="573">
        <v>24</v>
      </c>
      <c r="D91" s="573">
        <f t="shared" si="6"/>
        <v>48</v>
      </c>
      <c r="E91" s="573">
        <v>2</v>
      </c>
      <c r="F91" s="1054"/>
      <c r="G91" s="573"/>
    </row>
    <row r="92" spans="1:9">
      <c r="A92" s="1082"/>
      <c r="B92" s="791" t="s">
        <v>748</v>
      </c>
      <c r="C92" s="573">
        <v>24</v>
      </c>
      <c r="D92" s="573">
        <f t="shared" si="6"/>
        <v>48</v>
      </c>
      <c r="E92" s="573">
        <v>2</v>
      </c>
      <c r="F92" s="1084"/>
      <c r="G92" s="573"/>
    </row>
    <row r="93" spans="1:9" ht="15" customHeight="1">
      <c r="A93" s="905">
        <v>1</v>
      </c>
      <c r="B93" s="822" t="s">
        <v>787</v>
      </c>
      <c r="C93" s="824">
        <v>18</v>
      </c>
      <c r="D93" s="573">
        <f t="shared" si="6"/>
        <v>72</v>
      </c>
      <c r="E93" s="573">
        <v>4</v>
      </c>
      <c r="F93" s="1089" t="s">
        <v>920</v>
      </c>
      <c r="G93" s="573"/>
    </row>
    <row r="94" spans="1:9">
      <c r="A94" s="905">
        <v>2</v>
      </c>
      <c r="B94" s="822" t="s">
        <v>788</v>
      </c>
      <c r="C94" s="824">
        <v>72</v>
      </c>
      <c r="D94" s="573">
        <f>C94*E94</f>
        <v>288</v>
      </c>
      <c r="E94" s="573">
        <v>4</v>
      </c>
      <c r="F94" s="1057"/>
      <c r="G94" s="573"/>
    </row>
    <row r="95" spans="1:9">
      <c r="A95" s="905">
        <v>3</v>
      </c>
      <c r="B95" s="823" t="s">
        <v>789</v>
      </c>
      <c r="C95" s="825">
        <v>42</v>
      </c>
      <c r="D95" s="573">
        <f>C95*E95</f>
        <v>168</v>
      </c>
      <c r="E95" s="573">
        <v>4</v>
      </c>
      <c r="F95" s="1057"/>
      <c r="G95" s="573"/>
    </row>
    <row r="96" spans="1:9">
      <c r="A96" s="905">
        <v>4</v>
      </c>
      <c r="B96" s="823" t="s">
        <v>903</v>
      </c>
      <c r="C96" s="825">
        <v>15</v>
      </c>
      <c r="D96" s="573">
        <f>C96*E96</f>
        <v>60</v>
      </c>
      <c r="E96" s="573">
        <v>4</v>
      </c>
      <c r="F96" s="1090"/>
      <c r="G96" s="573"/>
    </row>
    <row r="97" spans="1:7">
      <c r="A97" s="906"/>
      <c r="B97" s="823" t="s">
        <v>904</v>
      </c>
      <c r="C97" s="825"/>
      <c r="D97" s="573"/>
      <c r="E97" s="573"/>
      <c r="F97" s="907" t="s">
        <v>905</v>
      </c>
      <c r="G97" s="573"/>
    </row>
    <row r="98" spans="1:7">
      <c r="A98" s="497"/>
      <c r="B98" s="498" t="s">
        <v>427</v>
      </c>
      <c r="C98" s="500"/>
      <c r="D98" s="500"/>
      <c r="E98" s="498"/>
      <c r="F98" s="897" t="s">
        <v>428</v>
      </c>
      <c r="G98" s="500"/>
    </row>
    <row r="99" spans="1:7">
      <c r="A99" s="910"/>
      <c r="B99" s="880" t="s">
        <v>437</v>
      </c>
      <c r="C99" s="911"/>
      <c r="D99" s="911"/>
      <c r="E99" s="880"/>
      <c r="F99" s="912" t="s">
        <v>438</v>
      </c>
      <c r="G99" s="911"/>
    </row>
    <row r="100" spans="1:7">
      <c r="A100" s="910"/>
      <c r="B100" s="880"/>
      <c r="C100" s="911"/>
      <c r="D100" s="911"/>
      <c r="E100" s="880"/>
      <c r="F100" s="912"/>
      <c r="G100" s="911"/>
    </row>
    <row r="101" spans="1:7">
      <c r="A101" s="908"/>
      <c r="B101" s="909" t="s">
        <v>906</v>
      </c>
      <c r="C101" s="573">
        <v>3</v>
      </c>
      <c r="D101" s="573">
        <f t="shared" ref="D101:D103" si="7">C101*E101</f>
        <v>12</v>
      </c>
      <c r="E101" s="42">
        <v>4</v>
      </c>
      <c r="F101" s="1086" t="s">
        <v>341</v>
      </c>
      <c r="G101" s="573"/>
    </row>
    <row r="102" spans="1:7">
      <c r="A102" s="908"/>
      <c r="B102" s="909" t="s">
        <v>907</v>
      </c>
      <c r="C102" s="573">
        <v>24</v>
      </c>
      <c r="D102" s="573">
        <f t="shared" si="7"/>
        <v>96</v>
      </c>
      <c r="E102" s="42">
        <v>4</v>
      </c>
      <c r="F102" s="1087"/>
      <c r="G102" s="573"/>
    </row>
    <row r="103" spans="1:7">
      <c r="A103" s="908"/>
      <c r="B103" s="909" t="s">
        <v>908</v>
      </c>
      <c r="C103" s="573">
        <v>24</v>
      </c>
      <c r="D103" s="573">
        <f t="shared" si="7"/>
        <v>96</v>
      </c>
      <c r="E103" s="42">
        <v>4</v>
      </c>
      <c r="F103" s="1087"/>
      <c r="G103" s="573"/>
    </row>
    <row r="104" spans="1:7">
      <c r="A104" s="908"/>
      <c r="B104" s="914" t="s">
        <v>909</v>
      </c>
      <c r="C104" s="573">
        <v>12</v>
      </c>
      <c r="D104" s="573">
        <f>C104*E104</f>
        <v>48</v>
      </c>
      <c r="E104" s="42">
        <v>4</v>
      </c>
      <c r="F104" s="1087"/>
      <c r="G104" s="573"/>
    </row>
    <row r="105" spans="1:7">
      <c r="A105" s="908"/>
      <c r="B105" s="909" t="s">
        <v>913</v>
      </c>
      <c r="C105" s="573">
        <v>24</v>
      </c>
      <c r="D105" s="573">
        <f>C105*E105</f>
        <v>96</v>
      </c>
      <c r="E105" s="42">
        <v>4</v>
      </c>
      <c r="F105" s="1087"/>
      <c r="G105" s="573"/>
    </row>
    <row r="106" spans="1:7">
      <c r="A106" s="908"/>
      <c r="B106" s="909" t="s">
        <v>915</v>
      </c>
      <c r="C106" s="573">
        <v>16</v>
      </c>
      <c r="D106" s="573">
        <f>C106*E106</f>
        <v>64</v>
      </c>
      <c r="E106" s="42">
        <v>4</v>
      </c>
      <c r="F106" s="1087"/>
      <c r="G106" s="573"/>
    </row>
    <row r="107" spans="1:7">
      <c r="A107" s="908"/>
      <c r="B107" s="909" t="s">
        <v>916</v>
      </c>
      <c r="C107" s="573">
        <v>56</v>
      </c>
      <c r="D107" s="573">
        <f>C107*E107</f>
        <v>224</v>
      </c>
      <c r="E107" s="42">
        <v>4</v>
      </c>
      <c r="F107" s="1088"/>
      <c r="G107" s="573"/>
    </row>
    <row r="108" spans="1:7" ht="1.5" customHeight="1">
      <c r="A108" s="913"/>
      <c r="B108" s="909"/>
      <c r="C108" s="573"/>
      <c r="D108" s="573"/>
      <c r="E108" s="42"/>
      <c r="F108" s="915"/>
      <c r="G108" s="573"/>
    </row>
    <row r="109" spans="1:7">
      <c r="A109" s="908"/>
      <c r="B109" s="914" t="s">
        <v>910</v>
      </c>
      <c r="C109" s="573">
        <v>20</v>
      </c>
      <c r="D109" s="573">
        <f>C109*E109</f>
        <v>160</v>
      </c>
      <c r="E109" s="42">
        <v>8</v>
      </c>
      <c r="F109" s="1086" t="s">
        <v>276</v>
      </c>
      <c r="G109" s="573"/>
    </row>
    <row r="110" spans="1:7">
      <c r="A110" s="908"/>
      <c r="B110" s="909" t="s">
        <v>914</v>
      </c>
      <c r="C110" s="573">
        <v>100</v>
      </c>
      <c r="D110" s="573">
        <f>C110*E110</f>
        <v>800</v>
      </c>
      <c r="E110" s="42">
        <v>8</v>
      </c>
      <c r="F110" s="1087"/>
      <c r="G110" s="573"/>
    </row>
    <row r="111" spans="1:7">
      <c r="A111" s="908"/>
      <c r="B111" s="909" t="s">
        <v>917</v>
      </c>
      <c r="C111" s="573">
        <v>300</v>
      </c>
      <c r="D111" s="573">
        <f t="shared" ref="D111" si="8">C111*E111</f>
        <v>2400</v>
      </c>
      <c r="E111" s="42">
        <v>8</v>
      </c>
      <c r="F111" s="1088"/>
      <c r="G111" s="573"/>
    </row>
    <row r="112" spans="1:7" ht="2.25" customHeight="1">
      <c r="A112" s="913"/>
      <c r="B112" s="909"/>
      <c r="C112" s="573"/>
      <c r="D112" s="573"/>
      <c r="E112" s="42"/>
      <c r="F112" s="916"/>
      <c r="G112" s="573"/>
    </row>
    <row r="113" spans="1:7">
      <c r="A113" s="908"/>
      <c r="B113" s="914" t="s">
        <v>911</v>
      </c>
      <c r="C113" s="573">
        <v>45</v>
      </c>
      <c r="D113" s="573">
        <f>C113*E113</f>
        <v>720</v>
      </c>
      <c r="E113" s="42">
        <v>16</v>
      </c>
      <c r="F113" s="792" t="s">
        <v>392</v>
      </c>
      <c r="G113" s="573"/>
    </row>
    <row r="114" spans="1:7">
      <c r="A114" s="908"/>
      <c r="B114" s="914" t="s">
        <v>912</v>
      </c>
      <c r="C114" s="573">
        <v>144</v>
      </c>
      <c r="D114" s="573">
        <f>C114*E114</f>
        <v>6912</v>
      </c>
      <c r="E114" s="42">
        <v>48</v>
      </c>
      <c r="F114" s="792" t="s">
        <v>919</v>
      </c>
      <c r="G114" s="573"/>
    </row>
  </sheetData>
  <mergeCells count="23">
    <mergeCell ref="F101:F107"/>
    <mergeCell ref="F32:F81"/>
    <mergeCell ref="F9:F30"/>
    <mergeCell ref="F5:F8"/>
    <mergeCell ref="F109:F111"/>
    <mergeCell ref="F93:F96"/>
    <mergeCell ref="G5:G7"/>
    <mergeCell ref="B1:G1"/>
    <mergeCell ref="A3:A4"/>
    <mergeCell ref="B3:B4"/>
    <mergeCell ref="C3:C4"/>
    <mergeCell ref="D3:D4"/>
    <mergeCell ref="E3:E4"/>
    <mergeCell ref="F3:F4"/>
    <mergeCell ref="G3:G4"/>
    <mergeCell ref="A88:A92"/>
    <mergeCell ref="F88:F92"/>
    <mergeCell ref="F82:F86"/>
    <mergeCell ref="A10:A11"/>
    <mergeCell ref="B10:B11"/>
    <mergeCell ref="C10:C11"/>
    <mergeCell ref="D10:D11"/>
    <mergeCell ref="E10:E11"/>
  </mergeCells>
  <printOptions horizontalCentered="1"/>
  <pageMargins left="0" right="0" top="1.0900000000000001" bottom="0.05" header="0" footer="0.2"/>
  <pageSetup paperSize="9" scale="59" orientation="portrait" r:id="rId1"/>
  <headerFooter>
    <oddHeader>&amp;L&amp;"Arial Black,Regular"PT.QUTY KARUNIA&amp;R18/07/2013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J61"/>
  <sheetViews>
    <sheetView view="pageBreakPreview" topLeftCell="A52" zoomScaleSheetLayoutView="100" workbookViewId="0">
      <selection activeCell="C16" sqref="C16"/>
    </sheetView>
  </sheetViews>
  <sheetFormatPr defaultRowHeight="15"/>
  <cols>
    <col min="1" max="1" width="4.5703125" style="86" customWidth="1"/>
    <col min="2" max="2" width="46.7109375" style="285" customWidth="1"/>
    <col min="3" max="3" width="13.140625" style="257" customWidth="1"/>
    <col min="4" max="4" width="22" customWidth="1"/>
    <col min="5" max="5" width="10.42578125" customWidth="1"/>
    <col min="6" max="6" width="17.42578125" customWidth="1"/>
    <col min="7" max="7" width="19.85546875" style="257" customWidth="1"/>
    <col min="8" max="8" width="5.85546875" style="260" hidden="1" customWidth="1"/>
    <col min="9" max="9" width="14" style="260" customWidth="1"/>
    <col min="10" max="10" width="9.140625" style="260"/>
  </cols>
  <sheetData>
    <row r="1" spans="1:10" ht="26.25">
      <c r="A1" s="776"/>
      <c r="B1" s="1074" t="s">
        <v>363</v>
      </c>
      <c r="C1" s="1074"/>
      <c r="D1" s="1074"/>
      <c r="E1" s="1074"/>
      <c r="F1" s="1074"/>
      <c r="G1" s="1074"/>
    </row>
    <row r="2" spans="1:10">
      <c r="A2" s="776"/>
      <c r="B2" s="763"/>
      <c r="C2" s="764"/>
      <c r="D2" s="765"/>
      <c r="E2" s="765"/>
      <c r="F2" s="766"/>
      <c r="G2" s="766"/>
    </row>
    <row r="3" spans="1:10" ht="24.95" customHeight="1">
      <c r="A3" s="1075" t="s">
        <v>358</v>
      </c>
      <c r="B3" s="1076" t="s">
        <v>255</v>
      </c>
      <c r="C3" s="1078" t="s">
        <v>256</v>
      </c>
      <c r="D3" s="1078" t="s">
        <v>382</v>
      </c>
      <c r="E3" s="1078" t="s">
        <v>381</v>
      </c>
      <c r="F3" s="1078" t="s">
        <v>259</v>
      </c>
      <c r="G3" s="1078" t="s">
        <v>260</v>
      </c>
    </row>
    <row r="4" spans="1:10" ht="31.5" customHeight="1">
      <c r="A4" s="1075"/>
      <c r="B4" s="1077"/>
      <c r="C4" s="1078"/>
      <c r="D4" s="1078"/>
      <c r="E4" s="1078"/>
      <c r="F4" s="1078"/>
      <c r="G4" s="1078"/>
    </row>
    <row r="5" spans="1:10" ht="15" customHeight="1">
      <c r="A5" s="819">
        <v>1</v>
      </c>
      <c r="B5" s="582" t="s">
        <v>318</v>
      </c>
      <c r="C5" s="661">
        <v>24</v>
      </c>
      <c r="D5" s="661">
        <f>C5*E5</f>
        <v>384</v>
      </c>
      <c r="E5" s="661">
        <v>16</v>
      </c>
      <c r="F5" s="1094" t="s">
        <v>392</v>
      </c>
      <c r="G5" s="1095"/>
    </row>
    <row r="6" spans="1:10" ht="15" customHeight="1">
      <c r="A6" s="767">
        <v>2</v>
      </c>
      <c r="B6" s="582" t="s">
        <v>643</v>
      </c>
      <c r="C6" s="661">
        <v>36</v>
      </c>
      <c r="D6" s="661">
        <f>C6*E6</f>
        <v>576</v>
      </c>
      <c r="E6" s="661">
        <v>16</v>
      </c>
      <c r="F6" s="1094"/>
      <c r="G6" s="1095"/>
    </row>
    <row r="7" spans="1:10" s="331" customFormat="1" ht="15" hidden="1" customHeight="1">
      <c r="A7" s="819">
        <v>3</v>
      </c>
      <c r="B7" s="582" t="s">
        <v>380</v>
      </c>
      <c r="C7" s="661">
        <v>54</v>
      </c>
      <c r="D7" s="661">
        <v>864</v>
      </c>
      <c r="E7" s="661">
        <f>D7/C7</f>
        <v>16</v>
      </c>
      <c r="F7" s="1094"/>
      <c r="G7" s="1095"/>
      <c r="H7" s="260"/>
      <c r="I7" s="260"/>
      <c r="J7" s="260"/>
    </row>
    <row r="8" spans="1:10" s="276" customFormat="1" ht="15" customHeight="1">
      <c r="A8" s="777">
        <v>1</v>
      </c>
      <c r="B8" s="778" t="s">
        <v>537</v>
      </c>
      <c r="C8" s="721">
        <v>300</v>
      </c>
      <c r="D8" s="721">
        <f>C8*E8</f>
        <v>2400</v>
      </c>
      <c r="E8" s="721">
        <v>8</v>
      </c>
      <c r="F8" s="1068" t="s">
        <v>326</v>
      </c>
      <c r="G8" s="786"/>
      <c r="H8" s="260"/>
    </row>
    <row r="9" spans="1:10" s="276" customFormat="1" ht="15" customHeight="1">
      <c r="A9" s="1071">
        <v>2</v>
      </c>
      <c r="B9" s="1072" t="s">
        <v>555</v>
      </c>
      <c r="C9" s="1073">
        <v>56</v>
      </c>
      <c r="D9" s="1073">
        <f>C9*E9</f>
        <v>448</v>
      </c>
      <c r="E9" s="1073">
        <v>8</v>
      </c>
      <c r="F9" s="1069"/>
      <c r="G9" s="781" t="s">
        <v>570</v>
      </c>
    </row>
    <row r="10" spans="1:10" s="276" customFormat="1" ht="16.5" customHeight="1">
      <c r="A10" s="1071"/>
      <c r="B10" s="1072"/>
      <c r="C10" s="1073"/>
      <c r="D10" s="1073"/>
      <c r="E10" s="1073"/>
      <c r="F10" s="1069"/>
      <c r="G10" s="781" t="s">
        <v>571</v>
      </c>
    </row>
    <row r="11" spans="1:10" s="276" customFormat="1" ht="15" customHeight="1">
      <c r="A11" s="783">
        <v>3</v>
      </c>
      <c r="B11" s="784" t="s">
        <v>476</v>
      </c>
      <c r="C11" s="785">
        <v>34</v>
      </c>
      <c r="D11" s="785">
        <f>C11*E11</f>
        <v>272</v>
      </c>
      <c r="E11" s="785">
        <v>8</v>
      </c>
      <c r="F11" s="1069"/>
      <c r="G11" s="781" t="s">
        <v>567</v>
      </c>
      <c r="H11" s="260"/>
    </row>
    <row r="12" spans="1:10" s="276" customFormat="1" ht="15" customHeight="1">
      <c r="A12" s="783">
        <v>4</v>
      </c>
      <c r="B12" s="770" t="s">
        <v>610</v>
      </c>
      <c r="C12" s="785">
        <v>50</v>
      </c>
      <c r="D12" s="785">
        <f>E12*C12</f>
        <v>400</v>
      </c>
      <c r="E12" s="785">
        <v>8</v>
      </c>
      <c r="F12" s="1069"/>
      <c r="G12" s="781"/>
      <c r="H12" s="260"/>
    </row>
    <row r="13" spans="1:10" s="276" customFormat="1" ht="15" customHeight="1">
      <c r="A13" s="783">
        <v>5</v>
      </c>
      <c r="B13" s="770" t="s">
        <v>654</v>
      </c>
      <c r="C13" s="785">
        <v>38</v>
      </c>
      <c r="D13" s="785">
        <f>C13*E13</f>
        <v>304</v>
      </c>
      <c r="E13" s="785">
        <v>8</v>
      </c>
      <c r="F13" s="1069"/>
      <c r="G13" s="781"/>
      <c r="H13" s="260"/>
    </row>
    <row r="14" spans="1:10" s="276" customFormat="1" ht="15" customHeight="1">
      <c r="A14" s="783">
        <v>6</v>
      </c>
      <c r="B14" s="771" t="s">
        <v>486</v>
      </c>
      <c r="C14" s="664">
        <v>72</v>
      </c>
      <c r="D14" s="785">
        <f t="shared" ref="D14:D33" si="0">C14*E14</f>
        <v>576</v>
      </c>
      <c r="E14" s="785">
        <v>8</v>
      </c>
      <c r="F14" s="1069"/>
      <c r="G14" s="781"/>
      <c r="H14" s="260"/>
    </row>
    <row r="15" spans="1:10" s="276" customFormat="1" ht="15" customHeight="1">
      <c r="A15" s="783">
        <v>7</v>
      </c>
      <c r="B15" s="784" t="s">
        <v>477</v>
      </c>
      <c r="C15" s="785">
        <v>232</v>
      </c>
      <c r="D15" s="785">
        <f t="shared" si="0"/>
        <v>1856</v>
      </c>
      <c r="E15" s="785">
        <v>8</v>
      </c>
      <c r="F15" s="1069"/>
      <c r="G15" s="781" t="s">
        <v>572</v>
      </c>
      <c r="H15" s="260"/>
    </row>
    <row r="16" spans="1:10" s="276" customFormat="1" ht="15" customHeight="1">
      <c r="A16" s="783">
        <v>8</v>
      </c>
      <c r="B16" s="772" t="s">
        <v>712</v>
      </c>
      <c r="C16" s="785">
        <v>120</v>
      </c>
      <c r="D16" s="785">
        <f t="shared" si="0"/>
        <v>960</v>
      </c>
      <c r="E16" s="785">
        <v>8</v>
      </c>
      <c r="F16" s="1069"/>
      <c r="G16" s="781"/>
      <c r="H16" s="260"/>
    </row>
    <row r="17" spans="1:10" s="276" customFormat="1" ht="15" customHeight="1">
      <c r="A17" s="816">
        <v>9</v>
      </c>
      <c r="B17" s="772" t="s">
        <v>783</v>
      </c>
      <c r="C17" s="817">
        <v>55</v>
      </c>
      <c r="D17" s="817">
        <f t="shared" si="0"/>
        <v>440</v>
      </c>
      <c r="E17" s="817">
        <v>8</v>
      </c>
      <c r="F17" s="815"/>
      <c r="G17" s="781"/>
      <c r="H17" s="260"/>
    </row>
    <row r="18" spans="1:10" s="276" customFormat="1" ht="15" customHeight="1">
      <c r="A18" s="816">
        <v>10</v>
      </c>
      <c r="B18" s="772" t="s">
        <v>784</v>
      </c>
      <c r="C18" s="817">
        <v>55</v>
      </c>
      <c r="D18" s="817">
        <f t="shared" si="0"/>
        <v>440</v>
      </c>
      <c r="E18" s="817">
        <v>8</v>
      </c>
      <c r="F18" s="815"/>
      <c r="G18" s="781"/>
      <c r="H18" s="260"/>
    </row>
    <row r="19" spans="1:10" s="276" customFormat="1" ht="15" customHeight="1">
      <c r="A19" s="816">
        <v>11</v>
      </c>
      <c r="B19" s="772" t="s">
        <v>785</v>
      </c>
      <c r="C19" s="817">
        <v>55</v>
      </c>
      <c r="D19" s="817">
        <f t="shared" si="0"/>
        <v>440</v>
      </c>
      <c r="E19" s="817">
        <v>8</v>
      </c>
      <c r="F19" s="815"/>
      <c r="G19" s="781"/>
      <c r="H19" s="260"/>
    </row>
    <row r="20" spans="1:10" s="149" customFormat="1" ht="15" customHeight="1">
      <c r="A20" s="774">
        <v>1</v>
      </c>
      <c r="B20" s="437" t="s">
        <v>554</v>
      </c>
      <c r="C20" s="652">
        <v>8</v>
      </c>
      <c r="D20" s="660">
        <f t="shared" si="0"/>
        <v>32</v>
      </c>
      <c r="E20" s="652">
        <v>4</v>
      </c>
      <c r="F20" s="1091" t="s">
        <v>341</v>
      </c>
      <c r="G20" s="782" t="s">
        <v>372</v>
      </c>
      <c r="H20" s="260"/>
      <c r="I20" s="260"/>
      <c r="J20" s="260"/>
    </row>
    <row r="21" spans="1:10" s="149" customFormat="1" ht="15" customHeight="1">
      <c r="A21" s="774">
        <v>2</v>
      </c>
      <c r="B21" s="437" t="s">
        <v>413</v>
      </c>
      <c r="C21" s="652">
        <v>54</v>
      </c>
      <c r="D21" s="660">
        <f t="shared" si="0"/>
        <v>216</v>
      </c>
      <c r="E21" s="652">
        <v>4</v>
      </c>
      <c r="F21" s="1092"/>
      <c r="G21" s="782"/>
      <c r="H21" s="260"/>
      <c r="I21" s="260"/>
      <c r="J21" s="260"/>
    </row>
    <row r="22" spans="1:10" s="149" customFormat="1" ht="15" customHeight="1">
      <c r="A22" s="774">
        <v>3</v>
      </c>
      <c r="B22" s="437" t="s">
        <v>414</v>
      </c>
      <c r="C22" s="652">
        <v>224</v>
      </c>
      <c r="D22" s="660">
        <f t="shared" si="0"/>
        <v>896</v>
      </c>
      <c r="E22" s="652">
        <v>4</v>
      </c>
      <c r="F22" s="1092"/>
      <c r="G22" s="782"/>
      <c r="H22" s="260"/>
      <c r="I22" s="260"/>
      <c r="J22" s="260"/>
    </row>
    <row r="23" spans="1:10" s="149" customFormat="1" ht="15" customHeight="1">
      <c r="A23" s="774">
        <v>4</v>
      </c>
      <c r="B23" s="437" t="s">
        <v>375</v>
      </c>
      <c r="C23" s="652">
        <v>20</v>
      </c>
      <c r="D23" s="660">
        <f t="shared" si="0"/>
        <v>80</v>
      </c>
      <c r="E23" s="652">
        <v>4</v>
      </c>
      <c r="F23" s="1092"/>
      <c r="G23" s="782"/>
      <c r="H23" s="260"/>
      <c r="I23" s="260"/>
      <c r="J23" s="260"/>
    </row>
    <row r="24" spans="1:10" s="149" customFormat="1" ht="15" customHeight="1">
      <c r="A24" s="774">
        <v>5</v>
      </c>
      <c r="B24" s="437" t="s">
        <v>67</v>
      </c>
      <c r="C24" s="652">
        <v>14</v>
      </c>
      <c r="D24" s="660">
        <f t="shared" si="0"/>
        <v>56</v>
      </c>
      <c r="E24" s="652">
        <v>4</v>
      </c>
      <c r="F24" s="1092"/>
      <c r="G24" s="782"/>
      <c r="H24" s="260"/>
      <c r="I24" s="260"/>
      <c r="J24" s="260"/>
    </row>
    <row r="25" spans="1:10" s="149" customFormat="1" ht="15" customHeight="1">
      <c r="A25" s="774">
        <v>6</v>
      </c>
      <c r="B25" s="437" t="s">
        <v>540</v>
      </c>
      <c r="C25" s="652">
        <v>16</v>
      </c>
      <c r="D25" s="660">
        <f t="shared" si="0"/>
        <v>64</v>
      </c>
      <c r="E25" s="652">
        <v>4</v>
      </c>
      <c r="F25" s="1092"/>
      <c r="G25" s="782"/>
      <c r="H25" s="260"/>
      <c r="I25" s="260"/>
      <c r="J25" s="260"/>
    </row>
    <row r="26" spans="1:10" s="149" customFormat="1" ht="15" customHeight="1">
      <c r="A26" s="774">
        <v>7</v>
      </c>
      <c r="B26" s="437" t="s">
        <v>550</v>
      </c>
      <c r="C26" s="652">
        <v>14</v>
      </c>
      <c r="D26" s="660">
        <f t="shared" si="0"/>
        <v>56</v>
      </c>
      <c r="E26" s="652">
        <v>4</v>
      </c>
      <c r="F26" s="1092"/>
      <c r="G26" s="782"/>
      <c r="H26" s="260"/>
      <c r="I26" s="260"/>
      <c r="J26" s="260"/>
    </row>
    <row r="27" spans="1:10" s="149" customFormat="1" ht="15" customHeight="1">
      <c r="A27" s="774">
        <v>8</v>
      </c>
      <c r="B27" s="749" t="s">
        <v>528</v>
      </c>
      <c r="C27" s="652">
        <v>9</v>
      </c>
      <c r="D27" s="660">
        <f t="shared" si="0"/>
        <v>36</v>
      </c>
      <c r="E27" s="652">
        <v>4</v>
      </c>
      <c r="F27" s="1092"/>
      <c r="G27" s="782"/>
      <c r="H27" s="260"/>
      <c r="I27" s="260"/>
      <c r="J27" s="260"/>
    </row>
    <row r="28" spans="1:10" s="149" customFormat="1" ht="15" customHeight="1">
      <c r="A28" s="774">
        <v>9</v>
      </c>
      <c r="B28" s="749" t="s">
        <v>538</v>
      </c>
      <c r="C28" s="652">
        <v>16</v>
      </c>
      <c r="D28" s="660">
        <f t="shared" si="0"/>
        <v>64</v>
      </c>
      <c r="E28" s="652">
        <v>4</v>
      </c>
      <c r="F28" s="1092"/>
      <c r="G28" s="782" t="s">
        <v>569</v>
      </c>
      <c r="H28" s="260"/>
      <c r="I28" s="260"/>
      <c r="J28" s="260"/>
    </row>
    <row r="29" spans="1:10" s="149" customFormat="1" ht="15" customHeight="1">
      <c r="A29" s="774">
        <v>10</v>
      </c>
      <c r="B29" s="749" t="s">
        <v>553</v>
      </c>
      <c r="C29" s="652">
        <v>15</v>
      </c>
      <c r="D29" s="660">
        <f t="shared" si="0"/>
        <v>60</v>
      </c>
      <c r="E29" s="652">
        <v>4</v>
      </c>
      <c r="F29" s="1092"/>
      <c r="G29" s="782" t="s">
        <v>568</v>
      </c>
      <c r="H29" s="260"/>
      <c r="I29" s="260"/>
      <c r="J29" s="260"/>
    </row>
    <row r="30" spans="1:10" s="149" customFormat="1" ht="15" customHeight="1">
      <c r="A30" s="774">
        <v>11</v>
      </c>
      <c r="B30" s="749" t="s">
        <v>552</v>
      </c>
      <c r="C30" s="652">
        <v>12</v>
      </c>
      <c r="D30" s="660">
        <f t="shared" si="0"/>
        <v>48</v>
      </c>
      <c r="E30" s="652">
        <v>4</v>
      </c>
      <c r="F30" s="1092"/>
      <c r="G30" s="782"/>
      <c r="H30" s="260"/>
      <c r="I30" s="260"/>
      <c r="J30" s="260"/>
    </row>
    <row r="31" spans="1:10" s="149" customFormat="1" ht="15" customHeight="1">
      <c r="A31" s="774">
        <v>12</v>
      </c>
      <c r="B31" s="501" t="s">
        <v>517</v>
      </c>
      <c r="C31" s="648">
        <v>24</v>
      </c>
      <c r="D31" s="660">
        <f t="shared" si="0"/>
        <v>96</v>
      </c>
      <c r="E31" s="652">
        <v>4</v>
      </c>
      <c r="F31" s="1092"/>
      <c r="G31" s="782"/>
      <c r="H31" s="260"/>
      <c r="I31" s="260"/>
      <c r="J31" s="260"/>
    </row>
    <row r="32" spans="1:10" s="149" customFormat="1" ht="15" customHeight="1">
      <c r="A32" s="774">
        <v>13</v>
      </c>
      <c r="B32" s="501" t="s">
        <v>521</v>
      </c>
      <c r="C32" s="648">
        <v>16</v>
      </c>
      <c r="D32" s="660">
        <f t="shared" si="0"/>
        <v>64</v>
      </c>
      <c r="E32" s="652">
        <v>4</v>
      </c>
      <c r="F32" s="1092"/>
      <c r="G32" s="782"/>
      <c r="H32" s="260"/>
      <c r="I32" s="260"/>
      <c r="J32" s="260"/>
    </row>
    <row r="33" spans="1:10" s="149" customFormat="1" ht="15" customHeight="1">
      <c r="A33" s="774">
        <v>14</v>
      </c>
      <c r="B33" s="501" t="s">
        <v>573</v>
      </c>
      <c r="C33" s="648">
        <v>36</v>
      </c>
      <c r="D33" s="660">
        <f t="shared" si="0"/>
        <v>144</v>
      </c>
      <c r="E33" s="652">
        <v>4</v>
      </c>
      <c r="F33" s="1092"/>
      <c r="G33" s="782"/>
      <c r="H33" s="260"/>
      <c r="I33" s="260"/>
      <c r="J33" s="260"/>
    </row>
    <row r="34" spans="1:10" s="149" customFormat="1" ht="15" hidden="1" customHeight="1">
      <c r="A34" s="774">
        <v>15</v>
      </c>
      <c r="B34" s="507" t="s">
        <v>543</v>
      </c>
      <c r="C34" s="518">
        <v>12</v>
      </c>
      <c r="D34" s="657">
        <v>72</v>
      </c>
      <c r="E34" s="652">
        <v>4</v>
      </c>
      <c r="F34" s="1092"/>
      <c r="G34" s="782"/>
      <c r="H34" s="260"/>
      <c r="I34" s="260"/>
      <c r="J34" s="260"/>
    </row>
    <row r="35" spans="1:10" s="149" customFormat="1" ht="15" hidden="1" customHeight="1">
      <c r="A35" s="774">
        <v>16</v>
      </c>
      <c r="B35" s="507" t="s">
        <v>545</v>
      </c>
      <c r="C35" s="518"/>
      <c r="D35" s="657"/>
      <c r="E35" s="652">
        <v>4</v>
      </c>
      <c r="F35" s="1092"/>
      <c r="G35" s="782"/>
      <c r="H35" s="260"/>
      <c r="I35" s="260"/>
      <c r="J35" s="260"/>
    </row>
    <row r="36" spans="1:10" s="149" customFormat="1" ht="15" hidden="1" customHeight="1">
      <c r="A36" s="774">
        <v>17</v>
      </c>
      <c r="B36" s="507" t="s">
        <v>547</v>
      </c>
      <c r="C36" s="518"/>
      <c r="D36" s="657"/>
      <c r="E36" s="652">
        <v>4</v>
      </c>
      <c r="F36" s="1092"/>
      <c r="G36" s="782"/>
      <c r="H36" s="260"/>
      <c r="I36" s="260"/>
      <c r="J36" s="260"/>
    </row>
    <row r="37" spans="1:10" s="149" customFormat="1" ht="15" customHeight="1">
      <c r="A37" s="774">
        <v>18</v>
      </c>
      <c r="B37" s="775" t="s">
        <v>622</v>
      </c>
      <c r="C37" s="655">
        <v>48</v>
      </c>
      <c r="D37" s="655">
        <v>192</v>
      </c>
      <c r="E37" s="652">
        <v>4</v>
      </c>
      <c r="F37" s="1092"/>
      <c r="G37" s="782"/>
      <c r="H37" s="260"/>
      <c r="I37" s="260"/>
      <c r="J37" s="260"/>
    </row>
    <row r="38" spans="1:10" s="149" customFormat="1" ht="15" customHeight="1">
      <c r="A38" s="774">
        <v>19</v>
      </c>
      <c r="B38" s="775" t="s">
        <v>606</v>
      </c>
      <c r="C38" s="655">
        <v>9</v>
      </c>
      <c r="D38" s="655">
        <v>36</v>
      </c>
      <c r="E38" s="652">
        <v>4</v>
      </c>
      <c r="F38" s="1092"/>
      <c r="G38" s="782"/>
      <c r="H38" s="260"/>
      <c r="I38" s="260"/>
      <c r="J38" s="260"/>
    </row>
    <row r="39" spans="1:10" s="149" customFormat="1" ht="15" customHeight="1">
      <c r="A39" s="774">
        <v>20</v>
      </c>
      <c r="B39" s="775" t="s">
        <v>655</v>
      </c>
      <c r="C39" s="650">
        <v>45</v>
      </c>
      <c r="D39" s="655">
        <f t="shared" ref="D39:D53" si="1">C39*E39</f>
        <v>180</v>
      </c>
      <c r="E39" s="655">
        <v>4</v>
      </c>
      <c r="F39" s="1092"/>
      <c r="G39" s="782"/>
      <c r="H39" s="260"/>
      <c r="I39" s="260"/>
      <c r="J39" s="260"/>
    </row>
    <row r="40" spans="1:10" s="149" customFormat="1" ht="15" customHeight="1">
      <c r="A40" s="774">
        <v>21</v>
      </c>
      <c r="B40" s="775" t="s">
        <v>656</v>
      </c>
      <c r="C40" s="650">
        <v>15</v>
      </c>
      <c r="D40" s="655">
        <f t="shared" si="1"/>
        <v>60</v>
      </c>
      <c r="E40" s="655">
        <v>4</v>
      </c>
      <c r="F40" s="1092"/>
      <c r="G40" s="782"/>
      <c r="H40" s="260"/>
      <c r="I40" s="260"/>
      <c r="J40" s="260"/>
    </row>
    <row r="41" spans="1:10" s="149" customFormat="1" ht="15" customHeight="1">
      <c r="A41" s="774">
        <v>22</v>
      </c>
      <c r="B41" s="775" t="s">
        <v>657</v>
      </c>
      <c r="C41" s="650">
        <v>30</v>
      </c>
      <c r="D41" s="655">
        <f t="shared" si="1"/>
        <v>120</v>
      </c>
      <c r="E41" s="655">
        <v>4</v>
      </c>
      <c r="F41" s="1092"/>
      <c r="G41" s="782"/>
      <c r="H41" s="260"/>
      <c r="I41" s="260"/>
      <c r="J41" s="260"/>
    </row>
    <row r="42" spans="1:10" s="149" customFormat="1" ht="15" customHeight="1">
      <c r="A42" s="774">
        <v>23</v>
      </c>
      <c r="B42" s="788" t="s">
        <v>669</v>
      </c>
      <c r="C42" s="650">
        <v>40</v>
      </c>
      <c r="D42" s="655">
        <f t="shared" si="1"/>
        <v>160</v>
      </c>
      <c r="E42" s="655">
        <v>4</v>
      </c>
      <c r="F42" s="1092"/>
      <c r="G42" s="782"/>
      <c r="H42" s="260"/>
      <c r="I42" s="260"/>
      <c r="J42" s="260"/>
    </row>
    <row r="43" spans="1:10" s="149" customFormat="1" ht="15" customHeight="1">
      <c r="A43" s="774">
        <v>24</v>
      </c>
      <c r="B43" s="775" t="s">
        <v>742</v>
      </c>
      <c r="C43" s="650">
        <v>22</v>
      </c>
      <c r="D43" s="655">
        <f t="shared" si="1"/>
        <v>88</v>
      </c>
      <c r="E43" s="655">
        <v>4</v>
      </c>
      <c r="F43" s="1092"/>
      <c r="G43" s="782"/>
      <c r="H43" s="260"/>
      <c r="I43" s="260"/>
      <c r="J43" s="260"/>
    </row>
    <row r="44" spans="1:10" s="149" customFormat="1" ht="15" customHeight="1">
      <c r="A44" s="774">
        <v>25</v>
      </c>
      <c r="B44" s="775" t="s">
        <v>662</v>
      </c>
      <c r="C44" s="650">
        <v>20</v>
      </c>
      <c r="D44" s="655">
        <f t="shared" si="1"/>
        <v>80</v>
      </c>
      <c r="E44" s="655">
        <v>4</v>
      </c>
      <c r="F44" s="1092"/>
      <c r="G44" s="782"/>
      <c r="H44" s="260"/>
      <c r="I44" s="260"/>
      <c r="J44" s="260"/>
    </row>
    <row r="45" spans="1:10" s="149" customFormat="1" ht="15" customHeight="1">
      <c r="A45" s="774">
        <v>26</v>
      </c>
      <c r="B45" s="775" t="s">
        <v>663</v>
      </c>
      <c r="C45" s="650">
        <v>16</v>
      </c>
      <c r="D45" s="655">
        <f t="shared" si="1"/>
        <v>64</v>
      </c>
      <c r="E45" s="655">
        <v>4</v>
      </c>
      <c r="F45" s="1092"/>
      <c r="G45" s="782"/>
      <c r="H45" s="260"/>
      <c r="I45" s="260"/>
      <c r="J45" s="260"/>
    </row>
    <row r="46" spans="1:10" s="149" customFormat="1" ht="15" customHeight="1">
      <c r="A46" s="774">
        <v>27</v>
      </c>
      <c r="B46" s="775" t="s">
        <v>722</v>
      </c>
      <c r="C46" s="650">
        <v>20</v>
      </c>
      <c r="D46" s="655">
        <f t="shared" si="1"/>
        <v>80</v>
      </c>
      <c r="E46" s="655">
        <v>4</v>
      </c>
      <c r="F46" s="1092"/>
      <c r="G46" s="782"/>
      <c r="H46" s="260"/>
      <c r="I46" s="260"/>
      <c r="J46" s="260"/>
    </row>
    <row r="47" spans="1:10" s="149" customFormat="1" ht="15" customHeight="1">
      <c r="A47" s="774">
        <v>28</v>
      </c>
      <c r="B47" s="749" t="s">
        <v>374</v>
      </c>
      <c r="C47" s="650">
        <v>66</v>
      </c>
      <c r="D47" s="655">
        <f t="shared" si="1"/>
        <v>264</v>
      </c>
      <c r="E47" s="655">
        <v>4</v>
      </c>
      <c r="F47" s="1092"/>
      <c r="G47" s="782"/>
      <c r="H47" s="260"/>
      <c r="I47" s="260"/>
      <c r="J47" s="260"/>
    </row>
    <row r="48" spans="1:10" s="149" customFormat="1" ht="15" customHeight="1">
      <c r="A48" s="774">
        <v>29</v>
      </c>
      <c r="B48" s="749" t="s">
        <v>542</v>
      </c>
      <c r="C48" s="650">
        <v>8</v>
      </c>
      <c r="D48" s="655">
        <f t="shared" si="1"/>
        <v>32</v>
      </c>
      <c r="E48" s="655">
        <v>4</v>
      </c>
      <c r="F48" s="1092"/>
      <c r="G48" s="782"/>
      <c r="H48" s="260"/>
      <c r="I48" s="260"/>
      <c r="J48" s="260"/>
    </row>
    <row r="49" spans="1:10" s="149" customFormat="1" ht="15" customHeight="1">
      <c r="A49" s="774">
        <v>30</v>
      </c>
      <c r="B49" s="749" t="s">
        <v>519</v>
      </c>
      <c r="C49" s="650">
        <v>5</v>
      </c>
      <c r="D49" s="655">
        <f t="shared" si="1"/>
        <v>20</v>
      </c>
      <c r="E49" s="655">
        <v>4</v>
      </c>
      <c r="F49" s="1092"/>
      <c r="G49" s="782"/>
      <c r="H49" s="260"/>
      <c r="I49" s="260"/>
      <c r="J49" s="260"/>
    </row>
    <row r="50" spans="1:10" s="149" customFormat="1" ht="15" customHeight="1">
      <c r="A50" s="774">
        <v>31</v>
      </c>
      <c r="B50" s="749" t="s">
        <v>520</v>
      </c>
      <c r="C50" s="650">
        <v>10</v>
      </c>
      <c r="D50" s="655">
        <f t="shared" si="1"/>
        <v>40</v>
      </c>
      <c r="E50" s="655">
        <v>4</v>
      </c>
      <c r="F50" s="1092"/>
      <c r="G50" s="782"/>
      <c r="H50" s="260"/>
      <c r="I50" s="260"/>
      <c r="J50" s="260"/>
    </row>
    <row r="51" spans="1:10" s="149" customFormat="1" ht="15" customHeight="1">
      <c r="A51" s="774">
        <v>32</v>
      </c>
      <c r="B51" s="749" t="s">
        <v>750</v>
      </c>
      <c r="C51" s="650">
        <v>20</v>
      </c>
      <c r="D51" s="655">
        <f t="shared" si="1"/>
        <v>80</v>
      </c>
      <c r="E51" s="655">
        <v>4</v>
      </c>
      <c r="F51" s="1092"/>
      <c r="G51" s="789"/>
      <c r="H51" s="260"/>
      <c r="I51" s="260"/>
      <c r="J51" s="260"/>
    </row>
    <row r="52" spans="1:10" s="149" customFormat="1" ht="15" customHeight="1">
      <c r="A52" s="774">
        <v>33</v>
      </c>
      <c r="B52" s="749" t="s">
        <v>751</v>
      </c>
      <c r="C52" s="650">
        <v>24</v>
      </c>
      <c r="D52" s="655">
        <f t="shared" si="1"/>
        <v>96</v>
      </c>
      <c r="E52" s="655">
        <v>4</v>
      </c>
      <c r="F52" s="1092"/>
      <c r="G52" s="789"/>
      <c r="H52" s="260"/>
      <c r="I52" s="260"/>
      <c r="J52" s="260"/>
    </row>
    <row r="53" spans="1:10" s="149" customFormat="1" ht="15" customHeight="1">
      <c r="A53" s="774">
        <v>34</v>
      </c>
      <c r="B53" s="749" t="s">
        <v>752</v>
      </c>
      <c r="C53" s="650">
        <v>15</v>
      </c>
      <c r="D53" s="655">
        <f t="shared" si="1"/>
        <v>60</v>
      </c>
      <c r="E53" s="655">
        <v>4</v>
      </c>
      <c r="F53" s="1093"/>
      <c r="G53" s="789"/>
      <c r="H53" s="260"/>
      <c r="I53" s="260"/>
      <c r="J53" s="260"/>
    </row>
    <row r="54" spans="1:10" s="149" customFormat="1" ht="15" customHeight="1">
      <c r="A54" s="793">
        <v>1</v>
      </c>
      <c r="B54" s="795" t="s">
        <v>664</v>
      </c>
      <c r="C54" s="796">
        <v>8</v>
      </c>
      <c r="D54" s="797">
        <f>C54*E54</f>
        <v>32</v>
      </c>
      <c r="E54" s="797">
        <v>4</v>
      </c>
      <c r="F54" s="794" t="s">
        <v>721</v>
      </c>
      <c r="G54" s="794"/>
      <c r="H54" s="260"/>
      <c r="I54" s="260"/>
      <c r="J54" s="260"/>
    </row>
    <row r="55" spans="1:10">
      <c r="A55" s="1080">
        <v>1</v>
      </c>
      <c r="B55" s="790" t="s">
        <v>744</v>
      </c>
      <c r="C55" s="792">
        <v>24</v>
      </c>
      <c r="D55" s="573">
        <f>C55*E55</f>
        <v>48</v>
      </c>
      <c r="E55" s="573">
        <v>2</v>
      </c>
      <c r="F55" s="1037" t="s">
        <v>749</v>
      </c>
      <c r="G55" s="573"/>
    </row>
    <row r="56" spans="1:10">
      <c r="A56" s="1081"/>
      <c r="B56" s="790" t="s">
        <v>745</v>
      </c>
      <c r="C56" s="573">
        <v>24</v>
      </c>
      <c r="D56" s="573">
        <f t="shared" ref="D56:D59" si="2">C56*E56</f>
        <v>48</v>
      </c>
      <c r="E56" s="573">
        <v>2</v>
      </c>
      <c r="F56" s="1029"/>
      <c r="G56" s="573"/>
    </row>
    <row r="57" spans="1:10">
      <c r="A57" s="1081"/>
      <c r="B57" s="790" t="s">
        <v>746</v>
      </c>
      <c r="C57" s="573">
        <v>24</v>
      </c>
      <c r="D57" s="573">
        <f t="shared" si="2"/>
        <v>48</v>
      </c>
      <c r="E57" s="573">
        <v>2</v>
      </c>
      <c r="F57" s="1029"/>
      <c r="G57" s="573"/>
    </row>
    <row r="58" spans="1:10">
      <c r="A58" s="1081"/>
      <c r="B58" s="790" t="s">
        <v>747</v>
      </c>
      <c r="C58" s="573">
        <v>24</v>
      </c>
      <c r="D58" s="573">
        <f t="shared" si="2"/>
        <v>48</v>
      </c>
      <c r="E58" s="573">
        <v>2</v>
      </c>
      <c r="F58" s="1029"/>
      <c r="G58" s="573"/>
    </row>
    <row r="59" spans="1:10">
      <c r="A59" s="1082"/>
      <c r="B59" s="791" t="s">
        <v>748</v>
      </c>
      <c r="C59" s="573">
        <v>24</v>
      </c>
      <c r="D59" s="573">
        <f t="shared" si="2"/>
        <v>48</v>
      </c>
      <c r="E59" s="573">
        <v>2</v>
      </c>
      <c r="F59" s="1038"/>
      <c r="G59" s="573"/>
    </row>
    <row r="60" spans="1:10">
      <c r="A60" s="497"/>
      <c r="B60" s="498" t="s">
        <v>427</v>
      </c>
      <c r="C60" s="500"/>
      <c r="D60" s="498"/>
      <c r="E60" s="498"/>
      <c r="F60" s="500" t="s">
        <v>428</v>
      </c>
      <c r="G60" s="500"/>
    </row>
    <row r="61" spans="1:10">
      <c r="A61" s="497"/>
      <c r="B61" s="498" t="s">
        <v>437</v>
      </c>
      <c r="C61" s="500"/>
      <c r="D61" s="498"/>
      <c r="E61" s="498"/>
      <c r="F61" s="500" t="s">
        <v>438</v>
      </c>
      <c r="G61" s="500"/>
    </row>
  </sheetData>
  <mergeCells count="19">
    <mergeCell ref="F5:F7"/>
    <mergeCell ref="G5:G7"/>
    <mergeCell ref="F8:F16"/>
    <mergeCell ref="A55:A59"/>
    <mergeCell ref="B1:G1"/>
    <mergeCell ref="A3:A4"/>
    <mergeCell ref="B3:B4"/>
    <mergeCell ref="C3:C4"/>
    <mergeCell ref="D3:D4"/>
    <mergeCell ref="E3:E4"/>
    <mergeCell ref="F3:F4"/>
    <mergeCell ref="G3:G4"/>
    <mergeCell ref="A9:A10"/>
    <mergeCell ref="B9:B10"/>
    <mergeCell ref="C9:C10"/>
    <mergeCell ref="D9:D10"/>
    <mergeCell ref="E9:E10"/>
    <mergeCell ref="F55:F59"/>
    <mergeCell ref="F20:F53"/>
  </mergeCells>
  <printOptions horizontalCentered="1"/>
  <pageMargins left="0" right="0" top="1.0900000000000001" bottom="0.05" header="0" footer="0.2"/>
  <pageSetup paperSize="9" scale="66" orientation="portrait" r:id="rId1"/>
  <headerFooter>
    <oddHeader>&amp;L&amp;"Arial Black,Regular"PT.QUTY KARUNIA&amp;R18/07/2013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J57"/>
  <sheetViews>
    <sheetView view="pageBreakPreview" zoomScaleSheetLayoutView="100" workbookViewId="0">
      <selection activeCell="C11" sqref="C11"/>
    </sheetView>
  </sheetViews>
  <sheetFormatPr defaultRowHeight="15"/>
  <cols>
    <col min="1" max="1" width="4.5703125" style="86" customWidth="1"/>
    <col min="2" max="2" width="46.7109375" style="285" customWidth="1"/>
    <col min="3" max="3" width="13.140625" style="257" customWidth="1"/>
    <col min="4" max="4" width="22" customWidth="1"/>
    <col min="5" max="5" width="10.42578125" customWidth="1"/>
    <col min="6" max="6" width="17.42578125" customWidth="1"/>
    <col min="7" max="7" width="19.85546875" style="257" customWidth="1"/>
    <col min="8" max="8" width="5.85546875" style="260" hidden="1" customWidth="1"/>
    <col min="9" max="9" width="14" style="260" customWidth="1"/>
    <col min="10" max="10" width="9.140625" style="260"/>
  </cols>
  <sheetData>
    <row r="1" spans="1:10" ht="26.25">
      <c r="A1" s="776"/>
      <c r="B1" s="1074" t="s">
        <v>363</v>
      </c>
      <c r="C1" s="1074"/>
      <c r="D1" s="1074"/>
      <c r="E1" s="1074"/>
      <c r="F1" s="1074"/>
      <c r="G1" s="1074"/>
    </row>
    <row r="2" spans="1:10">
      <c r="A2" s="776"/>
      <c r="B2" s="763"/>
      <c r="C2" s="764"/>
      <c r="D2" s="765"/>
      <c r="E2" s="765"/>
      <c r="F2" s="766"/>
      <c r="G2" s="766"/>
    </row>
    <row r="3" spans="1:10" ht="24.95" customHeight="1">
      <c r="A3" s="1075" t="s">
        <v>358</v>
      </c>
      <c r="B3" s="1076" t="s">
        <v>255</v>
      </c>
      <c r="C3" s="1078" t="s">
        <v>256</v>
      </c>
      <c r="D3" s="1078" t="s">
        <v>382</v>
      </c>
      <c r="E3" s="1078" t="s">
        <v>381</v>
      </c>
      <c r="F3" s="1078" t="s">
        <v>259</v>
      </c>
      <c r="G3" s="1078" t="s">
        <v>260</v>
      </c>
    </row>
    <row r="4" spans="1:10" ht="31.5" customHeight="1">
      <c r="A4" s="1075"/>
      <c r="B4" s="1077"/>
      <c r="C4" s="1078"/>
      <c r="D4" s="1078"/>
      <c r="E4" s="1078"/>
      <c r="F4" s="1078"/>
      <c r="G4" s="1078"/>
    </row>
    <row r="5" spans="1:10" ht="15" customHeight="1">
      <c r="A5" s="315">
        <v>1</v>
      </c>
      <c r="B5" s="582" t="s">
        <v>318</v>
      </c>
      <c r="C5" s="661">
        <v>24</v>
      </c>
      <c r="D5" s="661">
        <f>C5*E5</f>
        <v>384</v>
      </c>
      <c r="E5" s="661">
        <v>16</v>
      </c>
      <c r="F5" s="1094" t="s">
        <v>392</v>
      </c>
      <c r="G5" s="1095"/>
    </row>
    <row r="6" spans="1:10" ht="15" customHeight="1">
      <c r="A6" s="767">
        <v>2</v>
      </c>
      <c r="B6" s="582" t="s">
        <v>643</v>
      </c>
      <c r="C6" s="661">
        <v>36</v>
      </c>
      <c r="D6" s="661">
        <f>C6*E6</f>
        <v>576</v>
      </c>
      <c r="E6" s="661">
        <v>16</v>
      </c>
      <c r="F6" s="1094"/>
      <c r="G6" s="1095"/>
    </row>
    <row r="7" spans="1:10" s="331" customFormat="1" ht="15" hidden="1" customHeight="1">
      <c r="A7" s="315">
        <v>3</v>
      </c>
      <c r="B7" s="582" t="s">
        <v>380</v>
      </c>
      <c r="C7" s="661">
        <v>54</v>
      </c>
      <c r="D7" s="661">
        <v>864</v>
      </c>
      <c r="E7" s="661">
        <f>D7/C7</f>
        <v>16</v>
      </c>
      <c r="F7" s="1094"/>
      <c r="G7" s="1095"/>
      <c r="H7" s="260"/>
      <c r="I7" s="260"/>
      <c r="J7" s="260"/>
    </row>
    <row r="8" spans="1:10" s="276" customFormat="1" ht="15" customHeight="1">
      <c r="A8" s="777">
        <v>1</v>
      </c>
      <c r="B8" s="778" t="s">
        <v>537</v>
      </c>
      <c r="C8" s="721">
        <v>300</v>
      </c>
      <c r="D8" s="721">
        <f>C8*E8</f>
        <v>2400</v>
      </c>
      <c r="E8" s="721">
        <v>8</v>
      </c>
      <c r="F8" s="1068" t="s">
        <v>326</v>
      </c>
      <c r="G8" s="762"/>
      <c r="H8" s="260"/>
    </row>
    <row r="9" spans="1:10" s="276" customFormat="1" ht="15" customHeight="1">
      <c r="A9" s="1071">
        <v>2</v>
      </c>
      <c r="B9" s="1072" t="s">
        <v>555</v>
      </c>
      <c r="C9" s="1073">
        <v>56</v>
      </c>
      <c r="D9" s="1073">
        <f>C9*E9</f>
        <v>448</v>
      </c>
      <c r="E9" s="1073">
        <v>8</v>
      </c>
      <c r="F9" s="1069"/>
      <c r="G9" s="761" t="s">
        <v>570</v>
      </c>
    </row>
    <row r="10" spans="1:10" s="276" customFormat="1" ht="16.5" customHeight="1">
      <c r="A10" s="1071"/>
      <c r="B10" s="1072"/>
      <c r="C10" s="1073"/>
      <c r="D10" s="1073"/>
      <c r="E10" s="1073"/>
      <c r="F10" s="1069"/>
      <c r="G10" s="761" t="s">
        <v>571</v>
      </c>
    </row>
    <row r="11" spans="1:10" s="276" customFormat="1" ht="15" customHeight="1">
      <c r="A11" s="768">
        <v>3</v>
      </c>
      <c r="B11" s="769" t="s">
        <v>476</v>
      </c>
      <c r="C11" s="760">
        <v>34</v>
      </c>
      <c r="D11" s="760">
        <f>C11*E11</f>
        <v>272</v>
      </c>
      <c r="E11" s="760">
        <v>8</v>
      </c>
      <c r="F11" s="1069"/>
      <c r="G11" s="761" t="s">
        <v>567</v>
      </c>
      <c r="H11" s="260"/>
    </row>
    <row r="12" spans="1:10" s="276" customFormat="1" ht="15" customHeight="1">
      <c r="A12" s="768">
        <v>4</v>
      </c>
      <c r="B12" s="770" t="s">
        <v>610</v>
      </c>
      <c r="C12" s="760">
        <v>50</v>
      </c>
      <c r="D12" s="760">
        <f>E12*C12</f>
        <v>400</v>
      </c>
      <c r="E12" s="760">
        <v>8</v>
      </c>
      <c r="F12" s="1069"/>
      <c r="G12" s="761"/>
      <c r="H12" s="260"/>
    </row>
    <row r="13" spans="1:10" s="276" customFormat="1" ht="15" customHeight="1">
      <c r="A13" s="768">
        <v>5</v>
      </c>
      <c r="B13" s="770" t="s">
        <v>654</v>
      </c>
      <c r="C13" s="760">
        <v>38</v>
      </c>
      <c r="D13" s="760">
        <f>C13*E13</f>
        <v>304</v>
      </c>
      <c r="E13" s="760">
        <v>8</v>
      </c>
      <c r="F13" s="1069"/>
      <c r="G13" s="761"/>
      <c r="H13" s="260"/>
    </row>
    <row r="14" spans="1:10" s="276" customFormat="1" ht="15" customHeight="1">
      <c r="A14" s="768">
        <v>6</v>
      </c>
      <c r="B14" s="771" t="s">
        <v>486</v>
      </c>
      <c r="C14" s="664">
        <v>72</v>
      </c>
      <c r="D14" s="760">
        <f t="shared" ref="D14:D36" si="0">C14*E14</f>
        <v>576</v>
      </c>
      <c r="E14" s="760">
        <v>8</v>
      </c>
      <c r="F14" s="1069"/>
      <c r="G14" s="761"/>
      <c r="H14" s="260"/>
    </row>
    <row r="15" spans="1:10" s="276" customFormat="1" ht="15" customHeight="1">
      <c r="A15" s="768">
        <v>7</v>
      </c>
      <c r="B15" s="769" t="s">
        <v>477</v>
      </c>
      <c r="C15" s="760">
        <v>232</v>
      </c>
      <c r="D15" s="760">
        <f t="shared" si="0"/>
        <v>1856</v>
      </c>
      <c r="E15" s="760">
        <v>8</v>
      </c>
      <c r="F15" s="1069"/>
      <c r="G15" s="761" t="s">
        <v>572</v>
      </c>
      <c r="H15" s="260"/>
    </row>
    <row r="16" spans="1:10" s="276" customFormat="1" ht="15" customHeight="1">
      <c r="A16" s="768">
        <v>8</v>
      </c>
      <c r="B16" s="772" t="s">
        <v>712</v>
      </c>
      <c r="C16" s="760">
        <v>120</v>
      </c>
      <c r="D16" s="760">
        <f t="shared" si="0"/>
        <v>960</v>
      </c>
      <c r="E16" s="760">
        <v>8</v>
      </c>
      <c r="F16" s="1069"/>
      <c r="G16" s="761"/>
      <c r="H16" s="260"/>
    </row>
    <row r="17" spans="1:10" s="276" customFormat="1" ht="15" customHeight="1">
      <c r="A17" s="768">
        <v>9</v>
      </c>
      <c r="B17" s="773" t="s">
        <v>736</v>
      </c>
      <c r="C17" s="760">
        <v>60</v>
      </c>
      <c r="D17" s="760">
        <f>C17*E17</f>
        <v>480</v>
      </c>
      <c r="E17" s="760">
        <v>8</v>
      </c>
      <c r="F17" s="1069"/>
      <c r="G17" s="761"/>
      <c r="H17" s="260"/>
    </row>
    <row r="18" spans="1:10" s="276" customFormat="1" ht="15" customHeight="1">
      <c r="A18" s="768">
        <v>10</v>
      </c>
      <c r="B18" s="773" t="s">
        <v>737</v>
      </c>
      <c r="C18" s="760">
        <v>60</v>
      </c>
      <c r="D18" s="760">
        <f t="shared" ref="D18:D22" si="1">C18*E18</f>
        <v>480</v>
      </c>
      <c r="E18" s="760">
        <v>8</v>
      </c>
      <c r="F18" s="1069"/>
      <c r="G18" s="761"/>
      <c r="H18" s="260"/>
    </row>
    <row r="19" spans="1:10" s="276" customFormat="1" ht="15" customHeight="1">
      <c r="A19" s="768">
        <v>11</v>
      </c>
      <c r="B19" s="773" t="s">
        <v>741</v>
      </c>
      <c r="C19" s="760">
        <v>60</v>
      </c>
      <c r="D19" s="760">
        <f t="shared" si="1"/>
        <v>480</v>
      </c>
      <c r="E19" s="760">
        <v>8</v>
      </c>
      <c r="F19" s="1069"/>
      <c r="G19" s="761"/>
      <c r="H19" s="260"/>
    </row>
    <row r="20" spans="1:10" s="276" customFormat="1" ht="15" customHeight="1">
      <c r="A20" s="779">
        <v>12</v>
      </c>
      <c r="B20" s="773" t="s">
        <v>739</v>
      </c>
      <c r="C20" s="760">
        <v>40</v>
      </c>
      <c r="D20" s="760">
        <f t="shared" si="1"/>
        <v>320</v>
      </c>
      <c r="E20" s="760">
        <v>8</v>
      </c>
      <c r="F20" s="1069"/>
      <c r="G20" s="761"/>
      <c r="H20" s="260"/>
    </row>
    <row r="21" spans="1:10" s="276" customFormat="1" ht="15" customHeight="1">
      <c r="A21" s="779">
        <v>13</v>
      </c>
      <c r="B21" s="773" t="s">
        <v>740</v>
      </c>
      <c r="C21" s="760">
        <v>40</v>
      </c>
      <c r="D21" s="760">
        <f t="shared" si="1"/>
        <v>320</v>
      </c>
      <c r="E21" s="760">
        <v>8</v>
      </c>
      <c r="F21" s="1069"/>
      <c r="G21" s="761"/>
      <c r="H21" s="260"/>
    </row>
    <row r="22" spans="1:10" s="276" customFormat="1" ht="15" customHeight="1">
      <c r="A22" s="779">
        <v>14</v>
      </c>
      <c r="B22" s="773" t="s">
        <v>743</v>
      </c>
      <c r="C22" s="780">
        <v>28</v>
      </c>
      <c r="D22" s="780">
        <f t="shared" si="1"/>
        <v>224</v>
      </c>
      <c r="E22" s="780">
        <v>8</v>
      </c>
      <c r="F22" s="1070"/>
      <c r="G22" s="781"/>
      <c r="H22" s="260"/>
    </row>
    <row r="23" spans="1:10" s="149" customFormat="1" ht="15" customHeight="1">
      <c r="A23" s="774">
        <v>1</v>
      </c>
      <c r="B23" s="437" t="s">
        <v>554</v>
      </c>
      <c r="C23" s="652">
        <v>8</v>
      </c>
      <c r="D23" s="660">
        <f t="shared" si="0"/>
        <v>32</v>
      </c>
      <c r="E23" s="652">
        <v>4</v>
      </c>
      <c r="F23" s="1097" t="s">
        <v>341</v>
      </c>
      <c r="G23" s="339" t="s">
        <v>372</v>
      </c>
      <c r="H23" s="260"/>
      <c r="I23" s="260"/>
      <c r="J23" s="260"/>
    </row>
    <row r="24" spans="1:10" s="149" customFormat="1" ht="15" customHeight="1">
      <c r="A24" s="774">
        <v>2</v>
      </c>
      <c r="B24" s="437" t="s">
        <v>413</v>
      </c>
      <c r="C24" s="652">
        <v>54</v>
      </c>
      <c r="D24" s="660">
        <f t="shared" si="0"/>
        <v>216</v>
      </c>
      <c r="E24" s="652">
        <v>4</v>
      </c>
      <c r="F24" s="1097"/>
      <c r="G24" s="339"/>
      <c r="H24" s="260"/>
      <c r="I24" s="260"/>
      <c r="J24" s="260"/>
    </row>
    <row r="25" spans="1:10" s="149" customFormat="1" ht="15" customHeight="1">
      <c r="A25" s="774">
        <v>3</v>
      </c>
      <c r="B25" s="437" t="s">
        <v>414</v>
      </c>
      <c r="C25" s="652">
        <v>224</v>
      </c>
      <c r="D25" s="660">
        <f t="shared" si="0"/>
        <v>896</v>
      </c>
      <c r="E25" s="652">
        <v>4</v>
      </c>
      <c r="F25" s="1097"/>
      <c r="G25" s="339"/>
      <c r="H25" s="260"/>
      <c r="I25" s="260"/>
      <c r="J25" s="260"/>
    </row>
    <row r="26" spans="1:10" s="149" customFormat="1" ht="15" customHeight="1">
      <c r="A26" s="774">
        <v>4</v>
      </c>
      <c r="B26" s="437" t="s">
        <v>375</v>
      </c>
      <c r="C26" s="652">
        <v>20</v>
      </c>
      <c r="D26" s="660">
        <f t="shared" si="0"/>
        <v>80</v>
      </c>
      <c r="E26" s="652">
        <v>4</v>
      </c>
      <c r="F26" s="1097"/>
      <c r="G26" s="339"/>
      <c r="H26" s="260"/>
      <c r="I26" s="260"/>
      <c r="J26" s="260"/>
    </row>
    <row r="27" spans="1:10" s="149" customFormat="1" ht="15" customHeight="1">
      <c r="A27" s="774">
        <v>5</v>
      </c>
      <c r="B27" s="437" t="s">
        <v>67</v>
      </c>
      <c r="C27" s="652">
        <v>14</v>
      </c>
      <c r="D27" s="660">
        <f t="shared" si="0"/>
        <v>56</v>
      </c>
      <c r="E27" s="652">
        <v>4</v>
      </c>
      <c r="F27" s="1097"/>
      <c r="G27" s="339"/>
      <c r="H27" s="260"/>
      <c r="I27" s="260"/>
      <c r="J27" s="260"/>
    </row>
    <row r="28" spans="1:10" s="149" customFormat="1" ht="15" customHeight="1">
      <c r="A28" s="774">
        <v>6</v>
      </c>
      <c r="B28" s="437" t="s">
        <v>540</v>
      </c>
      <c r="C28" s="652">
        <v>16</v>
      </c>
      <c r="D28" s="660">
        <f t="shared" si="0"/>
        <v>64</v>
      </c>
      <c r="E28" s="652">
        <v>4</v>
      </c>
      <c r="F28" s="1097"/>
      <c r="G28" s="339"/>
      <c r="H28" s="260"/>
      <c r="I28" s="260"/>
      <c r="J28" s="260"/>
    </row>
    <row r="29" spans="1:10" s="149" customFormat="1" ht="15" customHeight="1">
      <c r="A29" s="774">
        <v>7</v>
      </c>
      <c r="B29" s="437" t="s">
        <v>550</v>
      </c>
      <c r="C29" s="652">
        <v>14</v>
      </c>
      <c r="D29" s="660">
        <f t="shared" si="0"/>
        <v>56</v>
      </c>
      <c r="E29" s="652">
        <v>4</v>
      </c>
      <c r="F29" s="1097"/>
      <c r="G29" s="339"/>
      <c r="H29" s="260"/>
      <c r="I29" s="260"/>
      <c r="J29" s="260"/>
    </row>
    <row r="30" spans="1:10" s="149" customFormat="1" ht="15" customHeight="1">
      <c r="A30" s="774">
        <v>8</v>
      </c>
      <c r="B30" s="749" t="s">
        <v>528</v>
      </c>
      <c r="C30" s="652">
        <v>9</v>
      </c>
      <c r="D30" s="660">
        <f t="shared" si="0"/>
        <v>36</v>
      </c>
      <c r="E30" s="652">
        <v>4</v>
      </c>
      <c r="F30" s="1097"/>
      <c r="G30" s="339"/>
      <c r="H30" s="260"/>
      <c r="I30" s="787"/>
      <c r="J30" s="260"/>
    </row>
    <row r="31" spans="1:10" s="149" customFormat="1" ht="15" customHeight="1">
      <c r="A31" s="774">
        <v>9</v>
      </c>
      <c r="B31" s="749" t="s">
        <v>538</v>
      </c>
      <c r="C31" s="652">
        <v>16</v>
      </c>
      <c r="D31" s="660">
        <f t="shared" si="0"/>
        <v>64</v>
      </c>
      <c r="E31" s="652">
        <v>4</v>
      </c>
      <c r="F31" s="1097"/>
      <c r="G31" s="339" t="s">
        <v>569</v>
      </c>
      <c r="H31" s="260"/>
      <c r="I31" s="787"/>
      <c r="J31" s="260"/>
    </row>
    <row r="32" spans="1:10" s="149" customFormat="1" ht="15" customHeight="1">
      <c r="A32" s="774">
        <v>10</v>
      </c>
      <c r="B32" s="749" t="s">
        <v>553</v>
      </c>
      <c r="C32" s="652">
        <v>15</v>
      </c>
      <c r="D32" s="660">
        <f t="shared" si="0"/>
        <v>60</v>
      </c>
      <c r="E32" s="652">
        <v>4</v>
      </c>
      <c r="F32" s="1097"/>
      <c r="G32" s="339" t="s">
        <v>568</v>
      </c>
      <c r="H32" s="260"/>
      <c r="I32" s="787"/>
      <c r="J32" s="260"/>
    </row>
    <row r="33" spans="1:10" s="149" customFormat="1" ht="15" customHeight="1">
      <c r="A33" s="774">
        <v>11</v>
      </c>
      <c r="B33" s="749" t="s">
        <v>552</v>
      </c>
      <c r="C33" s="652">
        <v>12</v>
      </c>
      <c r="D33" s="660">
        <f t="shared" si="0"/>
        <v>48</v>
      </c>
      <c r="E33" s="652">
        <v>4</v>
      </c>
      <c r="F33" s="1097"/>
      <c r="G33" s="339"/>
      <c r="H33" s="260"/>
      <c r="I33" s="787"/>
      <c r="J33" s="260"/>
    </row>
    <row r="34" spans="1:10" s="149" customFormat="1" ht="15" customHeight="1">
      <c r="A34" s="774">
        <v>12</v>
      </c>
      <c r="B34" s="501" t="s">
        <v>517</v>
      </c>
      <c r="C34" s="648">
        <v>24</v>
      </c>
      <c r="D34" s="660">
        <f t="shared" si="0"/>
        <v>96</v>
      </c>
      <c r="E34" s="652">
        <v>4</v>
      </c>
      <c r="F34" s="1097"/>
      <c r="G34" s="339"/>
      <c r="H34" s="260"/>
      <c r="I34" s="787"/>
      <c r="J34" s="260"/>
    </row>
    <row r="35" spans="1:10" s="149" customFormat="1" ht="15" customHeight="1">
      <c r="A35" s="774">
        <v>13</v>
      </c>
      <c r="B35" s="501" t="s">
        <v>521</v>
      </c>
      <c r="C35" s="648">
        <v>16</v>
      </c>
      <c r="D35" s="660">
        <f t="shared" si="0"/>
        <v>64</v>
      </c>
      <c r="E35" s="652">
        <v>4</v>
      </c>
      <c r="F35" s="1097"/>
      <c r="G35" s="339"/>
      <c r="H35" s="260"/>
      <c r="I35" s="787"/>
      <c r="J35" s="260"/>
    </row>
    <row r="36" spans="1:10" s="149" customFormat="1" ht="15" customHeight="1">
      <c r="A36" s="774">
        <v>14</v>
      </c>
      <c r="B36" s="501" t="s">
        <v>573</v>
      </c>
      <c r="C36" s="648">
        <v>36</v>
      </c>
      <c r="D36" s="660">
        <f t="shared" si="0"/>
        <v>144</v>
      </c>
      <c r="E36" s="652">
        <v>4</v>
      </c>
      <c r="F36" s="1097"/>
      <c r="G36" s="339"/>
      <c r="H36" s="260"/>
      <c r="I36" s="260"/>
      <c r="J36" s="260"/>
    </row>
    <row r="37" spans="1:10" s="149" customFormat="1" ht="15" hidden="1" customHeight="1">
      <c r="A37" s="774">
        <v>15</v>
      </c>
      <c r="B37" s="507" t="s">
        <v>543</v>
      </c>
      <c r="C37" s="518">
        <v>12</v>
      </c>
      <c r="D37" s="657">
        <v>72</v>
      </c>
      <c r="E37" s="652">
        <v>4</v>
      </c>
      <c r="F37" s="1097"/>
      <c r="G37" s="339"/>
      <c r="H37" s="260"/>
      <c r="I37" s="260"/>
      <c r="J37" s="260"/>
    </row>
    <row r="38" spans="1:10" s="149" customFormat="1" ht="15" hidden="1" customHeight="1">
      <c r="A38" s="774">
        <v>16</v>
      </c>
      <c r="B38" s="507" t="s">
        <v>545</v>
      </c>
      <c r="C38" s="518"/>
      <c r="D38" s="657"/>
      <c r="E38" s="652">
        <v>4</v>
      </c>
      <c r="F38" s="1097"/>
      <c r="G38" s="339"/>
      <c r="H38" s="260"/>
      <c r="I38" s="260"/>
      <c r="J38" s="260"/>
    </row>
    <row r="39" spans="1:10" s="149" customFormat="1" ht="15" hidden="1" customHeight="1">
      <c r="A39" s="774">
        <v>17</v>
      </c>
      <c r="B39" s="507" t="s">
        <v>547</v>
      </c>
      <c r="C39" s="518"/>
      <c r="D39" s="657"/>
      <c r="E39" s="652">
        <v>4</v>
      </c>
      <c r="F39" s="1097"/>
      <c r="G39" s="339"/>
      <c r="H39" s="260"/>
      <c r="I39" s="260"/>
      <c r="J39" s="260"/>
    </row>
    <row r="40" spans="1:10" s="149" customFormat="1" ht="15" customHeight="1">
      <c r="A40" s="774">
        <v>18</v>
      </c>
      <c r="B40" s="775" t="s">
        <v>622</v>
      </c>
      <c r="C40" s="655">
        <v>48</v>
      </c>
      <c r="D40" s="655">
        <v>192</v>
      </c>
      <c r="E40" s="652">
        <v>4</v>
      </c>
      <c r="F40" s="1097"/>
      <c r="G40" s="339"/>
      <c r="H40" s="260"/>
      <c r="I40" s="787"/>
      <c r="J40" s="260"/>
    </row>
    <row r="41" spans="1:10" s="149" customFormat="1" ht="15" customHeight="1">
      <c r="A41" s="774">
        <v>19</v>
      </c>
      <c r="B41" s="775" t="s">
        <v>606</v>
      </c>
      <c r="C41" s="655">
        <v>9</v>
      </c>
      <c r="D41" s="655">
        <v>36</v>
      </c>
      <c r="E41" s="652">
        <v>4</v>
      </c>
      <c r="F41" s="1097"/>
      <c r="G41" s="339"/>
      <c r="H41" s="260"/>
      <c r="I41" s="260"/>
      <c r="J41" s="260"/>
    </row>
    <row r="42" spans="1:10" s="149" customFormat="1" ht="15" customHeight="1">
      <c r="A42" s="774">
        <v>20</v>
      </c>
      <c r="B42" s="775" t="s">
        <v>655</v>
      </c>
      <c r="C42" s="650">
        <v>45</v>
      </c>
      <c r="D42" s="655">
        <f t="shared" ref="D42:D53" si="2">C42*E42</f>
        <v>180</v>
      </c>
      <c r="E42" s="655">
        <v>4</v>
      </c>
      <c r="F42" s="1097"/>
      <c r="G42" s="339"/>
      <c r="H42" s="260"/>
      <c r="I42" s="260"/>
      <c r="J42" s="260"/>
    </row>
    <row r="43" spans="1:10" s="149" customFormat="1" ht="15" customHeight="1">
      <c r="A43" s="774">
        <v>21</v>
      </c>
      <c r="B43" s="775" t="s">
        <v>656</v>
      </c>
      <c r="C43" s="650">
        <v>15</v>
      </c>
      <c r="D43" s="655">
        <f t="shared" si="2"/>
        <v>60</v>
      </c>
      <c r="E43" s="655">
        <v>4</v>
      </c>
      <c r="F43" s="1097"/>
      <c r="G43" s="339"/>
      <c r="H43" s="260"/>
      <c r="I43" s="260"/>
      <c r="J43" s="260"/>
    </row>
    <row r="44" spans="1:10" s="149" customFormat="1" ht="15" customHeight="1">
      <c r="A44" s="774">
        <v>22</v>
      </c>
      <c r="B44" s="775" t="s">
        <v>657</v>
      </c>
      <c r="C44" s="650">
        <v>30</v>
      </c>
      <c r="D44" s="655">
        <f t="shared" si="2"/>
        <v>120</v>
      </c>
      <c r="E44" s="655">
        <v>4</v>
      </c>
      <c r="F44" s="1097"/>
      <c r="G44" s="339"/>
      <c r="H44" s="260"/>
      <c r="I44" s="260"/>
      <c r="J44" s="260"/>
    </row>
    <row r="45" spans="1:10" s="149" customFormat="1" ht="15" customHeight="1">
      <c r="A45" s="774">
        <v>23</v>
      </c>
      <c r="B45" s="775" t="s">
        <v>669</v>
      </c>
      <c r="C45" s="650">
        <v>40</v>
      </c>
      <c r="D45" s="655">
        <f t="shared" si="2"/>
        <v>160</v>
      </c>
      <c r="E45" s="655">
        <v>4</v>
      </c>
      <c r="F45" s="1097"/>
      <c r="G45" s="339"/>
      <c r="H45" s="260"/>
      <c r="I45" s="260"/>
      <c r="J45" s="260"/>
    </row>
    <row r="46" spans="1:10" s="149" customFormat="1" ht="15" customHeight="1">
      <c r="A46" s="774">
        <v>24</v>
      </c>
      <c r="B46" s="775" t="s">
        <v>742</v>
      </c>
      <c r="C46" s="650">
        <v>22</v>
      </c>
      <c r="D46" s="655">
        <f t="shared" si="2"/>
        <v>88</v>
      </c>
      <c r="E46" s="655">
        <v>4</v>
      </c>
      <c r="F46" s="1097"/>
      <c r="G46" s="339"/>
      <c r="H46" s="260"/>
      <c r="I46" s="260"/>
      <c r="J46" s="260"/>
    </row>
    <row r="47" spans="1:10" s="149" customFormat="1" ht="15" customHeight="1">
      <c r="A47" s="774">
        <v>25</v>
      </c>
      <c r="B47" s="775" t="s">
        <v>662</v>
      </c>
      <c r="C47" s="650">
        <v>20</v>
      </c>
      <c r="D47" s="655">
        <f t="shared" si="2"/>
        <v>80</v>
      </c>
      <c r="E47" s="655">
        <v>4</v>
      </c>
      <c r="F47" s="1097"/>
      <c r="G47" s="339"/>
      <c r="H47" s="260"/>
      <c r="I47" s="260"/>
      <c r="J47" s="260"/>
    </row>
    <row r="48" spans="1:10" s="149" customFormat="1" ht="15" customHeight="1">
      <c r="A48" s="774">
        <v>26</v>
      </c>
      <c r="B48" s="775" t="s">
        <v>663</v>
      </c>
      <c r="C48" s="650">
        <v>16</v>
      </c>
      <c r="D48" s="655">
        <f t="shared" si="2"/>
        <v>64</v>
      </c>
      <c r="E48" s="655">
        <v>4</v>
      </c>
      <c r="F48" s="1097"/>
      <c r="G48" s="339"/>
      <c r="H48" s="260"/>
      <c r="I48" s="260"/>
      <c r="J48" s="260"/>
    </row>
    <row r="49" spans="1:10" s="149" customFormat="1" ht="15" customHeight="1">
      <c r="A49" s="774">
        <v>27</v>
      </c>
      <c r="B49" s="775" t="s">
        <v>722</v>
      </c>
      <c r="C49" s="650">
        <v>20</v>
      </c>
      <c r="D49" s="655">
        <f t="shared" si="2"/>
        <v>80</v>
      </c>
      <c r="E49" s="655">
        <v>4</v>
      </c>
      <c r="F49" s="1097"/>
      <c r="G49" s="339"/>
      <c r="H49" s="260"/>
      <c r="I49" s="260"/>
      <c r="J49" s="260"/>
    </row>
    <row r="50" spans="1:10" s="149" customFormat="1" ht="15" customHeight="1">
      <c r="A50" s="774">
        <v>28</v>
      </c>
      <c r="B50" s="749" t="s">
        <v>374</v>
      </c>
      <c r="C50" s="650">
        <v>66</v>
      </c>
      <c r="D50" s="655">
        <f t="shared" si="2"/>
        <v>264</v>
      </c>
      <c r="E50" s="655">
        <v>4</v>
      </c>
      <c r="F50" s="1097"/>
      <c r="G50" s="339"/>
      <c r="H50" s="260"/>
      <c r="I50" s="260"/>
      <c r="J50" s="260"/>
    </row>
    <row r="51" spans="1:10" s="149" customFormat="1" ht="15" customHeight="1">
      <c r="A51" s="750">
        <v>1</v>
      </c>
      <c r="B51" s="751" t="s">
        <v>542</v>
      </c>
      <c r="C51" s="752">
        <v>16</v>
      </c>
      <c r="D51" s="753">
        <f t="shared" si="2"/>
        <v>32</v>
      </c>
      <c r="E51" s="753">
        <v>2</v>
      </c>
      <c r="F51" s="1096" t="s">
        <v>278</v>
      </c>
      <c r="G51" s="754"/>
      <c r="H51" s="260"/>
      <c r="I51" s="260"/>
      <c r="J51" s="260"/>
    </row>
    <row r="52" spans="1:10" s="149" customFormat="1" ht="15" customHeight="1">
      <c r="A52" s="750">
        <v>2</v>
      </c>
      <c r="B52" s="751" t="s">
        <v>519</v>
      </c>
      <c r="C52" s="752">
        <v>10</v>
      </c>
      <c r="D52" s="753">
        <f t="shared" si="2"/>
        <v>20</v>
      </c>
      <c r="E52" s="753">
        <v>2</v>
      </c>
      <c r="F52" s="1096"/>
      <c r="G52" s="754"/>
      <c r="H52" s="260"/>
      <c r="I52" s="260"/>
      <c r="J52" s="260"/>
    </row>
    <row r="53" spans="1:10" s="149" customFormat="1" ht="15" customHeight="1">
      <c r="A53" s="750">
        <v>3</v>
      </c>
      <c r="B53" s="751" t="s">
        <v>520</v>
      </c>
      <c r="C53" s="752">
        <v>20</v>
      </c>
      <c r="D53" s="753">
        <f t="shared" si="2"/>
        <v>40</v>
      </c>
      <c r="E53" s="753">
        <v>2</v>
      </c>
      <c r="F53" s="1096"/>
      <c r="G53" s="754"/>
      <c r="H53" s="260"/>
      <c r="I53" s="260"/>
      <c r="J53" s="260"/>
    </row>
    <row r="54" spans="1:10" s="149" customFormat="1" ht="15" customHeight="1">
      <c r="A54" s="755">
        <v>1</v>
      </c>
      <c r="B54" s="759" t="s">
        <v>664</v>
      </c>
      <c r="C54" s="756">
        <v>8</v>
      </c>
      <c r="D54" s="757">
        <f>C54*E54</f>
        <v>32</v>
      </c>
      <c r="E54" s="757">
        <v>4</v>
      </c>
      <c r="F54" s="758" t="s">
        <v>721</v>
      </c>
      <c r="G54" s="758"/>
      <c r="H54" s="260"/>
      <c r="I54" s="260"/>
      <c r="J54" s="260"/>
    </row>
    <row r="55" spans="1:10">
      <c r="A55" s="497"/>
      <c r="B55" s="498" t="s">
        <v>427</v>
      </c>
      <c r="C55" s="500"/>
      <c r="D55" s="498"/>
      <c r="E55" s="498"/>
      <c r="F55" s="500" t="s">
        <v>428</v>
      </c>
      <c r="G55" s="500"/>
    </row>
    <row r="56" spans="1:10">
      <c r="A56" s="497"/>
      <c r="B56" s="498" t="s">
        <v>437</v>
      </c>
      <c r="C56" s="500"/>
      <c r="D56" s="498"/>
      <c r="E56" s="498"/>
      <c r="F56" s="500" t="s">
        <v>438</v>
      </c>
      <c r="G56" s="500"/>
    </row>
    <row r="57" spans="1:10">
      <c r="C57" s="547"/>
    </row>
  </sheetData>
  <mergeCells count="18">
    <mergeCell ref="B1:G1"/>
    <mergeCell ref="A3:A4"/>
    <mergeCell ref="B3:B4"/>
    <mergeCell ref="C3:C4"/>
    <mergeCell ref="D3:D4"/>
    <mergeCell ref="E3:E4"/>
    <mergeCell ref="F3:F4"/>
    <mergeCell ref="G3:G4"/>
    <mergeCell ref="F51:F53"/>
    <mergeCell ref="F23:F50"/>
    <mergeCell ref="F5:F7"/>
    <mergeCell ref="G5:G7"/>
    <mergeCell ref="A9:A10"/>
    <mergeCell ref="B9:B10"/>
    <mergeCell ref="C9:C10"/>
    <mergeCell ref="D9:D10"/>
    <mergeCell ref="E9:E10"/>
    <mergeCell ref="F8:F22"/>
  </mergeCells>
  <printOptions horizontalCentered="1"/>
  <pageMargins left="0" right="0" top="1.0900000000000001" bottom="0.05" header="0" footer="0.2"/>
  <pageSetup paperSize="9" scale="66" orientation="portrait" r:id="rId1"/>
  <headerFooter>
    <oddHeader>&amp;L&amp;"Arial Black,Regular"PT.QUTY KARUNIA&amp;R18/07/2013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J77"/>
  <sheetViews>
    <sheetView view="pageBreakPreview" zoomScaleSheetLayoutView="100" workbookViewId="0">
      <selection activeCell="C5" sqref="C5"/>
    </sheetView>
  </sheetViews>
  <sheetFormatPr defaultRowHeight="15"/>
  <cols>
    <col min="1" max="1" width="4.5703125" style="86" customWidth="1"/>
    <col min="2" max="2" width="46.7109375" style="285" customWidth="1"/>
    <col min="3" max="3" width="13.140625" style="257" customWidth="1"/>
    <col min="4" max="4" width="22" customWidth="1"/>
    <col min="5" max="5" width="10.42578125" customWidth="1"/>
    <col min="6" max="6" width="17.42578125" customWidth="1"/>
    <col min="7" max="7" width="20" style="257" customWidth="1"/>
    <col min="8" max="8" width="18.7109375" style="260" customWidth="1"/>
    <col min="9" max="9" width="14" style="260" customWidth="1"/>
    <col min="10" max="10" width="9.140625" style="260"/>
  </cols>
  <sheetData>
    <row r="1" spans="1:10" ht="26.25">
      <c r="A1" s="322"/>
      <c r="B1" s="1109" t="s">
        <v>363</v>
      </c>
      <c r="C1" s="1109"/>
      <c r="D1" s="1109"/>
      <c r="E1" s="1109"/>
      <c r="F1" s="1109"/>
      <c r="G1" s="1109"/>
    </row>
    <row r="2" spans="1:10" ht="15.75" thickBot="1">
      <c r="A2" s="323"/>
      <c r="B2" s="302"/>
      <c r="C2" s="540"/>
      <c r="D2" s="297"/>
      <c r="E2" s="297"/>
      <c r="F2" s="298"/>
      <c r="G2" s="298"/>
    </row>
    <row r="3" spans="1:10" ht="24.95" customHeight="1">
      <c r="A3" s="1110" t="s">
        <v>358</v>
      </c>
      <c r="B3" s="1111" t="s">
        <v>255</v>
      </c>
      <c r="C3" s="1113" t="s">
        <v>256</v>
      </c>
      <c r="D3" s="1113" t="s">
        <v>382</v>
      </c>
      <c r="E3" s="1113" t="s">
        <v>381</v>
      </c>
      <c r="F3" s="1113" t="s">
        <v>259</v>
      </c>
      <c r="G3" s="1115" t="s">
        <v>260</v>
      </c>
    </row>
    <row r="4" spans="1:10" ht="31.5" customHeight="1">
      <c r="A4" s="1110"/>
      <c r="B4" s="1112"/>
      <c r="C4" s="1114"/>
      <c r="D4" s="1114"/>
      <c r="E4" s="1114"/>
      <c r="F4" s="1114"/>
      <c r="G4" s="1116"/>
    </row>
    <row r="5" spans="1:10" ht="15" customHeight="1">
      <c r="A5" s="685">
        <v>1</v>
      </c>
      <c r="B5" s="695" t="s">
        <v>318</v>
      </c>
      <c r="C5" s="661">
        <v>24</v>
      </c>
      <c r="D5" s="661">
        <f>C5*E5</f>
        <v>384</v>
      </c>
      <c r="E5" s="661">
        <v>16</v>
      </c>
      <c r="F5" s="1117" t="s">
        <v>392</v>
      </c>
      <c r="G5" s="1119"/>
      <c r="H5" s="260" t="s">
        <v>723</v>
      </c>
    </row>
    <row r="6" spans="1:10" ht="15" customHeight="1">
      <c r="A6" s="686">
        <v>2</v>
      </c>
      <c r="B6" s="696" t="s">
        <v>643</v>
      </c>
      <c r="C6" s="663">
        <v>36</v>
      </c>
      <c r="D6" s="661">
        <f>C6*E6</f>
        <v>576</v>
      </c>
      <c r="E6" s="662">
        <v>16</v>
      </c>
      <c r="F6" s="1118"/>
      <c r="G6" s="1120"/>
      <c r="H6" s="260" t="s">
        <v>723</v>
      </c>
    </row>
    <row r="7" spans="1:10" s="331" customFormat="1" ht="15" hidden="1" customHeight="1">
      <c r="A7" s="687">
        <v>3</v>
      </c>
      <c r="B7" s="697" t="s">
        <v>380</v>
      </c>
      <c r="C7" s="671">
        <v>54</v>
      </c>
      <c r="D7" s="671">
        <v>864</v>
      </c>
      <c r="E7" s="671">
        <f>D7/C7</f>
        <v>16</v>
      </c>
      <c r="F7" s="1118"/>
      <c r="G7" s="1120"/>
      <c r="H7" s="260" t="s">
        <v>723</v>
      </c>
      <c r="I7" s="260"/>
      <c r="J7" s="260"/>
    </row>
    <row r="8" spans="1:10" s="276" customFormat="1" ht="15" customHeight="1">
      <c r="A8" s="688">
        <v>1</v>
      </c>
      <c r="B8" s="698" t="s">
        <v>84</v>
      </c>
      <c r="C8" s="674">
        <v>45</v>
      </c>
      <c r="D8" s="674">
        <f>C8*E8</f>
        <v>360</v>
      </c>
      <c r="E8" s="674">
        <v>8</v>
      </c>
      <c r="F8" s="1068" t="s">
        <v>276</v>
      </c>
      <c r="G8" s="699"/>
      <c r="H8" s="260" t="s">
        <v>723</v>
      </c>
    </row>
    <row r="9" spans="1:10" s="276" customFormat="1" ht="15" customHeight="1">
      <c r="A9" s="688">
        <v>2</v>
      </c>
      <c r="B9" s="698" t="s">
        <v>431</v>
      </c>
      <c r="C9" s="674">
        <v>198</v>
      </c>
      <c r="D9" s="674">
        <f>C9*E9</f>
        <v>1584</v>
      </c>
      <c r="E9" s="674">
        <v>8</v>
      </c>
      <c r="F9" s="1069"/>
      <c r="G9" s="699"/>
    </row>
    <row r="10" spans="1:10" s="276" customFormat="1" ht="15" customHeight="1">
      <c r="A10" s="688">
        <v>3</v>
      </c>
      <c r="B10" s="700" t="s">
        <v>537</v>
      </c>
      <c r="C10" s="674">
        <v>300</v>
      </c>
      <c r="D10" s="674">
        <f>C10*E10</f>
        <v>2400</v>
      </c>
      <c r="E10" s="674">
        <v>8</v>
      </c>
      <c r="F10" s="1069"/>
      <c r="G10" s="699"/>
      <c r="H10" s="260" t="s">
        <v>723</v>
      </c>
    </row>
    <row r="11" spans="1:10" s="276" customFormat="1" ht="15" customHeight="1">
      <c r="A11" s="1121">
        <v>4</v>
      </c>
      <c r="B11" s="1122" t="s">
        <v>555</v>
      </c>
      <c r="C11" s="1073">
        <v>56</v>
      </c>
      <c r="D11" s="1073">
        <f>C11*E11</f>
        <v>448</v>
      </c>
      <c r="E11" s="1073">
        <v>8</v>
      </c>
      <c r="F11" s="1069"/>
      <c r="G11" s="699" t="s">
        <v>570</v>
      </c>
    </row>
    <row r="12" spans="1:10" s="276" customFormat="1" ht="22.5" customHeight="1">
      <c r="A12" s="1121"/>
      <c r="B12" s="1122"/>
      <c r="C12" s="1073"/>
      <c r="D12" s="1073"/>
      <c r="E12" s="1073"/>
      <c r="F12" s="1069"/>
      <c r="G12" s="699" t="s">
        <v>571</v>
      </c>
    </row>
    <row r="13" spans="1:10" s="276" customFormat="1" ht="15" customHeight="1">
      <c r="A13" s="688">
        <v>5</v>
      </c>
      <c r="B13" s="700" t="s">
        <v>476</v>
      </c>
      <c r="C13" s="674">
        <v>34</v>
      </c>
      <c r="D13" s="674">
        <f>C13*E13</f>
        <v>272</v>
      </c>
      <c r="E13" s="674">
        <v>8</v>
      </c>
      <c r="F13" s="1069"/>
      <c r="G13" s="699" t="s">
        <v>567</v>
      </c>
      <c r="H13" s="260" t="s">
        <v>723</v>
      </c>
    </row>
    <row r="14" spans="1:10" s="276" customFormat="1" ht="15" customHeight="1">
      <c r="A14" s="688">
        <v>6</v>
      </c>
      <c r="B14" s="701" t="s">
        <v>610</v>
      </c>
      <c r="C14" s="674">
        <v>50</v>
      </c>
      <c r="D14" s="674">
        <f>E14*C14</f>
        <v>400</v>
      </c>
      <c r="E14" s="674">
        <v>8</v>
      </c>
      <c r="F14" s="1069"/>
      <c r="G14" s="699"/>
      <c r="H14" s="260" t="s">
        <v>723</v>
      </c>
    </row>
    <row r="15" spans="1:10" s="276" customFormat="1" ht="15" customHeight="1">
      <c r="A15" s="688">
        <v>7</v>
      </c>
      <c r="B15" s="701" t="s">
        <v>654</v>
      </c>
      <c r="C15" s="674">
        <v>36</v>
      </c>
      <c r="D15" s="674">
        <v>240</v>
      </c>
      <c r="E15" s="674">
        <v>8</v>
      </c>
      <c r="F15" s="1069"/>
      <c r="G15" s="699"/>
      <c r="H15" s="260" t="s">
        <v>723</v>
      </c>
    </row>
    <row r="16" spans="1:10" s="276" customFormat="1" ht="15" customHeight="1">
      <c r="A16" s="688">
        <v>8</v>
      </c>
      <c r="B16" s="702" t="s">
        <v>486</v>
      </c>
      <c r="C16" s="664">
        <v>72</v>
      </c>
      <c r="D16" s="674">
        <f t="shared" ref="D16:D38" si="0">C16*E16</f>
        <v>576</v>
      </c>
      <c r="E16" s="674">
        <v>8</v>
      </c>
      <c r="F16" s="1069"/>
      <c r="G16" s="699"/>
      <c r="H16" s="260" t="s">
        <v>723</v>
      </c>
    </row>
    <row r="17" spans="1:10" s="276" customFormat="1" ht="15" customHeight="1">
      <c r="A17" s="748">
        <v>9</v>
      </c>
      <c r="B17" s="700" t="s">
        <v>477</v>
      </c>
      <c r="C17" s="674">
        <v>232</v>
      </c>
      <c r="D17" s="674">
        <f t="shared" si="0"/>
        <v>1856</v>
      </c>
      <c r="E17" s="674">
        <v>8</v>
      </c>
      <c r="F17" s="1069"/>
      <c r="G17" s="699" t="s">
        <v>572</v>
      </c>
      <c r="H17" s="260" t="s">
        <v>723</v>
      </c>
    </row>
    <row r="18" spans="1:10" s="276" customFormat="1" ht="15" customHeight="1">
      <c r="A18" s="748">
        <v>10</v>
      </c>
      <c r="B18" s="723" t="s">
        <v>712</v>
      </c>
      <c r="C18" s="721">
        <v>120</v>
      </c>
      <c r="D18" s="721">
        <f t="shared" si="0"/>
        <v>960</v>
      </c>
      <c r="E18" s="721">
        <v>8</v>
      </c>
      <c r="F18" s="1070"/>
      <c r="G18" s="722"/>
      <c r="H18" s="260" t="s">
        <v>723</v>
      </c>
    </row>
    <row r="19" spans="1:10" s="149" customFormat="1" ht="15" customHeight="1">
      <c r="A19" s="689">
        <v>1</v>
      </c>
      <c r="B19" s="703" t="s">
        <v>554</v>
      </c>
      <c r="C19" s="651">
        <v>8</v>
      </c>
      <c r="D19" s="670">
        <f t="shared" si="0"/>
        <v>32</v>
      </c>
      <c r="E19" s="651">
        <v>4</v>
      </c>
      <c r="F19" s="1091" t="s">
        <v>341</v>
      </c>
      <c r="G19" s="704" t="s">
        <v>372</v>
      </c>
      <c r="H19" s="260" t="s">
        <v>724</v>
      </c>
      <c r="I19" s="260"/>
      <c r="J19" s="260"/>
    </row>
    <row r="20" spans="1:10" s="149" customFormat="1" ht="15" customHeight="1">
      <c r="A20" s="689">
        <v>2</v>
      </c>
      <c r="B20" s="437" t="s">
        <v>413</v>
      </c>
      <c r="C20" s="652">
        <v>54</v>
      </c>
      <c r="D20" s="660">
        <f t="shared" si="0"/>
        <v>216</v>
      </c>
      <c r="E20" s="651">
        <v>4</v>
      </c>
      <c r="F20" s="1092"/>
      <c r="G20" s="706"/>
      <c r="H20" s="260" t="s">
        <v>725</v>
      </c>
      <c r="I20" s="260"/>
      <c r="J20" s="260"/>
    </row>
    <row r="21" spans="1:10" s="149" customFormat="1" ht="15" customHeight="1">
      <c r="A21" s="689">
        <v>3</v>
      </c>
      <c r="B21" s="705" t="s">
        <v>414</v>
      </c>
      <c r="C21" s="652">
        <v>224</v>
      </c>
      <c r="D21" s="660">
        <f t="shared" si="0"/>
        <v>896</v>
      </c>
      <c r="E21" s="651">
        <v>4</v>
      </c>
      <c r="F21" s="1092"/>
      <c r="G21" s="706"/>
      <c r="H21" s="260" t="s">
        <v>724</v>
      </c>
      <c r="I21" s="260"/>
      <c r="J21" s="260"/>
    </row>
    <row r="22" spans="1:10" s="149" customFormat="1" ht="15" customHeight="1">
      <c r="A22" s="689">
        <v>4</v>
      </c>
      <c r="B22" s="705" t="s">
        <v>375</v>
      </c>
      <c r="C22" s="653">
        <v>20</v>
      </c>
      <c r="D22" s="660">
        <f t="shared" si="0"/>
        <v>80</v>
      </c>
      <c r="E22" s="651">
        <v>4</v>
      </c>
      <c r="F22" s="1092"/>
      <c r="G22" s="706"/>
      <c r="H22" s="260" t="s">
        <v>725</v>
      </c>
      <c r="I22" s="260"/>
      <c r="J22" s="260"/>
    </row>
    <row r="23" spans="1:10" s="149" customFormat="1" ht="15" customHeight="1">
      <c r="A23" s="689">
        <v>5</v>
      </c>
      <c r="B23" s="707" t="s">
        <v>67</v>
      </c>
      <c r="C23" s="652">
        <v>14</v>
      </c>
      <c r="D23" s="660">
        <f t="shared" si="0"/>
        <v>56</v>
      </c>
      <c r="E23" s="651">
        <v>4</v>
      </c>
      <c r="F23" s="1092"/>
      <c r="G23" s="706"/>
      <c r="H23" s="260" t="s">
        <v>725</v>
      </c>
      <c r="I23" s="260"/>
      <c r="J23" s="260"/>
    </row>
    <row r="24" spans="1:10" s="149" customFormat="1" ht="15" customHeight="1">
      <c r="A24" s="689">
        <v>6</v>
      </c>
      <c r="B24" s="707" t="s">
        <v>540</v>
      </c>
      <c r="C24" s="653">
        <v>16</v>
      </c>
      <c r="D24" s="660">
        <f t="shared" si="0"/>
        <v>64</v>
      </c>
      <c r="E24" s="651">
        <v>4</v>
      </c>
      <c r="F24" s="1092"/>
      <c r="G24" s="706"/>
      <c r="H24" s="260" t="s">
        <v>725</v>
      </c>
      <c r="I24" s="260"/>
      <c r="J24" s="260"/>
    </row>
    <row r="25" spans="1:10" s="149" customFormat="1" ht="15" customHeight="1">
      <c r="A25" s="689">
        <v>7</v>
      </c>
      <c r="B25" s="708" t="s">
        <v>550</v>
      </c>
      <c r="C25" s="653">
        <v>14</v>
      </c>
      <c r="D25" s="660">
        <f t="shared" si="0"/>
        <v>56</v>
      </c>
      <c r="E25" s="651">
        <v>4</v>
      </c>
      <c r="F25" s="1092"/>
      <c r="G25" s="709"/>
      <c r="H25" s="260" t="s">
        <v>725</v>
      </c>
      <c r="I25" s="260"/>
      <c r="J25" s="260"/>
    </row>
    <row r="26" spans="1:10" s="149" customFormat="1" ht="15" customHeight="1">
      <c r="A26" s="689">
        <v>8</v>
      </c>
      <c r="B26" s="710" t="s">
        <v>542</v>
      </c>
      <c r="C26" s="652">
        <v>8</v>
      </c>
      <c r="D26" s="660">
        <f t="shared" si="0"/>
        <v>32</v>
      </c>
      <c r="E26" s="651">
        <v>4</v>
      </c>
      <c r="F26" s="1092"/>
      <c r="G26" s="706"/>
      <c r="H26" s="260" t="s">
        <v>725</v>
      </c>
      <c r="I26" s="260"/>
      <c r="J26" s="260"/>
    </row>
    <row r="27" spans="1:10" s="149" customFormat="1" ht="15" customHeight="1">
      <c r="A27" s="689">
        <v>9</v>
      </c>
      <c r="B27" s="710" t="s">
        <v>528</v>
      </c>
      <c r="C27" s="652">
        <v>9</v>
      </c>
      <c r="D27" s="660">
        <f t="shared" si="0"/>
        <v>36</v>
      </c>
      <c r="E27" s="651">
        <v>4</v>
      </c>
      <c r="F27" s="1092"/>
      <c r="G27" s="706"/>
      <c r="H27" s="260" t="s">
        <v>725</v>
      </c>
      <c r="I27" s="260"/>
      <c r="J27" s="260"/>
    </row>
    <row r="28" spans="1:10" s="149" customFormat="1" ht="15" customHeight="1">
      <c r="A28" s="689">
        <v>10</v>
      </c>
      <c r="B28" s="710" t="s">
        <v>538</v>
      </c>
      <c r="C28" s="652">
        <v>16</v>
      </c>
      <c r="D28" s="660">
        <f t="shared" si="0"/>
        <v>64</v>
      </c>
      <c r="E28" s="651">
        <v>4</v>
      </c>
      <c r="F28" s="1092"/>
      <c r="G28" s="706" t="s">
        <v>569</v>
      </c>
      <c r="H28" s="260" t="s">
        <v>725</v>
      </c>
      <c r="I28" s="260"/>
      <c r="J28" s="260"/>
    </row>
    <row r="29" spans="1:10" s="149" customFormat="1" ht="15" customHeight="1">
      <c r="A29" s="689">
        <v>11</v>
      </c>
      <c r="B29" s="710" t="s">
        <v>553</v>
      </c>
      <c r="C29" s="652">
        <v>15</v>
      </c>
      <c r="D29" s="660">
        <f t="shared" si="0"/>
        <v>60</v>
      </c>
      <c r="E29" s="651">
        <v>4</v>
      </c>
      <c r="F29" s="1092"/>
      <c r="G29" s="706" t="s">
        <v>568</v>
      </c>
      <c r="H29" s="260" t="s">
        <v>725</v>
      </c>
      <c r="I29" s="260"/>
      <c r="J29" s="260"/>
    </row>
    <row r="30" spans="1:10" s="149" customFormat="1" ht="15" customHeight="1">
      <c r="A30" s="689">
        <v>12</v>
      </c>
      <c r="B30" s="710" t="s">
        <v>552</v>
      </c>
      <c r="C30" s="652">
        <v>12</v>
      </c>
      <c r="D30" s="660">
        <f t="shared" si="0"/>
        <v>48</v>
      </c>
      <c r="E30" s="651">
        <v>4</v>
      </c>
      <c r="F30" s="1092"/>
      <c r="G30" s="706"/>
      <c r="H30" s="260" t="s">
        <v>725</v>
      </c>
      <c r="I30" s="260"/>
      <c r="J30" s="260"/>
    </row>
    <row r="31" spans="1:10" s="149" customFormat="1" ht="15" customHeight="1">
      <c r="A31" s="689">
        <v>13</v>
      </c>
      <c r="B31" s="711" t="s">
        <v>517</v>
      </c>
      <c r="C31" s="648">
        <v>24</v>
      </c>
      <c r="D31" s="660">
        <f t="shared" si="0"/>
        <v>96</v>
      </c>
      <c r="E31" s="651">
        <v>4</v>
      </c>
      <c r="F31" s="1092"/>
      <c r="G31" s="706"/>
      <c r="H31" s="260" t="s">
        <v>723</v>
      </c>
      <c r="I31" s="260"/>
      <c r="J31" s="260"/>
    </row>
    <row r="32" spans="1:10" s="149" customFormat="1" ht="15" customHeight="1">
      <c r="A32" s="689">
        <v>14</v>
      </c>
      <c r="B32" s="711" t="s">
        <v>519</v>
      </c>
      <c r="C32" s="648">
        <v>5</v>
      </c>
      <c r="D32" s="660">
        <f t="shared" si="0"/>
        <v>20</v>
      </c>
      <c r="E32" s="651">
        <v>4</v>
      </c>
      <c r="F32" s="1092"/>
      <c r="G32" s="706"/>
      <c r="H32" s="260" t="s">
        <v>725</v>
      </c>
      <c r="I32" s="260"/>
      <c r="J32" s="260"/>
    </row>
    <row r="33" spans="1:10" s="149" customFormat="1" ht="15" customHeight="1">
      <c r="A33" s="689">
        <v>15</v>
      </c>
      <c r="B33" s="711" t="s">
        <v>520</v>
      </c>
      <c r="C33" s="648">
        <v>10</v>
      </c>
      <c r="D33" s="660">
        <f t="shared" si="0"/>
        <v>40</v>
      </c>
      <c r="E33" s="651">
        <v>4</v>
      </c>
      <c r="F33" s="1092"/>
      <c r="G33" s="706"/>
      <c r="H33" s="260" t="s">
        <v>725</v>
      </c>
      <c r="I33" s="260"/>
      <c r="J33" s="260"/>
    </row>
    <row r="34" spans="1:10" s="149" customFormat="1" ht="15" customHeight="1">
      <c r="A34" s="689">
        <v>16</v>
      </c>
      <c r="B34" s="711" t="s">
        <v>521</v>
      </c>
      <c r="C34" s="648">
        <v>16</v>
      </c>
      <c r="D34" s="660">
        <f t="shared" si="0"/>
        <v>64</v>
      </c>
      <c r="E34" s="651">
        <v>4</v>
      </c>
      <c r="F34" s="1092"/>
      <c r="G34" s="706"/>
      <c r="H34" s="260" t="s">
        <v>725</v>
      </c>
      <c r="I34" s="260"/>
      <c r="J34" s="260"/>
    </row>
    <row r="35" spans="1:10" s="149" customFormat="1" ht="15" customHeight="1">
      <c r="A35" s="689">
        <v>17</v>
      </c>
      <c r="B35" s="711" t="s">
        <v>573</v>
      </c>
      <c r="C35" s="649">
        <v>36</v>
      </c>
      <c r="D35" s="660">
        <f t="shared" si="0"/>
        <v>144</v>
      </c>
      <c r="E35" s="651">
        <v>4</v>
      </c>
      <c r="F35" s="1092"/>
      <c r="G35" s="706"/>
      <c r="H35" s="260"/>
      <c r="I35" s="260"/>
      <c r="J35" s="260"/>
    </row>
    <row r="36" spans="1:10" s="149" customFormat="1" ht="15" customHeight="1">
      <c r="A36" s="689">
        <v>18</v>
      </c>
      <c r="B36" s="712" t="s">
        <v>574</v>
      </c>
      <c r="C36" s="649">
        <v>21</v>
      </c>
      <c r="D36" s="660">
        <f t="shared" si="0"/>
        <v>84</v>
      </c>
      <c r="E36" s="651">
        <v>4</v>
      </c>
      <c r="F36" s="1092"/>
      <c r="G36" s="706"/>
      <c r="H36" s="260"/>
      <c r="I36" s="260"/>
      <c r="J36" s="260"/>
    </row>
    <row r="37" spans="1:10" s="149" customFormat="1" ht="15" customHeight="1">
      <c r="A37" s="689">
        <v>19</v>
      </c>
      <c r="B37" s="712" t="s">
        <v>575</v>
      </c>
      <c r="C37" s="649">
        <v>18</v>
      </c>
      <c r="D37" s="660">
        <f t="shared" si="0"/>
        <v>72</v>
      </c>
      <c r="E37" s="651">
        <v>4</v>
      </c>
      <c r="F37" s="1092"/>
      <c r="G37" s="706"/>
      <c r="H37" s="260"/>
      <c r="I37" s="260"/>
      <c r="J37" s="260"/>
    </row>
    <row r="38" spans="1:10" s="149" customFormat="1" ht="15" customHeight="1">
      <c r="A38" s="689">
        <v>20</v>
      </c>
      <c r="B38" s="712" t="s">
        <v>576</v>
      </c>
      <c r="C38" s="649">
        <v>21</v>
      </c>
      <c r="D38" s="660">
        <f t="shared" si="0"/>
        <v>84</v>
      </c>
      <c r="E38" s="656">
        <v>4</v>
      </c>
      <c r="F38" s="1092"/>
      <c r="G38" s="706"/>
      <c r="H38" s="260"/>
      <c r="I38" s="260"/>
      <c r="J38" s="260"/>
    </row>
    <row r="39" spans="1:10" s="149" customFormat="1" ht="15" hidden="1" customHeight="1">
      <c r="A39" s="689">
        <v>21</v>
      </c>
      <c r="B39" s="713" t="s">
        <v>543</v>
      </c>
      <c r="C39" s="516">
        <v>12</v>
      </c>
      <c r="D39" s="657">
        <v>72</v>
      </c>
      <c r="E39" s="658">
        <f>D39/C39</f>
        <v>6</v>
      </c>
      <c r="F39" s="1092"/>
      <c r="G39" s="706"/>
      <c r="H39" s="260"/>
      <c r="I39" s="260"/>
      <c r="J39" s="260"/>
    </row>
    <row r="40" spans="1:10" s="149" customFormat="1" ht="15" hidden="1" customHeight="1">
      <c r="A40" s="689">
        <v>22</v>
      </c>
      <c r="B40" s="713" t="s">
        <v>545</v>
      </c>
      <c r="C40" s="516"/>
      <c r="D40" s="657"/>
      <c r="E40" s="658"/>
      <c r="F40" s="1092"/>
      <c r="G40" s="706"/>
      <c r="H40" s="260"/>
      <c r="I40" s="260"/>
      <c r="J40" s="260"/>
    </row>
    <row r="41" spans="1:10" s="149" customFormat="1" ht="15" hidden="1" customHeight="1">
      <c r="A41" s="689">
        <v>23</v>
      </c>
      <c r="B41" s="713" t="s">
        <v>547</v>
      </c>
      <c r="C41" s="516"/>
      <c r="D41" s="657"/>
      <c r="E41" s="658"/>
      <c r="F41" s="1092"/>
      <c r="G41" s="706"/>
      <c r="H41" s="260"/>
      <c r="I41" s="260"/>
      <c r="J41" s="260"/>
    </row>
    <row r="42" spans="1:10" s="149" customFormat="1" ht="15" customHeight="1">
      <c r="A42" s="690">
        <v>24</v>
      </c>
      <c r="B42" s="714" t="s">
        <v>641</v>
      </c>
      <c r="C42" s="654">
        <v>72</v>
      </c>
      <c r="D42" s="654">
        <f>C42*E42</f>
        <v>288</v>
      </c>
      <c r="E42" s="654">
        <v>4</v>
      </c>
      <c r="F42" s="1092"/>
      <c r="G42" s="715"/>
      <c r="H42" s="260"/>
      <c r="I42" s="260"/>
      <c r="J42" s="260"/>
    </row>
    <row r="43" spans="1:10" s="149" customFormat="1" ht="15" customHeight="1">
      <c r="A43" s="691">
        <v>25</v>
      </c>
      <c r="B43" s="716" t="s">
        <v>738</v>
      </c>
      <c r="C43" s="655">
        <v>18</v>
      </c>
      <c r="D43" s="655">
        <v>72</v>
      </c>
      <c r="E43" s="655">
        <f>D43/C43</f>
        <v>4</v>
      </c>
      <c r="F43" s="1092"/>
      <c r="G43" s="706"/>
      <c r="H43" s="260"/>
      <c r="I43" s="260"/>
      <c r="J43" s="260"/>
    </row>
    <row r="44" spans="1:10" s="149" customFormat="1" ht="15" customHeight="1">
      <c r="A44" s="691">
        <v>26</v>
      </c>
      <c r="B44" s="716" t="s">
        <v>622</v>
      </c>
      <c r="C44" s="655">
        <v>48</v>
      </c>
      <c r="D44" s="655">
        <v>192</v>
      </c>
      <c r="E44" s="655">
        <f>D44/C44</f>
        <v>4</v>
      </c>
      <c r="F44" s="1092"/>
      <c r="G44" s="706"/>
      <c r="H44" s="260"/>
      <c r="I44" s="260"/>
      <c r="J44" s="260"/>
    </row>
    <row r="45" spans="1:10" s="149" customFormat="1" ht="15" customHeight="1">
      <c r="A45" s="691">
        <v>27</v>
      </c>
      <c r="B45" s="716" t="s">
        <v>603</v>
      </c>
      <c r="C45" s="655">
        <v>12</v>
      </c>
      <c r="D45" s="655">
        <v>48</v>
      </c>
      <c r="E45" s="655">
        <f>D45/C45</f>
        <v>4</v>
      </c>
      <c r="F45" s="1092"/>
      <c r="G45" s="706"/>
      <c r="H45" s="260"/>
      <c r="I45" s="260"/>
      <c r="J45" s="260"/>
    </row>
    <row r="46" spans="1:10" s="149" customFormat="1" ht="15" customHeight="1">
      <c r="A46" s="691">
        <v>28</v>
      </c>
      <c r="B46" s="716" t="s">
        <v>606</v>
      </c>
      <c r="C46" s="655">
        <v>9</v>
      </c>
      <c r="D46" s="655">
        <v>36</v>
      </c>
      <c r="E46" s="655">
        <v>4</v>
      </c>
      <c r="F46" s="1092"/>
      <c r="G46" s="706"/>
      <c r="H46" s="260"/>
      <c r="I46" s="260"/>
      <c r="J46" s="260"/>
    </row>
    <row r="47" spans="1:10" s="149" customFormat="1" ht="15" customHeight="1">
      <c r="A47" s="691">
        <v>29</v>
      </c>
      <c r="B47" s="716" t="s">
        <v>655</v>
      </c>
      <c r="C47" s="650">
        <v>45</v>
      </c>
      <c r="D47" s="655">
        <f t="shared" ref="D47:D56" si="1">C47*E47</f>
        <v>180</v>
      </c>
      <c r="E47" s="655">
        <v>4</v>
      </c>
      <c r="F47" s="1092"/>
      <c r="G47" s="706"/>
      <c r="H47" s="260"/>
      <c r="I47" s="260"/>
      <c r="J47" s="260"/>
    </row>
    <row r="48" spans="1:10" s="149" customFormat="1" ht="15" customHeight="1">
      <c r="A48" s="691">
        <v>30</v>
      </c>
      <c r="B48" s="716" t="s">
        <v>656</v>
      </c>
      <c r="C48" s="650">
        <v>15</v>
      </c>
      <c r="D48" s="655">
        <f t="shared" si="1"/>
        <v>60</v>
      </c>
      <c r="E48" s="655">
        <v>4</v>
      </c>
      <c r="F48" s="1092"/>
      <c r="G48" s="706"/>
      <c r="H48" s="260"/>
      <c r="I48" s="260"/>
      <c r="J48" s="260"/>
    </row>
    <row r="49" spans="1:10" s="149" customFormat="1" ht="15" customHeight="1">
      <c r="A49" s="691">
        <v>31</v>
      </c>
      <c r="B49" s="716" t="s">
        <v>657</v>
      </c>
      <c r="C49" s="650">
        <v>30</v>
      </c>
      <c r="D49" s="655">
        <f t="shared" si="1"/>
        <v>120</v>
      </c>
      <c r="E49" s="655">
        <v>4</v>
      </c>
      <c r="F49" s="1092"/>
      <c r="G49" s="706"/>
      <c r="H49" s="260"/>
      <c r="I49" s="260"/>
      <c r="J49" s="260"/>
    </row>
    <row r="50" spans="1:10" s="149" customFormat="1" ht="15" customHeight="1">
      <c r="A50" s="691">
        <v>32</v>
      </c>
      <c r="B50" s="716" t="s">
        <v>669</v>
      </c>
      <c r="C50" s="650">
        <v>40</v>
      </c>
      <c r="D50" s="655">
        <f t="shared" si="1"/>
        <v>160</v>
      </c>
      <c r="E50" s="655">
        <v>4</v>
      </c>
      <c r="F50" s="1092"/>
      <c r="G50" s="706"/>
      <c r="H50" s="260"/>
      <c r="I50" s="260"/>
      <c r="J50" s="260"/>
    </row>
    <row r="51" spans="1:10" s="149" customFormat="1" ht="15" customHeight="1">
      <c r="A51" s="691">
        <v>33</v>
      </c>
      <c r="B51" s="716" t="s">
        <v>713</v>
      </c>
      <c r="C51" s="650">
        <v>22</v>
      </c>
      <c r="D51" s="655">
        <f t="shared" si="1"/>
        <v>88</v>
      </c>
      <c r="E51" s="655">
        <v>4</v>
      </c>
      <c r="F51" s="1092"/>
      <c r="G51" s="706"/>
      <c r="H51" s="260"/>
      <c r="I51" s="260"/>
      <c r="J51" s="260"/>
    </row>
    <row r="52" spans="1:10" s="149" customFormat="1" ht="15" customHeight="1">
      <c r="A52" s="691">
        <v>34</v>
      </c>
      <c r="B52" s="716" t="s">
        <v>662</v>
      </c>
      <c r="C52" s="650">
        <v>20</v>
      </c>
      <c r="D52" s="655">
        <f t="shared" si="1"/>
        <v>80</v>
      </c>
      <c r="E52" s="655">
        <v>4</v>
      </c>
      <c r="F52" s="1092"/>
      <c r="G52" s="706"/>
      <c r="H52" s="260"/>
      <c r="I52" s="260"/>
      <c r="J52" s="260"/>
    </row>
    <row r="53" spans="1:10" s="149" customFormat="1" ht="15" customHeight="1">
      <c r="A53" s="691">
        <v>35</v>
      </c>
      <c r="B53" s="716" t="s">
        <v>663</v>
      </c>
      <c r="C53" s="650">
        <v>16</v>
      </c>
      <c r="D53" s="655">
        <f t="shared" si="1"/>
        <v>64</v>
      </c>
      <c r="E53" s="655">
        <v>4</v>
      </c>
      <c r="F53" s="1092"/>
      <c r="G53" s="706"/>
      <c r="H53" s="260"/>
      <c r="I53" s="260"/>
      <c r="J53" s="260"/>
    </row>
    <row r="54" spans="1:10" s="149" customFormat="1" ht="15" customHeight="1">
      <c r="A54" s="691">
        <v>36</v>
      </c>
      <c r="B54" s="716" t="s">
        <v>722</v>
      </c>
      <c r="C54" s="650">
        <v>20</v>
      </c>
      <c r="D54" s="655">
        <f t="shared" si="1"/>
        <v>80</v>
      </c>
      <c r="E54" s="655">
        <v>4</v>
      </c>
      <c r="F54" s="1093"/>
      <c r="G54" s="706"/>
      <c r="H54" s="260"/>
      <c r="I54" s="260"/>
      <c r="J54" s="260"/>
    </row>
    <row r="55" spans="1:10" s="149" customFormat="1" ht="15" customHeight="1">
      <c r="A55" s="736"/>
      <c r="B55" s="731" t="s">
        <v>664</v>
      </c>
      <c r="C55" s="732">
        <v>8</v>
      </c>
      <c r="D55" s="733">
        <f t="shared" si="1"/>
        <v>32</v>
      </c>
      <c r="E55" s="733">
        <v>4</v>
      </c>
      <c r="F55" s="734" t="s">
        <v>721</v>
      </c>
      <c r="G55" s="735"/>
      <c r="H55" s="260"/>
      <c r="I55" s="260"/>
      <c r="J55" s="260"/>
    </row>
    <row r="56" spans="1:10" s="149" customFormat="1" ht="15" customHeight="1">
      <c r="A56" s="692">
        <v>1</v>
      </c>
      <c r="B56" s="724" t="s">
        <v>374</v>
      </c>
      <c r="C56" s="659">
        <f>66</f>
        <v>66</v>
      </c>
      <c r="D56" s="659">
        <f t="shared" si="1"/>
        <v>264</v>
      </c>
      <c r="E56" s="659">
        <v>4</v>
      </c>
      <c r="F56" s="224" t="s">
        <v>222</v>
      </c>
      <c r="G56" s="224"/>
      <c r="H56" s="260"/>
      <c r="I56" s="260"/>
      <c r="J56" s="260"/>
    </row>
    <row r="57" spans="1:10">
      <c r="A57" s="693"/>
      <c r="B57" s="498" t="s">
        <v>427</v>
      </c>
      <c r="C57" s="500"/>
      <c r="D57" s="498"/>
      <c r="E57" s="498"/>
      <c r="F57" s="500" t="s">
        <v>428</v>
      </c>
      <c r="G57" s="500"/>
    </row>
    <row r="58" spans="1:10">
      <c r="A58" s="694"/>
      <c r="B58" s="498" t="s">
        <v>437</v>
      </c>
      <c r="C58" s="500"/>
      <c r="D58" s="498"/>
      <c r="E58" s="498"/>
      <c r="F58" s="500" t="s">
        <v>438</v>
      </c>
      <c r="G58" s="500"/>
    </row>
    <row r="59" spans="1:10">
      <c r="A59" s="818"/>
      <c r="B59" s="159"/>
      <c r="C59" s="172"/>
      <c r="D59" s="159"/>
      <c r="E59" s="159"/>
      <c r="F59" s="172"/>
      <c r="G59" s="172"/>
    </row>
    <row r="60" spans="1:10">
      <c r="A60" s="818"/>
      <c r="B60" s="159"/>
      <c r="C60" s="172"/>
      <c r="D60" s="159"/>
      <c r="E60" s="159"/>
      <c r="F60" s="172"/>
      <c r="G60" s="172"/>
    </row>
    <row r="61" spans="1:10">
      <c r="A61" s="818"/>
      <c r="B61" s="159"/>
      <c r="C61" s="172"/>
      <c r="D61" s="159"/>
      <c r="E61" s="159"/>
      <c r="F61" s="172"/>
      <c r="G61" s="172"/>
    </row>
    <row r="62" spans="1:10">
      <c r="A62" s="818"/>
      <c r="B62" s="159"/>
      <c r="C62" s="172"/>
      <c r="D62" s="159"/>
      <c r="E62" s="159"/>
      <c r="F62" s="172"/>
      <c r="G62" s="172"/>
    </row>
    <row r="63" spans="1:10">
      <c r="A63" s="818"/>
      <c r="B63" s="159"/>
      <c r="C63" s="172"/>
      <c r="D63" s="159"/>
      <c r="E63" s="159"/>
      <c r="F63" s="172"/>
      <c r="G63" s="172"/>
    </row>
    <row r="64" spans="1:10">
      <c r="A64" s="818"/>
      <c r="B64" s="159"/>
      <c r="C64" s="172"/>
      <c r="D64" s="159"/>
      <c r="E64" s="159"/>
      <c r="F64" s="172"/>
      <c r="G64" s="172"/>
    </row>
    <row r="65" spans="1:9">
      <c r="A65" s="818"/>
      <c r="B65" s="159"/>
      <c r="C65" s="172"/>
      <c r="D65" s="159"/>
      <c r="E65" s="159"/>
      <c r="F65" s="172"/>
      <c r="G65" s="172"/>
    </row>
    <row r="66" spans="1:9">
      <c r="C66" s="547"/>
    </row>
    <row r="67" spans="1:9" ht="41.25" thickBot="1">
      <c r="A67" s="1098" t="s">
        <v>705</v>
      </c>
      <c r="B67" s="1098"/>
      <c r="C67" s="1098"/>
      <c r="D67" s="1098"/>
      <c r="E67" s="1098"/>
      <c r="F67" s="1098"/>
      <c r="G67" s="1098"/>
      <c r="H67" s="1098"/>
      <c r="I67" s="1098"/>
    </row>
    <row r="68" spans="1:9" ht="20.25" thickBot="1">
      <c r="A68" s="1099" t="s">
        <v>358</v>
      </c>
      <c r="B68" s="1101" t="s">
        <v>706</v>
      </c>
      <c r="C68" s="1103" t="s">
        <v>627</v>
      </c>
      <c r="D68" s="1104"/>
      <c r="E68" s="1105"/>
      <c r="F68" s="1106" t="s">
        <v>628</v>
      </c>
      <c r="G68" s="1107"/>
      <c r="H68" s="1107"/>
      <c r="I68" s="1108"/>
    </row>
    <row r="69" spans="1:9" ht="18.75" thickBot="1">
      <c r="A69" s="1100"/>
      <c r="B69" s="1102"/>
      <c r="C69" s="676" t="s">
        <v>629</v>
      </c>
      <c r="D69" s="676" t="s">
        <v>259</v>
      </c>
      <c r="E69" s="677" t="s">
        <v>631</v>
      </c>
      <c r="F69" s="678" t="s">
        <v>629</v>
      </c>
      <c r="G69" s="678" t="s">
        <v>630</v>
      </c>
      <c r="H69" s="678" t="s">
        <v>259</v>
      </c>
      <c r="I69" s="679" t="s">
        <v>631</v>
      </c>
    </row>
    <row r="70" spans="1:9" ht="16.5">
      <c r="A70" s="680">
        <v>1</v>
      </c>
      <c r="B70" s="680" t="s">
        <v>707</v>
      </c>
      <c r="C70" s="681">
        <v>36</v>
      </c>
      <c r="D70" s="681" t="s">
        <v>418</v>
      </c>
      <c r="E70" s="682">
        <v>16</v>
      </c>
      <c r="F70" s="683">
        <v>72</v>
      </c>
      <c r="G70" s="684">
        <v>576</v>
      </c>
      <c r="H70" s="683" t="s">
        <v>326</v>
      </c>
      <c r="I70" s="684">
        <v>8</v>
      </c>
    </row>
    <row r="71" spans="1:9" ht="16.5">
      <c r="A71" s="680">
        <v>2</v>
      </c>
      <c r="B71" s="680" t="s">
        <v>708</v>
      </c>
      <c r="C71" s="681">
        <v>40</v>
      </c>
      <c r="D71" s="681" t="s">
        <v>326</v>
      </c>
      <c r="E71" s="681">
        <v>8</v>
      </c>
      <c r="F71" s="683">
        <v>50</v>
      </c>
      <c r="G71" s="683">
        <v>400</v>
      </c>
      <c r="H71" s="683" t="s">
        <v>326</v>
      </c>
      <c r="I71" s="683">
        <v>8</v>
      </c>
    </row>
    <row r="72" spans="1:9" ht="16.5">
      <c r="A72" s="680">
        <v>3</v>
      </c>
      <c r="B72" s="680" t="s">
        <v>709</v>
      </c>
      <c r="C72" s="681">
        <v>30</v>
      </c>
      <c r="D72" s="681" t="s">
        <v>326</v>
      </c>
      <c r="E72" s="681">
        <v>8</v>
      </c>
      <c r="F72" s="683">
        <v>60</v>
      </c>
      <c r="G72" s="683">
        <v>240</v>
      </c>
      <c r="H72" s="683" t="s">
        <v>267</v>
      </c>
      <c r="I72" s="683">
        <v>4</v>
      </c>
    </row>
    <row r="73" spans="1:9" ht="16.5">
      <c r="A73" s="680">
        <v>4</v>
      </c>
      <c r="B73" s="680" t="s">
        <v>710</v>
      </c>
      <c r="C73" s="681">
        <v>15</v>
      </c>
      <c r="D73" s="681" t="s">
        <v>267</v>
      </c>
      <c r="E73" s="681">
        <v>4</v>
      </c>
      <c r="F73" s="683">
        <v>16</v>
      </c>
      <c r="G73" s="683">
        <v>64</v>
      </c>
      <c r="H73" s="683" t="s">
        <v>267</v>
      </c>
      <c r="I73" s="683">
        <v>4</v>
      </c>
    </row>
    <row r="74" spans="1:9" ht="16.5">
      <c r="A74" s="680">
        <v>5</v>
      </c>
      <c r="B74" s="680" t="s">
        <v>711</v>
      </c>
      <c r="C74" s="681">
        <v>24</v>
      </c>
      <c r="D74" s="681" t="s">
        <v>267</v>
      </c>
      <c r="E74" s="681">
        <v>4</v>
      </c>
      <c r="F74" s="683">
        <v>30</v>
      </c>
      <c r="G74" s="683">
        <v>120</v>
      </c>
      <c r="H74" s="683" t="s">
        <v>267</v>
      </c>
      <c r="I74" s="683">
        <v>4</v>
      </c>
    </row>
    <row r="75" spans="1:9" ht="16.5">
      <c r="A75" s="680">
        <v>6</v>
      </c>
      <c r="B75" s="680" t="s">
        <v>712</v>
      </c>
      <c r="C75" s="681">
        <v>108</v>
      </c>
      <c r="D75" s="681" t="s">
        <v>326</v>
      </c>
      <c r="E75" s="681">
        <v>8</v>
      </c>
      <c r="F75" s="683">
        <v>120</v>
      </c>
      <c r="G75" s="683">
        <v>960</v>
      </c>
      <c r="H75" s="683" t="s">
        <v>326</v>
      </c>
      <c r="I75" s="683">
        <v>8</v>
      </c>
    </row>
    <row r="76" spans="1:9" ht="16.5">
      <c r="A76" s="680">
        <v>7</v>
      </c>
      <c r="B76" s="680" t="s">
        <v>713</v>
      </c>
      <c r="C76" s="681">
        <v>20</v>
      </c>
      <c r="D76" s="681" t="s">
        <v>267</v>
      </c>
      <c r="E76" s="681">
        <v>4</v>
      </c>
      <c r="F76" s="683">
        <v>22</v>
      </c>
      <c r="G76" s="683">
        <v>88</v>
      </c>
      <c r="H76" s="683" t="s">
        <v>267</v>
      </c>
      <c r="I76" s="683">
        <v>4</v>
      </c>
    </row>
    <row r="77" spans="1:9" ht="16.5">
      <c r="A77" s="680">
        <v>8</v>
      </c>
      <c r="B77" s="680" t="s">
        <v>714</v>
      </c>
      <c r="C77" s="681">
        <v>32</v>
      </c>
      <c r="D77" s="681" t="s">
        <v>267</v>
      </c>
      <c r="E77" s="681">
        <v>4</v>
      </c>
      <c r="F77" s="683">
        <v>40</v>
      </c>
      <c r="G77" s="683">
        <v>160</v>
      </c>
      <c r="H77" s="683" t="s">
        <v>267</v>
      </c>
      <c r="I77" s="683">
        <v>4</v>
      </c>
    </row>
  </sheetData>
  <mergeCells count="22">
    <mergeCell ref="F19:F54"/>
    <mergeCell ref="F5:F7"/>
    <mergeCell ref="G5:G7"/>
    <mergeCell ref="A11:A12"/>
    <mergeCell ref="B11:B12"/>
    <mergeCell ref="C11:C12"/>
    <mergeCell ref="D11:D12"/>
    <mergeCell ref="E11:E12"/>
    <mergeCell ref="F8:F18"/>
    <mergeCell ref="B1:G1"/>
    <mergeCell ref="A3:A4"/>
    <mergeCell ref="B3:B4"/>
    <mergeCell ref="C3:C4"/>
    <mergeCell ref="D3:D4"/>
    <mergeCell ref="E3:E4"/>
    <mergeCell ref="F3:F4"/>
    <mergeCell ref="G3:G4"/>
    <mergeCell ref="A67:I67"/>
    <mergeCell ref="A68:A69"/>
    <mergeCell ref="B68:B69"/>
    <mergeCell ref="C68:E68"/>
    <mergeCell ref="F68:I68"/>
  </mergeCells>
  <printOptions horizontalCentered="1"/>
  <pageMargins left="0" right="0" top="1.0900000000000001" bottom="0.05" header="0" footer="0.2"/>
  <pageSetup paperSize="9" scale="66" orientation="portrait" r:id="rId1"/>
  <headerFooter>
    <oddHeader>&amp;L&amp;"Arial Black,Regular"PT.QUTY KARUNIA&amp;R18/07/2013</oddHeader>
  </headerFooter>
  <colBreaks count="1" manualBreakCount="1">
    <brk id="7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J39"/>
  <sheetViews>
    <sheetView topLeftCell="A6" workbookViewId="0">
      <selection activeCell="C12" sqref="C12"/>
    </sheetView>
  </sheetViews>
  <sheetFormatPr defaultRowHeight="15"/>
  <cols>
    <col min="1" max="1" width="6.140625" customWidth="1"/>
    <col min="2" max="2" width="42.85546875" customWidth="1"/>
    <col min="3" max="3" width="54.7109375" customWidth="1"/>
    <col min="4" max="5" width="15" customWidth="1"/>
    <col min="10" max="10" width="10.5703125" bestFit="1" customWidth="1"/>
  </cols>
  <sheetData>
    <row r="2" spans="1:10" ht="26.25">
      <c r="A2" s="1135" t="s">
        <v>678</v>
      </c>
      <c r="B2" s="1135"/>
      <c r="C2" s="1135"/>
      <c r="D2" s="1135"/>
      <c r="E2" s="1135"/>
    </row>
    <row r="3" spans="1:10" ht="15" customHeight="1">
      <c r="A3" s="1131" t="s">
        <v>358</v>
      </c>
      <c r="B3" s="1132" t="s">
        <v>255</v>
      </c>
      <c r="C3" s="1133" t="s">
        <v>659</v>
      </c>
      <c r="D3" s="1129" t="s">
        <v>672</v>
      </c>
      <c r="E3" s="1129" t="s">
        <v>673</v>
      </c>
    </row>
    <row r="4" spans="1:10">
      <c r="A4" s="1131"/>
      <c r="B4" s="1132"/>
      <c r="C4" s="1134"/>
      <c r="D4" s="1130"/>
      <c r="E4" s="1130"/>
    </row>
    <row r="5" spans="1:10" ht="20.100000000000001" customHeight="1">
      <c r="A5" s="1126">
        <v>1</v>
      </c>
      <c r="B5" s="1123" t="s">
        <v>658</v>
      </c>
      <c r="C5" s="665" t="s">
        <v>686</v>
      </c>
      <c r="D5" s="666" t="s">
        <v>675</v>
      </c>
      <c r="E5" s="666"/>
    </row>
    <row r="6" spans="1:10" ht="20.100000000000001" customHeight="1">
      <c r="A6" s="1127"/>
      <c r="B6" s="1124"/>
      <c r="C6" s="667" t="s">
        <v>660</v>
      </c>
      <c r="D6" s="666"/>
      <c r="E6" s="666" t="s">
        <v>688</v>
      </c>
    </row>
    <row r="7" spans="1:10" ht="20.100000000000001" customHeight="1">
      <c r="A7" s="1128"/>
      <c r="B7" s="1125"/>
      <c r="C7" s="667" t="s">
        <v>715</v>
      </c>
      <c r="D7" s="666"/>
      <c r="E7" s="666"/>
    </row>
    <row r="8" spans="1:10" ht="20.100000000000001" customHeight="1">
      <c r="A8" s="1126">
        <v>2</v>
      </c>
      <c r="B8" s="1123" t="s">
        <v>666</v>
      </c>
      <c r="C8" s="668" t="s">
        <v>677</v>
      </c>
      <c r="D8" s="666" t="s">
        <v>689</v>
      </c>
      <c r="E8" s="666"/>
    </row>
    <row r="9" spans="1:10" ht="20.100000000000001" customHeight="1">
      <c r="A9" s="1127"/>
      <c r="B9" s="1124"/>
      <c r="C9" s="668" t="s">
        <v>676</v>
      </c>
      <c r="D9" s="666" t="s">
        <v>689</v>
      </c>
      <c r="E9" s="666"/>
    </row>
    <row r="10" spans="1:10" ht="20.100000000000001" customHeight="1">
      <c r="A10" s="1127"/>
      <c r="B10" s="1124"/>
      <c r="C10" s="668" t="s">
        <v>668</v>
      </c>
      <c r="D10" s="666"/>
      <c r="E10" s="666"/>
    </row>
    <row r="11" spans="1:10" ht="20.100000000000001" customHeight="1">
      <c r="A11" s="1128"/>
      <c r="B11" s="1125"/>
      <c r="C11" s="667" t="s">
        <v>667</v>
      </c>
      <c r="D11" s="666"/>
      <c r="E11" s="666" t="s">
        <v>689</v>
      </c>
    </row>
    <row r="12" spans="1:10" s="283" customFormat="1" ht="18" customHeight="1">
      <c r="A12" s="725">
        <v>3</v>
      </c>
      <c r="B12" s="667" t="s">
        <v>662</v>
      </c>
      <c r="C12" s="667" t="s">
        <v>671</v>
      </c>
      <c r="D12" s="726" t="s">
        <v>680</v>
      </c>
      <c r="E12" s="726" t="s">
        <v>681</v>
      </c>
    </row>
    <row r="13" spans="1:10" s="283" customFormat="1" ht="18" customHeight="1">
      <c r="A13" s="725">
        <v>4</v>
      </c>
      <c r="B13" s="727" t="s">
        <v>663</v>
      </c>
      <c r="C13" s="727" t="s">
        <v>671</v>
      </c>
      <c r="D13" s="728" t="s">
        <v>585</v>
      </c>
      <c r="E13" s="728" t="s">
        <v>586</v>
      </c>
    </row>
    <row r="14" spans="1:10" s="283" customFormat="1" ht="18" customHeight="1">
      <c r="A14" s="725">
        <v>5</v>
      </c>
      <c r="B14" s="667" t="s">
        <v>664</v>
      </c>
      <c r="C14" s="667" t="s">
        <v>670</v>
      </c>
      <c r="D14" s="726" t="s">
        <v>674</v>
      </c>
      <c r="E14" s="726" t="s">
        <v>675</v>
      </c>
    </row>
    <row r="15" spans="1:10" s="283" customFormat="1" ht="18" customHeight="1">
      <c r="A15" s="725">
        <v>6</v>
      </c>
      <c r="B15" s="729" t="s">
        <v>665</v>
      </c>
      <c r="C15" s="667" t="s">
        <v>671</v>
      </c>
      <c r="D15" s="725" t="s">
        <v>680</v>
      </c>
      <c r="E15" s="725" t="s">
        <v>687</v>
      </c>
    </row>
    <row r="16" spans="1:10" s="283" customFormat="1" ht="18" customHeight="1">
      <c r="A16" s="725">
        <v>7</v>
      </c>
      <c r="B16" s="729" t="s">
        <v>669</v>
      </c>
      <c r="C16" s="729" t="s">
        <v>671</v>
      </c>
      <c r="D16" s="725" t="s">
        <v>675</v>
      </c>
      <c r="E16" s="725" t="s">
        <v>679</v>
      </c>
      <c r="J16" s="717"/>
    </row>
    <row r="17" spans="1:10" s="283" customFormat="1" ht="18" customHeight="1">
      <c r="A17" s="725">
        <v>8</v>
      </c>
      <c r="B17" s="669" t="s">
        <v>413</v>
      </c>
      <c r="C17" s="729" t="s">
        <v>671</v>
      </c>
      <c r="D17" s="726" t="s">
        <v>682</v>
      </c>
      <c r="E17" s="725" t="s">
        <v>683</v>
      </c>
      <c r="J17" s="717"/>
    </row>
    <row r="18" spans="1:10" s="283" customFormat="1" ht="18" customHeight="1">
      <c r="A18" s="725">
        <v>9</v>
      </c>
      <c r="B18" s="667" t="s">
        <v>652</v>
      </c>
      <c r="C18" s="730" t="s">
        <v>716</v>
      </c>
      <c r="D18" s="726" t="s">
        <v>684</v>
      </c>
      <c r="E18" s="725" t="s">
        <v>685</v>
      </c>
      <c r="J18" s="718"/>
    </row>
    <row r="19" spans="1:10">
      <c r="A19" s="260"/>
      <c r="B19" s="260"/>
      <c r="C19" s="260"/>
      <c r="D19" s="260"/>
      <c r="E19" s="260"/>
    </row>
    <row r="23" spans="1:10">
      <c r="B23" s="719" t="s">
        <v>718</v>
      </c>
    </row>
    <row r="24" spans="1:10">
      <c r="B24" s="673"/>
    </row>
    <row r="25" spans="1:10">
      <c r="B25" s="719" t="s">
        <v>690</v>
      </c>
    </row>
    <row r="26" spans="1:10">
      <c r="B26" s="673"/>
    </row>
    <row r="27" spans="1:10">
      <c r="B27" s="719" t="s">
        <v>719</v>
      </c>
    </row>
    <row r="28" spans="1:10">
      <c r="B28" s="673"/>
    </row>
    <row r="29" spans="1:10">
      <c r="B29" s="719" t="s">
        <v>691</v>
      </c>
      <c r="D29" s="720" t="s">
        <v>717</v>
      </c>
    </row>
    <row r="30" spans="1:10">
      <c r="B30" s="672"/>
    </row>
    <row r="31" spans="1:10">
      <c r="B31" s="672"/>
    </row>
    <row r="32" spans="1:10">
      <c r="B32" s="719" t="s">
        <v>692</v>
      </c>
    </row>
    <row r="33" spans="2:2">
      <c r="B33" s="673"/>
    </row>
    <row r="34" spans="2:2">
      <c r="B34" s="719" t="s">
        <v>720</v>
      </c>
    </row>
    <row r="35" spans="2:2">
      <c r="B35" s="673"/>
    </row>
    <row r="36" spans="2:2">
      <c r="B36" s="719" t="s">
        <v>693</v>
      </c>
    </row>
    <row r="37" spans="2:2">
      <c r="B37" s="673"/>
    </row>
    <row r="38" spans="2:2">
      <c r="B38" s="673"/>
    </row>
    <row r="39" spans="2:2">
      <c r="B39" s="673"/>
    </row>
  </sheetData>
  <mergeCells count="10">
    <mergeCell ref="E3:E4"/>
    <mergeCell ref="A3:A4"/>
    <mergeCell ref="B3:B4"/>
    <mergeCell ref="C3:C4"/>
    <mergeCell ref="A2:E2"/>
    <mergeCell ref="B5:B7"/>
    <mergeCell ref="A5:A7"/>
    <mergeCell ref="B8:B11"/>
    <mergeCell ref="A8:A11"/>
    <mergeCell ref="D3:D4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G14"/>
  <sheetViews>
    <sheetView topLeftCell="A7" workbookViewId="0">
      <selection activeCell="C10" sqref="C10"/>
    </sheetView>
  </sheetViews>
  <sheetFormatPr defaultRowHeight="15"/>
  <cols>
    <col min="1" max="1" width="6.140625" customWidth="1"/>
    <col min="2" max="2" width="41" customWidth="1"/>
    <col min="3" max="3" width="14" customWidth="1"/>
    <col min="4" max="4" width="12.85546875" customWidth="1"/>
    <col min="5" max="5" width="24.85546875" customWidth="1"/>
    <col min="7" max="7" width="13.28515625" bestFit="1" customWidth="1"/>
  </cols>
  <sheetData>
    <row r="2" spans="1:7" ht="26.25">
      <c r="A2" s="1136" t="s">
        <v>644</v>
      </c>
      <c r="B2" s="1136"/>
      <c r="C2" s="1136"/>
      <c r="D2" s="1136"/>
      <c r="E2" s="1136"/>
    </row>
    <row r="3" spans="1:7">
      <c r="A3" s="1075" t="s">
        <v>358</v>
      </c>
      <c r="B3" s="1137" t="s">
        <v>255</v>
      </c>
      <c r="C3" s="1138" t="s">
        <v>256</v>
      </c>
      <c r="D3" s="1138" t="s">
        <v>258</v>
      </c>
      <c r="E3" s="1139" t="s">
        <v>516</v>
      </c>
    </row>
    <row r="4" spans="1:7">
      <c r="A4" s="1075"/>
      <c r="B4" s="1137"/>
      <c r="C4" s="1138"/>
      <c r="D4" s="1138"/>
      <c r="E4" s="1140"/>
    </row>
    <row r="5" spans="1:7" ht="20.100000000000001" customHeight="1">
      <c r="A5" s="47">
        <v>1</v>
      </c>
      <c r="B5" s="645" t="s">
        <v>645</v>
      </c>
      <c r="C5" s="572">
        <v>12</v>
      </c>
      <c r="D5" s="573">
        <v>48</v>
      </c>
      <c r="E5" s="572" t="s">
        <v>557</v>
      </c>
      <c r="F5" t="s">
        <v>726</v>
      </c>
    </row>
    <row r="6" spans="1:7" ht="20.100000000000001" customHeight="1">
      <c r="A6" s="47">
        <v>2</v>
      </c>
      <c r="B6" s="645" t="s">
        <v>646</v>
      </c>
      <c r="C6" s="572">
        <v>45</v>
      </c>
      <c r="D6" s="573">
        <v>180</v>
      </c>
      <c r="E6" s="572" t="s">
        <v>557</v>
      </c>
      <c r="F6" t="s">
        <v>726</v>
      </c>
    </row>
    <row r="7" spans="1:7" ht="20.100000000000001" customHeight="1">
      <c r="A7" s="47">
        <v>3</v>
      </c>
      <c r="B7" s="645" t="s">
        <v>648</v>
      </c>
      <c r="C7" s="572">
        <v>20</v>
      </c>
      <c r="D7" s="573">
        <v>80</v>
      </c>
      <c r="E7" s="572" t="s">
        <v>557</v>
      </c>
      <c r="F7" t="s">
        <v>726</v>
      </c>
    </row>
    <row r="8" spans="1:7" ht="20.100000000000001" customHeight="1">
      <c r="A8" s="315">
        <v>4</v>
      </c>
      <c r="B8" s="737" t="s">
        <v>649</v>
      </c>
      <c r="C8" s="738">
        <v>15</v>
      </c>
      <c r="D8" s="739">
        <v>60</v>
      </c>
      <c r="E8" s="738" t="s">
        <v>562</v>
      </c>
    </row>
    <row r="9" spans="1:7" ht="20.100000000000001" customHeight="1">
      <c r="A9" s="47">
        <v>5</v>
      </c>
      <c r="B9" s="646" t="s">
        <v>650</v>
      </c>
      <c r="C9" s="572">
        <v>24</v>
      </c>
      <c r="D9" s="573">
        <v>96</v>
      </c>
      <c r="E9" s="572" t="s">
        <v>557</v>
      </c>
      <c r="F9" t="s">
        <v>726</v>
      </c>
    </row>
    <row r="10" spans="1:7" ht="20.100000000000001" customHeight="1">
      <c r="A10" s="47">
        <v>6</v>
      </c>
      <c r="B10" s="645" t="s">
        <v>647</v>
      </c>
      <c r="C10" s="572">
        <v>45</v>
      </c>
      <c r="D10" s="573">
        <v>360</v>
      </c>
      <c r="E10" s="572" t="s">
        <v>562</v>
      </c>
      <c r="F10" t="s">
        <v>726</v>
      </c>
      <c r="G10" s="647"/>
    </row>
    <row r="11" spans="1:7">
      <c r="G11" s="647"/>
    </row>
    <row r="12" spans="1:7">
      <c r="A12" s="480">
        <v>1</v>
      </c>
      <c r="B12" s="645" t="s">
        <v>651</v>
      </c>
      <c r="C12" s="573">
        <v>20</v>
      </c>
      <c r="D12" s="573">
        <v>80</v>
      </c>
      <c r="E12" s="572" t="s">
        <v>557</v>
      </c>
      <c r="G12" s="647"/>
    </row>
    <row r="13" spans="1:7">
      <c r="A13" s="480">
        <v>2</v>
      </c>
      <c r="B13" s="645" t="s">
        <v>652</v>
      </c>
      <c r="C13" s="573">
        <v>108</v>
      </c>
      <c r="D13" s="573">
        <f>C13*8</f>
        <v>864</v>
      </c>
      <c r="E13" s="572" t="s">
        <v>562</v>
      </c>
    </row>
    <row r="14" spans="1:7">
      <c r="A14" s="480">
        <v>3</v>
      </c>
      <c r="B14" s="645" t="s">
        <v>653</v>
      </c>
      <c r="C14" s="573">
        <v>36</v>
      </c>
      <c r="D14" s="573">
        <f>C14*8</f>
        <v>288</v>
      </c>
      <c r="E14" s="572" t="s">
        <v>562</v>
      </c>
    </row>
  </sheetData>
  <mergeCells count="6">
    <mergeCell ref="A2:E2"/>
    <mergeCell ref="A3:A4"/>
    <mergeCell ref="B3:B4"/>
    <mergeCell ref="C3:C4"/>
    <mergeCell ref="D3:D4"/>
    <mergeCell ref="E3:E4"/>
  </mergeCells>
  <printOptions horizontalCentered="1"/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G11"/>
  <sheetViews>
    <sheetView workbookViewId="0">
      <selection activeCell="F9" sqref="F9"/>
    </sheetView>
  </sheetViews>
  <sheetFormatPr defaultRowHeight="15"/>
  <cols>
    <col min="2" max="2" width="26.28515625" customWidth="1"/>
    <col min="3" max="3" width="41.42578125" customWidth="1"/>
    <col min="6" max="6" width="50.140625" customWidth="1"/>
    <col min="7" max="7" width="36.85546875" customWidth="1"/>
    <col min="8" max="8" width="18" customWidth="1"/>
  </cols>
  <sheetData>
    <row r="2" spans="1:7" ht="26.25">
      <c r="A2" s="1135" t="s">
        <v>678</v>
      </c>
      <c r="B2" s="1135"/>
      <c r="C2" s="1135"/>
      <c r="D2" s="1135"/>
      <c r="E2" s="1135"/>
      <c r="F2" s="1135"/>
      <c r="G2" s="1135"/>
    </row>
    <row r="3" spans="1:7">
      <c r="A3" s="1131" t="s">
        <v>358</v>
      </c>
      <c r="B3" s="1132" t="s">
        <v>255</v>
      </c>
      <c r="C3" s="1133" t="s">
        <v>659</v>
      </c>
      <c r="D3" s="1129" t="s">
        <v>672</v>
      </c>
      <c r="E3" s="1129" t="s">
        <v>673</v>
      </c>
      <c r="F3" s="1039" t="s">
        <v>694</v>
      </c>
      <c r="G3" s="1039" t="s">
        <v>695</v>
      </c>
    </row>
    <row r="4" spans="1:7">
      <c r="A4" s="1131"/>
      <c r="B4" s="1132"/>
      <c r="C4" s="1134"/>
      <c r="D4" s="1130"/>
      <c r="E4" s="1130"/>
      <c r="F4" s="1039"/>
      <c r="G4" s="1039"/>
    </row>
    <row r="5" spans="1:7" ht="20.100000000000001" customHeight="1">
      <c r="A5" s="1126">
        <v>1</v>
      </c>
      <c r="B5" s="1123" t="s">
        <v>658</v>
      </c>
      <c r="C5" s="665" t="s">
        <v>686</v>
      </c>
      <c r="D5" s="666" t="s">
        <v>675</v>
      </c>
      <c r="E5" s="666"/>
      <c r="F5" s="42" t="s">
        <v>704</v>
      </c>
      <c r="G5" s="42"/>
    </row>
    <row r="6" spans="1:7" ht="20.100000000000001" customHeight="1">
      <c r="A6" s="1127"/>
      <c r="B6" s="1124"/>
      <c r="C6" s="667" t="s">
        <v>660</v>
      </c>
      <c r="D6" s="666"/>
      <c r="E6" s="666" t="s">
        <v>688</v>
      </c>
      <c r="F6" s="42" t="s">
        <v>703</v>
      </c>
      <c r="G6" s="573" t="s">
        <v>701</v>
      </c>
    </row>
    <row r="7" spans="1:7" ht="20.100000000000001" customHeight="1">
      <c r="A7" s="1128"/>
      <c r="B7" s="1125"/>
      <c r="C7" s="667" t="s">
        <v>661</v>
      </c>
      <c r="D7" s="666"/>
      <c r="E7" s="666"/>
      <c r="F7" s="42" t="s">
        <v>702</v>
      </c>
      <c r="G7" s="573"/>
    </row>
    <row r="8" spans="1:7" ht="20.100000000000001" customHeight="1">
      <c r="A8" s="1126">
        <v>2</v>
      </c>
      <c r="B8" s="1123" t="s">
        <v>666</v>
      </c>
      <c r="C8" s="668" t="s">
        <v>677</v>
      </c>
      <c r="D8" s="666" t="s">
        <v>689</v>
      </c>
      <c r="E8" s="666"/>
      <c r="F8" s="42" t="s">
        <v>700</v>
      </c>
      <c r="G8" s="573"/>
    </row>
    <row r="9" spans="1:7" ht="20.100000000000001" customHeight="1">
      <c r="A9" s="1127"/>
      <c r="B9" s="1124"/>
      <c r="C9" s="668" t="s">
        <v>676</v>
      </c>
      <c r="D9" s="666" t="s">
        <v>689</v>
      </c>
      <c r="E9" s="666"/>
      <c r="F9" s="42" t="s">
        <v>699</v>
      </c>
      <c r="G9" s="573" t="s">
        <v>696</v>
      </c>
    </row>
    <row r="10" spans="1:7" ht="20.100000000000001" customHeight="1">
      <c r="A10" s="1127"/>
      <c r="B10" s="1124"/>
      <c r="C10" s="668" t="s">
        <v>668</v>
      </c>
      <c r="D10" s="666"/>
      <c r="E10" s="666"/>
      <c r="F10" s="42" t="s">
        <v>697</v>
      </c>
      <c r="G10" s="42" t="s">
        <v>698</v>
      </c>
    </row>
    <row r="11" spans="1:7" ht="20.100000000000001" customHeight="1">
      <c r="A11" s="1128"/>
      <c r="B11" s="1125"/>
      <c r="C11" s="667" t="s">
        <v>667</v>
      </c>
      <c r="D11" s="666"/>
      <c r="E11" s="666" t="s">
        <v>689</v>
      </c>
      <c r="F11" s="675" t="s">
        <v>699</v>
      </c>
      <c r="G11" s="42"/>
    </row>
  </sheetData>
  <mergeCells count="12">
    <mergeCell ref="A2:G2"/>
    <mergeCell ref="G3:G4"/>
    <mergeCell ref="A3:A4"/>
    <mergeCell ref="B3:B4"/>
    <mergeCell ref="C3:C4"/>
    <mergeCell ref="D3:D4"/>
    <mergeCell ref="E3:E4"/>
    <mergeCell ref="A5:A7"/>
    <mergeCell ref="B5:B7"/>
    <mergeCell ref="A8:A11"/>
    <mergeCell ref="B8:B11"/>
    <mergeCell ref="F3:F4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BF1F3"/>
  </sheetPr>
  <dimension ref="A1:H57"/>
  <sheetViews>
    <sheetView view="pageBreakPreview" topLeftCell="A40" zoomScaleSheetLayoutView="100" workbookViewId="0">
      <selection activeCell="D56" sqref="D56"/>
    </sheetView>
  </sheetViews>
  <sheetFormatPr defaultRowHeight="15"/>
  <cols>
    <col min="1" max="1" width="4.5703125" style="86" customWidth="1"/>
    <col min="2" max="2" width="46.7109375" style="285" customWidth="1"/>
    <col min="3" max="3" width="8.7109375" style="257" customWidth="1"/>
    <col min="4" max="4" width="14.28515625" customWidth="1"/>
    <col min="5" max="5" width="12.42578125" customWidth="1"/>
    <col min="6" max="6" width="10.42578125" customWidth="1"/>
    <col min="7" max="7" width="21.42578125" customWidth="1"/>
    <col min="8" max="8" width="20.85546875" style="257" customWidth="1"/>
    <col min="9" max="9" width="18.7109375" customWidth="1"/>
  </cols>
  <sheetData>
    <row r="1" spans="1:8" ht="26.25">
      <c r="A1" s="322"/>
      <c r="B1" s="1109" t="s">
        <v>363</v>
      </c>
      <c r="C1" s="1109"/>
      <c r="D1" s="1109"/>
      <c r="E1" s="1109"/>
      <c r="F1" s="1109"/>
      <c r="G1" s="1109"/>
      <c r="H1" s="1109"/>
    </row>
    <row r="2" spans="1:8" ht="15.75" thickBot="1">
      <c r="A2" s="323"/>
      <c r="B2" s="302"/>
      <c r="C2" s="540"/>
      <c r="D2" s="297"/>
      <c r="E2" s="297"/>
      <c r="F2" s="297"/>
      <c r="G2" s="298"/>
      <c r="H2" s="298"/>
    </row>
    <row r="3" spans="1:8" ht="24.95" customHeight="1">
      <c r="A3" s="1153" t="s">
        <v>358</v>
      </c>
      <c r="B3" s="1154" t="s">
        <v>255</v>
      </c>
      <c r="C3" s="1114" t="s">
        <v>256</v>
      </c>
      <c r="D3" s="1114" t="s">
        <v>257</v>
      </c>
      <c r="E3" s="1114" t="s">
        <v>382</v>
      </c>
      <c r="F3" s="1114" t="s">
        <v>381</v>
      </c>
      <c r="G3" s="1114" t="s">
        <v>259</v>
      </c>
      <c r="H3" s="1113" t="s">
        <v>260</v>
      </c>
    </row>
    <row r="4" spans="1:8" ht="31.5" customHeight="1">
      <c r="A4" s="1153"/>
      <c r="B4" s="1155"/>
      <c r="C4" s="1114"/>
      <c r="D4" s="1114"/>
      <c r="E4" s="1114"/>
      <c r="F4" s="1114"/>
      <c r="G4" s="1114"/>
      <c r="H4" s="1114"/>
    </row>
    <row r="5" spans="1:8" ht="15" customHeight="1">
      <c r="A5" s="328">
        <v>1</v>
      </c>
      <c r="B5" s="582" t="s">
        <v>318</v>
      </c>
      <c r="C5" s="307">
        <v>24</v>
      </c>
      <c r="D5" s="307"/>
      <c r="E5" s="307">
        <f>C5*F5</f>
        <v>384</v>
      </c>
      <c r="F5" s="307">
        <v>16</v>
      </c>
      <c r="G5" s="1117" t="s">
        <v>392</v>
      </c>
      <c r="H5" s="1065"/>
    </row>
    <row r="6" spans="1:8" ht="15" customHeight="1">
      <c r="A6" s="327">
        <v>2</v>
      </c>
      <c r="B6" s="583" t="s">
        <v>317</v>
      </c>
      <c r="C6" s="317">
        <v>30</v>
      </c>
      <c r="D6" s="317"/>
      <c r="E6" s="307">
        <f>C6*F6</f>
        <v>480</v>
      </c>
      <c r="F6" s="317">
        <v>16</v>
      </c>
      <c r="G6" s="1118"/>
      <c r="H6" s="1066"/>
    </row>
    <row r="7" spans="1:8" ht="15" customHeight="1">
      <c r="A7" s="327"/>
      <c r="B7" s="583" t="s">
        <v>643</v>
      </c>
      <c r="C7" s="420">
        <v>36</v>
      </c>
      <c r="D7" s="420"/>
      <c r="E7" s="307">
        <f>C7*F7</f>
        <v>576</v>
      </c>
      <c r="F7" s="317">
        <v>16</v>
      </c>
      <c r="G7" s="1118"/>
      <c r="H7" s="1066"/>
    </row>
    <row r="8" spans="1:8" s="331" customFormat="1" ht="15" customHeight="1" thickBot="1">
      <c r="A8" s="328">
        <v>3</v>
      </c>
      <c r="B8" s="584" t="s">
        <v>380</v>
      </c>
      <c r="C8" s="585">
        <v>54</v>
      </c>
      <c r="D8" s="585"/>
      <c r="E8" s="585">
        <v>864</v>
      </c>
      <c r="F8" s="585">
        <f>E8/C8</f>
        <v>16</v>
      </c>
      <c r="G8" s="1143"/>
      <c r="H8" s="1144"/>
    </row>
    <row r="9" spans="1:8" ht="15" customHeight="1">
      <c r="A9" s="588">
        <v>1</v>
      </c>
      <c r="B9" s="589" t="s">
        <v>316</v>
      </c>
      <c r="C9" s="590">
        <v>32</v>
      </c>
      <c r="D9" s="590"/>
      <c r="E9" s="590">
        <f>C9*F9</f>
        <v>256</v>
      </c>
      <c r="F9" s="591">
        <v>8</v>
      </c>
      <c r="G9" s="1145" t="s">
        <v>326</v>
      </c>
      <c r="H9" s="610"/>
    </row>
    <row r="10" spans="1:8" s="276" customFormat="1" ht="15" customHeight="1">
      <c r="A10" s="588">
        <v>2</v>
      </c>
      <c r="B10" s="592" t="s">
        <v>84</v>
      </c>
      <c r="C10" s="593">
        <v>45</v>
      </c>
      <c r="D10" s="593"/>
      <c r="E10" s="593">
        <v>360</v>
      </c>
      <c r="F10" s="593">
        <f>E10/C10</f>
        <v>8</v>
      </c>
      <c r="G10" s="1146"/>
      <c r="H10" s="611"/>
    </row>
    <row r="11" spans="1:8" s="276" customFormat="1" ht="15" customHeight="1">
      <c r="A11" s="588">
        <v>3</v>
      </c>
      <c r="B11" s="594" t="s">
        <v>431</v>
      </c>
      <c r="C11" s="593">
        <v>198</v>
      </c>
      <c r="D11" s="593"/>
      <c r="E11" s="593">
        <f>C11*F11</f>
        <v>1584</v>
      </c>
      <c r="F11" s="593">
        <v>8</v>
      </c>
      <c r="G11" s="1146"/>
      <c r="H11" s="611"/>
    </row>
    <row r="12" spans="1:8" s="276" customFormat="1" ht="15" customHeight="1">
      <c r="A12" s="588">
        <v>4</v>
      </c>
      <c r="B12" s="595" t="s">
        <v>537</v>
      </c>
      <c r="C12" s="596">
        <v>300</v>
      </c>
      <c r="D12" s="596"/>
      <c r="E12" s="596">
        <f>C12*F12</f>
        <v>2400</v>
      </c>
      <c r="F12" s="596">
        <v>8</v>
      </c>
      <c r="G12" s="1146"/>
      <c r="H12" s="611"/>
    </row>
    <row r="13" spans="1:8" s="276" customFormat="1" ht="15" customHeight="1">
      <c r="A13" s="1141">
        <v>5</v>
      </c>
      <c r="B13" s="1149" t="s">
        <v>555</v>
      </c>
      <c r="C13" s="1151">
        <v>44</v>
      </c>
      <c r="D13" s="1151"/>
      <c r="E13" s="1151">
        <f>C13*F13</f>
        <v>352</v>
      </c>
      <c r="F13" s="1151">
        <v>8</v>
      </c>
      <c r="G13" s="1146"/>
      <c r="H13" s="611" t="s">
        <v>570</v>
      </c>
    </row>
    <row r="14" spans="1:8" s="276" customFormat="1" ht="1.5" customHeight="1">
      <c r="A14" s="1142"/>
      <c r="B14" s="1150"/>
      <c r="C14" s="1152"/>
      <c r="D14" s="1152"/>
      <c r="E14" s="1152"/>
      <c r="F14" s="1152"/>
      <c r="G14" s="1146"/>
      <c r="H14" s="611" t="s">
        <v>571</v>
      </c>
    </row>
    <row r="15" spans="1:8" s="276" customFormat="1" ht="15" hidden="1" customHeight="1">
      <c r="A15" s="588">
        <v>6</v>
      </c>
      <c r="B15" s="597" t="s">
        <v>551</v>
      </c>
      <c r="C15" s="598">
        <v>50</v>
      </c>
      <c r="D15" s="599"/>
      <c r="E15" s="599">
        <f t="shared" ref="E15:E20" si="0">C15*F15</f>
        <v>400</v>
      </c>
      <c r="F15" s="600">
        <v>8</v>
      </c>
      <c r="G15" s="1146"/>
      <c r="H15" s="611"/>
    </row>
    <row r="16" spans="1:8" s="276" customFormat="1" ht="15" hidden="1" customHeight="1">
      <c r="A16" s="588">
        <v>7</v>
      </c>
      <c r="B16" s="597" t="s">
        <v>479</v>
      </c>
      <c r="C16" s="598">
        <v>42</v>
      </c>
      <c r="D16" s="599"/>
      <c r="E16" s="599">
        <f t="shared" si="0"/>
        <v>336</v>
      </c>
      <c r="F16" s="600">
        <v>8</v>
      </c>
      <c r="G16" s="1146"/>
      <c r="H16" s="611"/>
    </row>
    <row r="17" spans="1:8" s="276" customFormat="1" ht="15" hidden="1" customHeight="1">
      <c r="A17" s="588">
        <v>8</v>
      </c>
      <c r="B17" s="597" t="s">
        <v>480</v>
      </c>
      <c r="C17" s="598">
        <v>84</v>
      </c>
      <c r="D17" s="599"/>
      <c r="E17" s="599">
        <f t="shared" si="0"/>
        <v>672</v>
      </c>
      <c r="F17" s="600">
        <v>8</v>
      </c>
      <c r="G17" s="1146"/>
      <c r="H17" s="611"/>
    </row>
    <row r="18" spans="1:8" s="276" customFormat="1" ht="15" customHeight="1">
      <c r="A18" s="588">
        <v>6</v>
      </c>
      <c r="B18" s="601" t="s">
        <v>476</v>
      </c>
      <c r="C18" s="602">
        <v>34</v>
      </c>
      <c r="D18" s="599"/>
      <c r="E18" s="599">
        <f t="shared" si="0"/>
        <v>272</v>
      </c>
      <c r="F18" s="599">
        <v>8</v>
      </c>
      <c r="G18" s="1146"/>
      <c r="H18" s="611" t="s">
        <v>567</v>
      </c>
    </row>
    <row r="19" spans="1:8" s="276" customFormat="1" ht="15" customHeight="1">
      <c r="A19" s="588">
        <v>7</v>
      </c>
      <c r="B19" s="626" t="s">
        <v>486</v>
      </c>
      <c r="C19" s="606">
        <v>72</v>
      </c>
      <c r="D19" s="607"/>
      <c r="E19" s="599">
        <f t="shared" si="0"/>
        <v>576</v>
      </c>
      <c r="F19" s="599">
        <v>8</v>
      </c>
      <c r="G19" s="1146"/>
      <c r="H19" s="612"/>
    </row>
    <row r="20" spans="1:8" s="276" customFormat="1" ht="15" customHeight="1" thickBot="1">
      <c r="A20" s="588">
        <v>8</v>
      </c>
      <c r="B20" s="603" t="s">
        <v>477</v>
      </c>
      <c r="C20" s="604">
        <v>232</v>
      </c>
      <c r="D20" s="605"/>
      <c r="E20" s="605">
        <f t="shared" si="0"/>
        <v>1856</v>
      </c>
      <c r="F20" s="605">
        <v>8</v>
      </c>
      <c r="G20" s="1147"/>
      <c r="H20" s="613" t="s">
        <v>572</v>
      </c>
    </row>
    <row r="21" spans="1:8" s="149" customFormat="1" ht="15" customHeight="1">
      <c r="A21" s="341">
        <v>1</v>
      </c>
      <c r="B21" s="434" t="s">
        <v>554</v>
      </c>
      <c r="C21" s="336">
        <v>8</v>
      </c>
      <c r="D21" s="431"/>
      <c r="E21" s="576">
        <f t="shared" ref="E21:E38" si="1">C21*F21</f>
        <v>32</v>
      </c>
      <c r="F21" s="336">
        <v>4</v>
      </c>
      <c r="G21" s="1148" t="s">
        <v>341</v>
      </c>
      <c r="H21" s="609" t="s">
        <v>372</v>
      </c>
    </row>
    <row r="22" spans="1:8" s="149" customFormat="1" ht="15" customHeight="1">
      <c r="A22" s="341">
        <v>2</v>
      </c>
      <c r="B22" s="436" t="s">
        <v>413</v>
      </c>
      <c r="C22" s="337">
        <v>54</v>
      </c>
      <c r="D22" s="432"/>
      <c r="E22" s="576">
        <f t="shared" si="1"/>
        <v>216</v>
      </c>
      <c r="F22" s="336">
        <v>4</v>
      </c>
      <c r="G22" s="1092"/>
      <c r="H22" s="339"/>
    </row>
    <row r="23" spans="1:8" s="149" customFormat="1" ht="15" customHeight="1">
      <c r="A23" s="341">
        <v>3</v>
      </c>
      <c r="B23" s="436" t="s">
        <v>414</v>
      </c>
      <c r="C23" s="337">
        <v>224</v>
      </c>
      <c r="D23" s="432"/>
      <c r="E23" s="576">
        <f t="shared" si="1"/>
        <v>896</v>
      </c>
      <c r="F23" s="336">
        <v>4</v>
      </c>
      <c r="G23" s="1092"/>
      <c r="H23" s="339"/>
    </row>
    <row r="24" spans="1:8" s="149" customFormat="1" ht="15" customHeight="1">
      <c r="A24" s="341">
        <v>4</v>
      </c>
      <c r="B24" s="438" t="s">
        <v>375</v>
      </c>
      <c r="C24" s="340">
        <v>20</v>
      </c>
      <c r="D24" s="433"/>
      <c r="E24" s="576">
        <f t="shared" si="1"/>
        <v>80</v>
      </c>
      <c r="F24" s="336">
        <v>4</v>
      </c>
      <c r="G24" s="1092"/>
      <c r="H24" s="339"/>
    </row>
    <row r="25" spans="1:8" s="149" customFormat="1" ht="15" customHeight="1">
      <c r="A25" s="341">
        <v>5</v>
      </c>
      <c r="B25" s="435" t="s">
        <v>67</v>
      </c>
      <c r="C25" s="337">
        <v>14</v>
      </c>
      <c r="D25" s="432"/>
      <c r="E25" s="576">
        <f t="shared" si="1"/>
        <v>56</v>
      </c>
      <c r="F25" s="336">
        <v>4</v>
      </c>
      <c r="G25" s="1092"/>
      <c r="H25" s="339"/>
    </row>
    <row r="26" spans="1:8" s="149" customFormat="1" ht="15" customHeight="1">
      <c r="A26" s="341">
        <v>6</v>
      </c>
      <c r="B26" s="507" t="s">
        <v>540</v>
      </c>
      <c r="C26" s="340">
        <v>15</v>
      </c>
      <c r="D26" s="433"/>
      <c r="E26" s="576">
        <f t="shared" si="1"/>
        <v>60</v>
      </c>
      <c r="F26" s="336">
        <v>4</v>
      </c>
      <c r="G26" s="1092"/>
      <c r="H26" s="339"/>
    </row>
    <row r="27" spans="1:8" s="149" customFormat="1" ht="15" customHeight="1">
      <c r="A27" s="341">
        <v>7</v>
      </c>
      <c r="B27" s="455" t="s">
        <v>550</v>
      </c>
      <c r="C27" s="340">
        <v>12</v>
      </c>
      <c r="D27" s="433"/>
      <c r="E27" s="576">
        <f t="shared" si="1"/>
        <v>48</v>
      </c>
      <c r="F27" s="336">
        <v>4</v>
      </c>
      <c r="G27" s="1092"/>
      <c r="H27" s="608"/>
    </row>
    <row r="28" spans="1:8" s="149" customFormat="1" ht="15" customHeight="1">
      <c r="A28" s="341">
        <v>8</v>
      </c>
      <c r="B28" s="430" t="s">
        <v>502</v>
      </c>
      <c r="C28" s="337">
        <v>16</v>
      </c>
      <c r="D28" s="432"/>
      <c r="E28" s="576">
        <f t="shared" si="1"/>
        <v>64</v>
      </c>
      <c r="F28" s="336">
        <v>4</v>
      </c>
      <c r="G28" s="1092"/>
      <c r="H28" s="339"/>
    </row>
    <row r="29" spans="1:8" s="149" customFormat="1" ht="15" customHeight="1">
      <c r="A29" s="341">
        <v>9</v>
      </c>
      <c r="B29" s="456" t="s">
        <v>542</v>
      </c>
      <c r="C29" s="337">
        <v>8</v>
      </c>
      <c r="D29" s="432"/>
      <c r="E29" s="576">
        <f t="shared" si="1"/>
        <v>32</v>
      </c>
      <c r="F29" s="336">
        <v>4</v>
      </c>
      <c r="G29" s="1092"/>
      <c r="H29" s="457"/>
    </row>
    <row r="30" spans="1:8" s="149" customFormat="1" ht="15" customHeight="1">
      <c r="A30" s="341">
        <v>10</v>
      </c>
      <c r="B30" s="456" t="s">
        <v>528</v>
      </c>
      <c r="C30" s="337">
        <v>9</v>
      </c>
      <c r="D30" s="432"/>
      <c r="E30" s="576">
        <f t="shared" si="1"/>
        <v>36</v>
      </c>
      <c r="F30" s="336">
        <v>4</v>
      </c>
      <c r="G30" s="1092"/>
      <c r="H30" s="457"/>
    </row>
    <row r="31" spans="1:8" s="149" customFormat="1" ht="15" customHeight="1">
      <c r="A31" s="341">
        <v>11</v>
      </c>
      <c r="B31" s="456" t="s">
        <v>538</v>
      </c>
      <c r="C31" s="337">
        <v>16</v>
      </c>
      <c r="D31" s="432"/>
      <c r="E31" s="576">
        <f t="shared" si="1"/>
        <v>64</v>
      </c>
      <c r="F31" s="336">
        <v>4</v>
      </c>
      <c r="G31" s="1092"/>
      <c r="H31" s="457" t="s">
        <v>569</v>
      </c>
    </row>
    <row r="32" spans="1:8" s="149" customFormat="1" ht="15" customHeight="1">
      <c r="A32" s="341">
        <v>12</v>
      </c>
      <c r="B32" s="456" t="s">
        <v>553</v>
      </c>
      <c r="C32" s="337">
        <v>15</v>
      </c>
      <c r="D32" s="432"/>
      <c r="E32" s="576">
        <f t="shared" si="1"/>
        <v>60</v>
      </c>
      <c r="F32" s="336">
        <v>4</v>
      </c>
      <c r="G32" s="1092"/>
      <c r="H32" s="457" t="s">
        <v>568</v>
      </c>
    </row>
    <row r="33" spans="1:8" s="149" customFormat="1" ht="15" customHeight="1">
      <c r="A33" s="341">
        <v>13</v>
      </c>
      <c r="B33" s="456" t="s">
        <v>552</v>
      </c>
      <c r="C33" s="337">
        <v>12</v>
      </c>
      <c r="D33" s="432"/>
      <c r="E33" s="576">
        <f t="shared" si="1"/>
        <v>48</v>
      </c>
      <c r="F33" s="336">
        <v>4</v>
      </c>
      <c r="G33" s="1092"/>
      <c r="H33" s="457"/>
    </row>
    <row r="34" spans="1:8" s="149" customFormat="1" ht="15" customHeight="1">
      <c r="A34" s="341">
        <v>14</v>
      </c>
      <c r="B34" s="501" t="s">
        <v>517</v>
      </c>
      <c r="C34" s="502">
        <v>20</v>
      </c>
      <c r="D34" s="432"/>
      <c r="E34" s="576">
        <f t="shared" si="1"/>
        <v>80</v>
      </c>
      <c r="F34" s="336">
        <v>4</v>
      </c>
      <c r="G34" s="1092"/>
      <c r="H34" s="457"/>
    </row>
    <row r="35" spans="1:8" s="149" customFormat="1" ht="15" customHeight="1">
      <c r="A35" s="341">
        <v>15</v>
      </c>
      <c r="B35" s="501" t="s">
        <v>517</v>
      </c>
      <c r="C35" s="502">
        <v>24</v>
      </c>
      <c r="D35" s="432"/>
      <c r="E35" s="576">
        <f>C35*F35</f>
        <v>96</v>
      </c>
      <c r="F35" s="336">
        <v>4</v>
      </c>
      <c r="G35" s="1092"/>
      <c r="H35" s="457" t="s">
        <v>642</v>
      </c>
    </row>
    <row r="36" spans="1:8" s="149" customFormat="1" ht="15" customHeight="1">
      <c r="A36" s="341">
        <v>16</v>
      </c>
      <c r="B36" s="501" t="s">
        <v>519</v>
      </c>
      <c r="C36" s="502">
        <v>5</v>
      </c>
      <c r="D36" s="432"/>
      <c r="E36" s="576">
        <f t="shared" si="1"/>
        <v>20</v>
      </c>
      <c r="F36" s="336">
        <v>4</v>
      </c>
      <c r="G36" s="1092"/>
      <c r="H36" s="457"/>
    </row>
    <row r="37" spans="1:8" s="149" customFormat="1" ht="15" customHeight="1">
      <c r="A37" s="341">
        <v>17</v>
      </c>
      <c r="B37" s="501" t="s">
        <v>520</v>
      </c>
      <c r="C37" s="502">
        <v>8</v>
      </c>
      <c r="D37" s="432"/>
      <c r="E37" s="576">
        <f t="shared" si="1"/>
        <v>32</v>
      </c>
      <c r="F37" s="336">
        <v>4</v>
      </c>
      <c r="G37" s="1092"/>
      <c r="H37" s="457"/>
    </row>
    <row r="38" spans="1:8" s="149" customFormat="1" ht="15" customHeight="1">
      <c r="A38" s="341">
        <v>18</v>
      </c>
      <c r="B38" s="501" t="s">
        <v>521</v>
      </c>
      <c r="C38" s="502">
        <v>12</v>
      </c>
      <c r="D38" s="432"/>
      <c r="E38" s="576">
        <f t="shared" si="1"/>
        <v>48</v>
      </c>
      <c r="F38" s="336">
        <v>4</v>
      </c>
      <c r="G38" s="1092"/>
      <c r="H38" s="457"/>
    </row>
    <row r="39" spans="1:8" s="149" customFormat="1" ht="15" customHeight="1">
      <c r="A39" s="341">
        <v>19</v>
      </c>
      <c r="B39" s="501" t="s">
        <v>573</v>
      </c>
      <c r="C39" s="575">
        <v>32</v>
      </c>
      <c r="D39" s="433"/>
      <c r="E39" s="576">
        <f>C39*F39</f>
        <v>128</v>
      </c>
      <c r="F39" s="336">
        <v>4</v>
      </c>
      <c r="G39" s="1092"/>
      <c r="H39" s="457"/>
    </row>
    <row r="40" spans="1:8" s="149" customFormat="1" ht="15" customHeight="1">
      <c r="A40" s="341">
        <v>20</v>
      </c>
      <c r="B40" s="501" t="s">
        <v>573</v>
      </c>
      <c r="C40" s="575">
        <v>36</v>
      </c>
      <c r="D40" s="433"/>
      <c r="E40" s="576">
        <f>C40*F40</f>
        <v>144</v>
      </c>
      <c r="F40" s="336">
        <v>4</v>
      </c>
      <c r="G40" s="1092"/>
      <c r="H40" s="457"/>
    </row>
    <row r="41" spans="1:8" s="149" customFormat="1" ht="15" customHeight="1">
      <c r="A41" s="341">
        <v>21</v>
      </c>
      <c r="B41" s="574" t="s">
        <v>574</v>
      </c>
      <c r="C41" s="575">
        <v>21</v>
      </c>
      <c r="D41" s="433"/>
      <c r="E41" s="576">
        <f>C41*F41</f>
        <v>84</v>
      </c>
      <c r="F41" s="336">
        <v>4</v>
      </c>
      <c r="G41" s="1092"/>
      <c r="H41" s="457"/>
    </row>
    <row r="42" spans="1:8" s="149" customFormat="1" ht="15" customHeight="1">
      <c r="A42" s="341">
        <v>22</v>
      </c>
      <c r="B42" s="574" t="s">
        <v>575</v>
      </c>
      <c r="C42" s="575">
        <v>18</v>
      </c>
      <c r="D42" s="433"/>
      <c r="E42" s="576">
        <f>C42*F42</f>
        <v>72</v>
      </c>
      <c r="F42" s="336">
        <v>4</v>
      </c>
      <c r="G42" s="1093"/>
      <c r="H42" s="457"/>
    </row>
    <row r="43" spans="1:8" s="149" customFormat="1" ht="15" customHeight="1">
      <c r="A43" s="341">
        <v>23</v>
      </c>
      <c r="B43" s="574" t="s">
        <v>576</v>
      </c>
      <c r="C43" s="575">
        <v>21</v>
      </c>
      <c r="D43" s="433"/>
      <c r="E43" s="576">
        <f>C43*F43</f>
        <v>84</v>
      </c>
      <c r="F43" s="587">
        <v>4</v>
      </c>
      <c r="G43" s="586"/>
      <c r="H43" s="457"/>
    </row>
    <row r="44" spans="1:8" s="149" customFormat="1" ht="15" hidden="1" customHeight="1">
      <c r="A44" s="341">
        <v>24</v>
      </c>
      <c r="B44" s="515" t="s">
        <v>543</v>
      </c>
      <c r="C44" s="516">
        <v>12</v>
      </c>
      <c r="D44" s="517"/>
      <c r="E44" s="518">
        <v>72</v>
      </c>
      <c r="F44" s="516">
        <f>E44/C44</f>
        <v>6</v>
      </c>
      <c r="G44" s="519" t="s">
        <v>544</v>
      </c>
      <c r="H44" s="457"/>
    </row>
    <row r="45" spans="1:8" s="149" customFormat="1" ht="15" hidden="1" customHeight="1">
      <c r="A45" s="341">
        <v>25</v>
      </c>
      <c r="B45" s="515" t="s">
        <v>545</v>
      </c>
      <c r="C45" s="516"/>
      <c r="D45" s="517"/>
      <c r="E45" s="518"/>
      <c r="F45" s="516"/>
      <c r="G45" s="519" t="s">
        <v>548</v>
      </c>
      <c r="H45" s="457"/>
    </row>
    <row r="46" spans="1:8" s="149" customFormat="1" ht="15" hidden="1" customHeight="1">
      <c r="A46" s="341">
        <v>26</v>
      </c>
      <c r="B46" s="515" t="s">
        <v>547</v>
      </c>
      <c r="C46" s="516"/>
      <c r="D46" s="517"/>
      <c r="E46" s="518"/>
      <c r="F46" s="516"/>
      <c r="G46" s="519" t="s">
        <v>549</v>
      </c>
      <c r="H46" s="457"/>
    </row>
    <row r="47" spans="1:8" s="149" customFormat="1" ht="15" customHeight="1">
      <c r="A47" s="341">
        <v>27</v>
      </c>
      <c r="B47" s="515" t="s">
        <v>641</v>
      </c>
      <c r="C47" s="516">
        <v>72</v>
      </c>
      <c r="D47" s="517"/>
      <c r="E47" s="518">
        <f>C47*F47</f>
        <v>288</v>
      </c>
      <c r="F47" s="516">
        <v>4</v>
      </c>
      <c r="G47" s="519"/>
      <c r="H47" s="457"/>
    </row>
    <row r="48" spans="1:8" s="149" customFormat="1" ht="15" customHeight="1">
      <c r="A48" s="441">
        <v>1</v>
      </c>
      <c r="B48" s="442" t="s">
        <v>374</v>
      </c>
      <c r="C48" s="223">
        <f>66</f>
        <v>66</v>
      </c>
      <c r="D48" s="223"/>
      <c r="E48" s="223">
        <f>C48*F48</f>
        <v>264</v>
      </c>
      <c r="F48" s="223">
        <v>4</v>
      </c>
      <c r="G48" s="224" t="s">
        <v>222</v>
      </c>
      <c r="H48" s="270"/>
    </row>
    <row r="49" spans="1:8">
      <c r="A49" s="440">
        <v>1</v>
      </c>
      <c r="B49" s="535" t="s">
        <v>81</v>
      </c>
      <c r="C49" s="562">
        <v>294</v>
      </c>
      <c r="D49" s="536"/>
      <c r="E49" s="537">
        <f>C49*F49</f>
        <v>3528</v>
      </c>
      <c r="F49" s="537">
        <v>12</v>
      </c>
      <c r="G49" s="396" t="s">
        <v>417</v>
      </c>
      <c r="H49" s="538"/>
    </row>
    <row r="50" spans="1:8">
      <c r="A50" s="204">
        <v>1</v>
      </c>
      <c r="B50" s="206" t="s">
        <v>390</v>
      </c>
      <c r="C50" s="563">
        <v>90</v>
      </c>
      <c r="D50" s="206"/>
      <c r="E50" s="207">
        <f>C50*F50</f>
        <v>2160</v>
      </c>
      <c r="F50" s="207">
        <v>24</v>
      </c>
      <c r="G50" s="208" t="s">
        <v>229</v>
      </c>
      <c r="H50" s="209"/>
    </row>
    <row r="51" spans="1:8">
      <c r="A51" s="187">
        <v>1</v>
      </c>
      <c r="B51" s="528" t="s">
        <v>533</v>
      </c>
      <c r="C51" s="564">
        <v>40</v>
      </c>
      <c r="D51" s="528"/>
      <c r="E51" s="529">
        <f>C51*F51</f>
        <v>480</v>
      </c>
      <c r="F51" s="529">
        <v>12</v>
      </c>
      <c r="G51" s="530" t="s">
        <v>495</v>
      </c>
      <c r="H51" s="186"/>
    </row>
    <row r="52" spans="1:8">
      <c r="A52" s="534"/>
      <c r="B52" s="528" t="s">
        <v>534</v>
      </c>
      <c r="C52" s="565">
        <v>20</v>
      </c>
      <c r="D52" s="531"/>
      <c r="E52" s="532">
        <v>480</v>
      </c>
      <c r="F52" s="532">
        <v>12</v>
      </c>
      <c r="G52" s="533" t="s">
        <v>499</v>
      </c>
      <c r="H52" s="539"/>
    </row>
    <row r="53" spans="1:8">
      <c r="A53" s="494"/>
      <c r="B53" s="498" t="s">
        <v>427</v>
      </c>
      <c r="C53" s="566"/>
      <c r="D53" s="498"/>
      <c r="E53" s="498"/>
      <c r="F53" s="498"/>
      <c r="G53" s="500" t="s">
        <v>428</v>
      </c>
      <c r="H53" s="500"/>
    </row>
    <row r="54" spans="1:8">
      <c r="A54" s="497"/>
      <c r="B54" s="498" t="s">
        <v>437</v>
      </c>
      <c r="C54" s="500"/>
      <c r="D54" s="498"/>
      <c r="E54" s="498"/>
      <c r="F54" s="498"/>
      <c r="G54" s="500" t="s">
        <v>438</v>
      </c>
      <c r="H54" s="500"/>
    </row>
    <row r="55" spans="1:8">
      <c r="A55" s="497">
        <v>1</v>
      </c>
      <c r="B55" s="523" t="s">
        <v>532</v>
      </c>
      <c r="C55" s="524"/>
      <c r="D55" s="523"/>
      <c r="E55" s="523">
        <v>480</v>
      </c>
      <c r="F55" s="523"/>
      <c r="G55" s="524" t="s">
        <v>493</v>
      </c>
      <c r="H55" s="500"/>
    </row>
    <row r="56" spans="1:8" ht="15.75" thickBot="1">
      <c r="A56" s="495"/>
      <c r="B56" s="525" t="s">
        <v>437</v>
      </c>
      <c r="C56" s="527"/>
      <c r="D56" s="526"/>
      <c r="E56" s="526">
        <v>480</v>
      </c>
      <c r="F56" s="526"/>
      <c r="G56" s="527" t="s">
        <v>497</v>
      </c>
      <c r="H56" s="614"/>
    </row>
    <row r="57" spans="1:8">
      <c r="C57" s="547"/>
      <c r="D57" s="285"/>
    </row>
  </sheetData>
  <mergeCells count="19">
    <mergeCell ref="B1:H1"/>
    <mergeCell ref="A3:A4"/>
    <mergeCell ref="B3:B4"/>
    <mergeCell ref="C3:C4"/>
    <mergeCell ref="D3:D4"/>
    <mergeCell ref="E3:E4"/>
    <mergeCell ref="F3:F4"/>
    <mergeCell ref="G3:G4"/>
    <mergeCell ref="H3:H4"/>
    <mergeCell ref="A13:A14"/>
    <mergeCell ref="G5:G8"/>
    <mergeCell ref="H5:H8"/>
    <mergeCell ref="G9:G20"/>
    <mergeCell ref="G21:G42"/>
    <mergeCell ref="B13:B14"/>
    <mergeCell ref="C13:C14"/>
    <mergeCell ref="E13:E14"/>
    <mergeCell ref="F13:F14"/>
    <mergeCell ref="D13:D14"/>
  </mergeCells>
  <printOptions horizontalCentered="1"/>
  <pageMargins left="0" right="0" top="1.0900000000000001" bottom="0.05" header="0" footer="0.2"/>
  <pageSetup paperSize="9" scale="71" orientation="portrait" verticalDpi="0" r:id="rId1"/>
  <headerFooter>
    <oddHeader>&amp;L&amp;"Arial Black,Regular"PT.QUTY KARUNIA&amp;R18/07/2013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topLeftCell="B15" workbookViewId="0">
      <selection activeCell="C17" sqref="C17:C20"/>
    </sheetView>
  </sheetViews>
  <sheetFormatPr defaultRowHeight="15"/>
  <cols>
    <col min="1" max="1" width="18.7109375" customWidth="1"/>
    <col min="2" max="2" width="40.7109375" customWidth="1"/>
    <col min="3" max="3" width="22.28515625" customWidth="1"/>
    <col min="4" max="4" width="18.5703125" customWidth="1"/>
    <col min="5" max="5" width="19.28515625" customWidth="1"/>
    <col min="6" max="6" width="15.28515625" customWidth="1"/>
    <col min="7" max="7" width="13.5703125" customWidth="1"/>
    <col min="9" max="9" width="22.140625" customWidth="1"/>
  </cols>
  <sheetData>
    <row r="2" spans="1:6">
      <c r="A2" s="1172" t="s">
        <v>577</v>
      </c>
      <c r="B2" s="1172"/>
      <c r="C2" s="1172"/>
      <c r="D2" s="1172"/>
      <c r="E2" s="1172"/>
      <c r="F2" s="1172"/>
    </row>
    <row r="3" spans="1:6" ht="15.75" thickBot="1">
      <c r="A3" s="1173"/>
      <c r="B3" s="1173"/>
      <c r="C3" s="1173"/>
      <c r="D3" s="1173"/>
      <c r="E3" s="1173"/>
      <c r="F3" s="1173"/>
    </row>
    <row r="4" spans="1:6" ht="30.75" thickBot="1">
      <c r="A4" s="615" t="s">
        <v>578</v>
      </c>
      <c r="B4" s="616" t="s">
        <v>579</v>
      </c>
      <c r="C4" s="617" t="s">
        <v>580</v>
      </c>
      <c r="D4" s="618" t="s">
        <v>581</v>
      </c>
      <c r="E4" s="618" t="s">
        <v>582</v>
      </c>
      <c r="F4" s="619" t="s">
        <v>583</v>
      </c>
    </row>
    <row r="5" spans="1:6">
      <c r="A5" s="620"/>
      <c r="B5" s="644" t="s">
        <v>614</v>
      </c>
      <c r="C5" s="1166" t="s">
        <v>584</v>
      </c>
      <c r="D5" s="1166" t="s">
        <v>585</v>
      </c>
      <c r="E5" s="1166" t="s">
        <v>586</v>
      </c>
      <c r="F5" s="1166" t="s">
        <v>587</v>
      </c>
    </row>
    <row r="6" spans="1:6">
      <c r="A6" s="622"/>
      <c r="B6" s="623" t="s">
        <v>615</v>
      </c>
      <c r="C6" s="1167"/>
      <c r="D6" s="1167"/>
      <c r="E6" s="1167"/>
      <c r="F6" s="1167"/>
    </row>
    <row r="7" spans="1:6">
      <c r="A7" s="622"/>
      <c r="B7" s="623" t="s">
        <v>616</v>
      </c>
      <c r="C7" s="1167"/>
      <c r="D7" s="1167"/>
      <c r="E7" s="1167"/>
      <c r="F7" s="1167"/>
    </row>
    <row r="8" spans="1:6" ht="15.75" thickBot="1">
      <c r="A8" s="624" t="s">
        <v>588</v>
      </c>
      <c r="B8" s="625" t="s">
        <v>617</v>
      </c>
      <c r="C8" s="1168"/>
      <c r="D8" s="1168"/>
      <c r="E8" s="1168"/>
      <c r="F8" s="1168"/>
    </row>
    <row r="9" spans="1:6">
      <c r="A9" s="622"/>
      <c r="B9" s="644" t="s">
        <v>610</v>
      </c>
      <c r="C9" s="1166" t="s">
        <v>626</v>
      </c>
      <c r="D9" s="1166" t="s">
        <v>589</v>
      </c>
      <c r="E9" s="1169" t="s">
        <v>590</v>
      </c>
      <c r="F9" s="1169" t="s">
        <v>591</v>
      </c>
    </row>
    <row r="10" spans="1:6">
      <c r="A10" s="622"/>
      <c r="B10" s="623" t="s">
        <v>611</v>
      </c>
      <c r="C10" s="1167"/>
      <c r="D10" s="1167"/>
      <c r="E10" s="1170"/>
      <c r="F10" s="1170"/>
    </row>
    <row r="11" spans="1:6">
      <c r="A11" s="622"/>
      <c r="B11" s="623" t="s">
        <v>612</v>
      </c>
      <c r="C11" s="1167"/>
      <c r="D11" s="1167"/>
      <c r="E11" s="1170"/>
      <c r="F11" s="1170"/>
    </row>
    <row r="12" spans="1:6" ht="15.75" thickBot="1">
      <c r="A12" s="622" t="s">
        <v>592</v>
      </c>
      <c r="B12" s="625" t="s">
        <v>613</v>
      </c>
      <c r="C12" s="1168"/>
      <c r="D12" s="1168"/>
      <c r="E12" s="1171"/>
      <c r="F12" s="1171"/>
    </row>
    <row r="13" spans="1:6">
      <c r="A13" s="620"/>
      <c r="B13" s="644" t="s">
        <v>603</v>
      </c>
      <c r="C13" s="1166" t="s">
        <v>593</v>
      </c>
      <c r="D13" s="1166" t="s">
        <v>594</v>
      </c>
      <c r="E13" s="1169" t="s">
        <v>595</v>
      </c>
      <c r="F13" s="1169" t="s">
        <v>587</v>
      </c>
    </row>
    <row r="14" spans="1:6">
      <c r="A14" s="622"/>
      <c r="B14" s="623" t="s">
        <v>602</v>
      </c>
      <c r="C14" s="1167"/>
      <c r="D14" s="1167"/>
      <c r="E14" s="1170"/>
      <c r="F14" s="1170"/>
    </row>
    <row r="15" spans="1:6">
      <c r="A15" s="622"/>
      <c r="B15" s="623" t="s">
        <v>605</v>
      </c>
      <c r="C15" s="1167"/>
      <c r="D15" s="1167"/>
      <c r="E15" s="1170"/>
      <c r="F15" s="1170"/>
    </row>
    <row r="16" spans="1:6" ht="15.75" thickBot="1">
      <c r="A16" s="624" t="s">
        <v>588</v>
      </c>
      <c r="B16" s="625" t="s">
        <v>604</v>
      </c>
      <c r="C16" s="1168"/>
      <c r="D16" s="1168"/>
      <c r="E16" s="1171"/>
      <c r="F16" s="1171"/>
    </row>
    <row r="17" spans="1:10">
      <c r="A17" s="622"/>
      <c r="B17" s="644" t="s">
        <v>618</v>
      </c>
      <c r="C17" s="1166" t="s">
        <v>626</v>
      </c>
      <c r="D17" s="1166" t="s">
        <v>596</v>
      </c>
      <c r="E17" s="1166" t="s">
        <v>597</v>
      </c>
      <c r="F17" s="1166" t="s">
        <v>591</v>
      </c>
    </row>
    <row r="18" spans="1:10">
      <c r="A18" s="622"/>
      <c r="B18" s="623" t="s">
        <v>619</v>
      </c>
      <c r="C18" s="1167"/>
      <c r="D18" s="1167"/>
      <c r="E18" s="1167"/>
      <c r="F18" s="1167"/>
    </row>
    <row r="19" spans="1:10">
      <c r="A19" s="622"/>
      <c r="B19" s="623" t="s">
        <v>620</v>
      </c>
      <c r="C19" s="1167"/>
      <c r="D19" s="1167"/>
      <c r="E19" s="1167"/>
      <c r="F19" s="1167"/>
    </row>
    <row r="20" spans="1:10" ht="15.75" thickBot="1">
      <c r="A20" s="622" t="s">
        <v>598</v>
      </c>
      <c r="B20" s="625" t="s">
        <v>621</v>
      </c>
      <c r="C20" s="1168"/>
      <c r="D20" s="1168"/>
      <c r="E20" s="1168"/>
      <c r="F20" s="1168"/>
    </row>
    <row r="21" spans="1:10">
      <c r="A21" s="620"/>
      <c r="B21" s="621" t="s">
        <v>606</v>
      </c>
      <c r="C21" s="1166" t="s">
        <v>593</v>
      </c>
      <c r="D21" s="1166" t="s">
        <v>599</v>
      </c>
      <c r="E21" s="1169" t="s">
        <v>589</v>
      </c>
      <c r="F21" s="1169" t="s">
        <v>587</v>
      </c>
    </row>
    <row r="22" spans="1:10">
      <c r="A22" s="622"/>
      <c r="B22" s="623" t="s">
        <v>607</v>
      </c>
      <c r="C22" s="1167"/>
      <c r="D22" s="1167"/>
      <c r="E22" s="1170"/>
      <c r="F22" s="1170"/>
    </row>
    <row r="23" spans="1:10">
      <c r="A23" s="622"/>
      <c r="B23" s="623" t="s">
        <v>608</v>
      </c>
      <c r="C23" s="1167"/>
      <c r="D23" s="1167"/>
      <c r="E23" s="1170"/>
      <c r="F23" s="1170"/>
    </row>
    <row r="24" spans="1:10" ht="15.75" thickBot="1">
      <c r="A24" s="624" t="s">
        <v>588</v>
      </c>
      <c r="B24" s="625" t="s">
        <v>609</v>
      </c>
      <c r="C24" s="1168"/>
      <c r="D24" s="1168"/>
      <c r="E24" s="1171"/>
      <c r="F24" s="1171"/>
    </row>
    <row r="25" spans="1:10">
      <c r="A25" s="622"/>
      <c r="B25" s="644" t="s">
        <v>622</v>
      </c>
      <c r="C25" s="1166" t="s">
        <v>593</v>
      </c>
      <c r="D25" s="1166" t="s">
        <v>600</v>
      </c>
      <c r="E25" s="1169">
        <v>160</v>
      </c>
      <c r="F25" s="1169" t="s">
        <v>587</v>
      </c>
    </row>
    <row r="26" spans="1:10">
      <c r="A26" s="622"/>
      <c r="B26" s="623" t="s">
        <v>623</v>
      </c>
      <c r="C26" s="1167"/>
      <c r="D26" s="1167"/>
      <c r="E26" s="1170"/>
      <c r="F26" s="1170"/>
    </row>
    <row r="27" spans="1:10">
      <c r="A27" s="622"/>
      <c r="B27" s="623" t="s">
        <v>624</v>
      </c>
      <c r="C27" s="1167"/>
      <c r="D27" s="1167"/>
      <c r="E27" s="1170"/>
      <c r="F27" s="1170"/>
    </row>
    <row r="28" spans="1:10" ht="15.75" thickBot="1">
      <c r="A28" s="624" t="s">
        <v>601</v>
      </c>
      <c r="B28" s="625" t="s">
        <v>625</v>
      </c>
      <c r="C28" s="1168"/>
      <c r="D28" s="1168"/>
      <c r="E28" s="1171"/>
      <c r="F28" s="1171"/>
    </row>
    <row r="30" spans="1:10" ht="15.75" thickBot="1"/>
    <row r="31" spans="1:10" ht="20.25" thickBot="1">
      <c r="A31" s="1156" t="s">
        <v>358</v>
      </c>
      <c r="B31" s="1158" t="s">
        <v>115</v>
      </c>
      <c r="C31" s="1160" t="s">
        <v>627</v>
      </c>
      <c r="D31" s="1161"/>
      <c r="E31" s="1161"/>
      <c r="F31" s="1162"/>
      <c r="G31" s="1163" t="s">
        <v>628</v>
      </c>
      <c r="H31" s="1164"/>
      <c r="I31" s="1164"/>
      <c r="J31" s="1165"/>
    </row>
    <row r="32" spans="1:10" ht="18.75" thickBot="1">
      <c r="A32" s="1157"/>
      <c r="B32" s="1159"/>
      <c r="C32" s="627" t="s">
        <v>629</v>
      </c>
      <c r="D32" s="628" t="s">
        <v>630</v>
      </c>
      <c r="E32" s="627" t="s">
        <v>259</v>
      </c>
      <c r="F32" s="628" t="s">
        <v>631</v>
      </c>
      <c r="G32" s="629" t="s">
        <v>629</v>
      </c>
      <c r="H32" s="629" t="s">
        <v>630</v>
      </c>
      <c r="I32" s="629" t="s">
        <v>259</v>
      </c>
      <c r="J32" s="630" t="s">
        <v>631</v>
      </c>
    </row>
    <row r="33" spans="1:10" ht="16.5">
      <c r="A33" s="631">
        <v>1</v>
      </c>
      <c r="B33" s="632" t="s">
        <v>632</v>
      </c>
      <c r="C33" s="640">
        <v>40</v>
      </c>
      <c r="D33" s="633">
        <v>160</v>
      </c>
      <c r="E33" s="636" t="s">
        <v>633</v>
      </c>
      <c r="F33" s="638" t="s">
        <v>634</v>
      </c>
      <c r="G33" s="634">
        <v>48</v>
      </c>
      <c r="H33" s="635">
        <v>192</v>
      </c>
      <c r="I33" s="639" t="s">
        <v>633</v>
      </c>
      <c r="J33" s="637" t="s">
        <v>634</v>
      </c>
    </row>
    <row r="34" spans="1:10" ht="16.5">
      <c r="A34" s="631">
        <v>2</v>
      </c>
      <c r="B34" s="632" t="s">
        <v>635</v>
      </c>
      <c r="C34" s="640">
        <v>12</v>
      </c>
      <c r="D34" s="633">
        <v>48</v>
      </c>
      <c r="E34" s="636" t="s">
        <v>633</v>
      </c>
      <c r="F34" s="638" t="s">
        <v>634</v>
      </c>
      <c r="G34" s="634">
        <v>15</v>
      </c>
      <c r="H34" s="635">
        <v>60</v>
      </c>
      <c r="I34" s="639" t="s">
        <v>633</v>
      </c>
      <c r="J34" s="637" t="s">
        <v>634</v>
      </c>
    </row>
    <row r="35" spans="1:10" ht="16.5">
      <c r="A35" s="631">
        <v>3</v>
      </c>
      <c r="B35" s="632" t="s">
        <v>636</v>
      </c>
      <c r="C35" s="640">
        <v>16</v>
      </c>
      <c r="D35" s="633">
        <v>64</v>
      </c>
      <c r="E35" s="636" t="s">
        <v>633</v>
      </c>
      <c r="F35" s="638" t="s">
        <v>634</v>
      </c>
      <c r="G35" s="634">
        <v>18</v>
      </c>
      <c r="H35" s="635">
        <v>72</v>
      </c>
      <c r="I35" s="639" t="s">
        <v>633</v>
      </c>
      <c r="J35" s="637" t="s">
        <v>634</v>
      </c>
    </row>
    <row r="36" spans="1:10" ht="16.5">
      <c r="A36" s="631">
        <v>4</v>
      </c>
      <c r="B36" s="632" t="s">
        <v>637</v>
      </c>
      <c r="C36" s="640">
        <v>25</v>
      </c>
      <c r="D36" s="633">
        <v>200</v>
      </c>
      <c r="E36" s="636" t="s">
        <v>638</v>
      </c>
      <c r="F36" s="638" t="s">
        <v>639</v>
      </c>
      <c r="G36" s="634">
        <v>30</v>
      </c>
      <c r="H36" s="635">
        <v>240</v>
      </c>
      <c r="I36" s="639" t="s">
        <v>638</v>
      </c>
      <c r="J36" s="637" t="s">
        <v>639</v>
      </c>
    </row>
    <row r="37" spans="1:10" ht="16.5">
      <c r="A37" s="631">
        <v>5</v>
      </c>
      <c r="B37" s="632" t="s">
        <v>640</v>
      </c>
      <c r="C37" s="640">
        <v>36</v>
      </c>
      <c r="D37" s="633">
        <v>288</v>
      </c>
      <c r="E37" s="636" t="s">
        <v>638</v>
      </c>
      <c r="F37" s="638" t="s">
        <v>639</v>
      </c>
      <c r="G37" s="634">
        <v>40</v>
      </c>
      <c r="H37" s="635">
        <v>320</v>
      </c>
      <c r="I37" s="639" t="s">
        <v>638</v>
      </c>
      <c r="J37" s="637" t="s">
        <v>639</v>
      </c>
    </row>
    <row r="47" spans="1:10">
      <c r="B47" s="641">
        <f>16722*1.05</f>
        <v>17558.100000000002</v>
      </c>
    </row>
    <row r="48" spans="1:10">
      <c r="B48" s="642">
        <f>16769.8*1.05</f>
        <v>17608.29</v>
      </c>
    </row>
    <row r="49" spans="2:2">
      <c r="B49" s="641">
        <f>16755.7*1.05</f>
        <v>17593.485000000001</v>
      </c>
    </row>
    <row r="50" spans="2:2">
      <c r="B50" s="642">
        <f>16755.3*1.05</f>
        <v>17593.064999999999</v>
      </c>
    </row>
    <row r="51" spans="2:2">
      <c r="B51" s="643">
        <f>SUM(B47:B50)</f>
        <v>70352.94</v>
      </c>
    </row>
  </sheetData>
  <mergeCells count="29">
    <mergeCell ref="C21:C24"/>
    <mergeCell ref="D21:D24"/>
    <mergeCell ref="E21:E24"/>
    <mergeCell ref="F21:F24"/>
    <mergeCell ref="C25:C28"/>
    <mergeCell ref="D25:D28"/>
    <mergeCell ref="E25:E28"/>
    <mergeCell ref="F25:F28"/>
    <mergeCell ref="A2:F3"/>
    <mergeCell ref="C5:C8"/>
    <mergeCell ref="D5:D8"/>
    <mergeCell ref="E5:E8"/>
    <mergeCell ref="F5:F8"/>
    <mergeCell ref="A31:A32"/>
    <mergeCell ref="B31:B32"/>
    <mergeCell ref="C31:F31"/>
    <mergeCell ref="G31:J31"/>
    <mergeCell ref="C9:C12"/>
    <mergeCell ref="D9:D12"/>
    <mergeCell ref="E9:E12"/>
    <mergeCell ref="F9:F12"/>
    <mergeCell ref="C13:C16"/>
    <mergeCell ref="D13:D16"/>
    <mergeCell ref="E13:E16"/>
    <mergeCell ref="F13:F16"/>
    <mergeCell ref="C17:C20"/>
    <mergeCell ref="D17:D20"/>
    <mergeCell ref="E17:E20"/>
    <mergeCell ref="F17:F20"/>
  </mergeCells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9"/>
  <sheetViews>
    <sheetView showGridLines="0" view="pageBreakPreview" topLeftCell="A4" zoomScaleSheetLayoutView="100" workbookViewId="0">
      <selection activeCell="G11" sqref="G11"/>
    </sheetView>
  </sheetViews>
  <sheetFormatPr defaultRowHeight="15"/>
  <cols>
    <col min="1" max="1" width="5.42578125" style="86" customWidth="1"/>
    <col min="2" max="2" width="41.5703125" style="283" customWidth="1"/>
    <col min="3" max="3" width="12" style="257" customWidth="1"/>
    <col min="4" max="4" width="12.7109375" customWidth="1"/>
    <col min="5" max="5" width="20.85546875" customWidth="1"/>
    <col min="8" max="8" width="12.5703125" customWidth="1"/>
  </cols>
  <sheetData>
    <row r="1" spans="1:6" ht="26.25">
      <c r="A1" s="1136" t="s">
        <v>539</v>
      </c>
      <c r="B1" s="1136"/>
      <c r="C1" s="1136"/>
      <c r="D1" s="1136"/>
      <c r="E1" s="1136"/>
    </row>
    <row r="2" spans="1:6">
      <c r="A2" s="1174"/>
      <c r="B2" s="1174"/>
      <c r="C2" s="1174"/>
      <c r="D2" s="1174"/>
      <c r="E2" s="1174"/>
    </row>
    <row r="3" spans="1:6" ht="24.95" customHeight="1">
      <c r="A3" s="1075" t="s">
        <v>358</v>
      </c>
      <c r="B3" s="1137" t="s">
        <v>255</v>
      </c>
      <c r="C3" s="1138" t="s">
        <v>256</v>
      </c>
      <c r="D3" s="1138" t="s">
        <v>258</v>
      </c>
      <c r="E3" s="1139" t="s">
        <v>516</v>
      </c>
    </row>
    <row r="4" spans="1:6" ht="31.5" customHeight="1">
      <c r="A4" s="1075"/>
      <c r="B4" s="1137"/>
      <c r="C4" s="1138"/>
      <c r="D4" s="1138"/>
      <c r="E4" s="1140"/>
    </row>
    <row r="5" spans="1:6" s="514" customFormat="1" ht="18" customHeight="1">
      <c r="A5" s="508">
        <v>1</v>
      </c>
      <c r="B5" s="292" t="s">
        <v>281</v>
      </c>
      <c r="C5" s="509">
        <v>84</v>
      </c>
      <c r="D5" s="510">
        <v>1344</v>
      </c>
      <c r="E5" s="513" t="s">
        <v>418</v>
      </c>
      <c r="F5" s="514" t="s">
        <v>546</v>
      </c>
    </row>
    <row r="6" spans="1:6" s="514" customFormat="1" ht="18" customHeight="1">
      <c r="A6" s="508">
        <v>2</v>
      </c>
      <c r="B6" s="292" t="s">
        <v>294</v>
      </c>
      <c r="C6" s="511">
        <v>12</v>
      </c>
      <c r="D6" s="254">
        <v>96</v>
      </c>
      <c r="E6" s="520" t="s">
        <v>326</v>
      </c>
    </row>
    <row r="7" spans="1:6" s="514" customFormat="1" ht="18" customHeight="1">
      <c r="A7" s="508">
        <v>3</v>
      </c>
      <c r="B7" s="292" t="s">
        <v>289</v>
      </c>
      <c r="C7" s="511">
        <v>30</v>
      </c>
      <c r="D7" s="254">
        <v>180</v>
      </c>
      <c r="E7" s="513" t="s">
        <v>265</v>
      </c>
    </row>
    <row r="8" spans="1:6" s="514" customFormat="1" ht="18" customHeight="1">
      <c r="A8" s="508">
        <v>4</v>
      </c>
      <c r="B8" s="511" t="s">
        <v>486</v>
      </c>
      <c r="C8" s="511">
        <v>60</v>
      </c>
      <c r="D8" s="252">
        <v>480</v>
      </c>
      <c r="E8" s="513" t="s">
        <v>326</v>
      </c>
    </row>
    <row r="9" spans="1:6" s="514" customFormat="1" ht="18" customHeight="1">
      <c r="A9" s="508">
        <v>5</v>
      </c>
      <c r="B9" s="292" t="s">
        <v>297</v>
      </c>
      <c r="C9" s="512">
        <v>24</v>
      </c>
      <c r="D9" s="252">
        <v>192</v>
      </c>
      <c r="E9" s="513" t="s">
        <v>326</v>
      </c>
    </row>
    <row r="10" spans="1:6" ht="26.25">
      <c r="A10" s="1136" t="s">
        <v>564</v>
      </c>
      <c r="B10" s="1136"/>
      <c r="C10" s="1136"/>
      <c r="D10" s="1136"/>
      <c r="E10" s="1136"/>
    </row>
    <row r="11" spans="1:6">
      <c r="A11" s="1075" t="s">
        <v>358</v>
      </c>
      <c r="B11" s="1137" t="s">
        <v>255</v>
      </c>
      <c r="C11" s="1138" t="s">
        <v>256</v>
      </c>
      <c r="D11" s="1138" t="s">
        <v>258</v>
      </c>
      <c r="E11" s="1139" t="s">
        <v>516</v>
      </c>
    </row>
    <row r="12" spans="1:6">
      <c r="A12" s="1075"/>
      <c r="B12" s="1137"/>
      <c r="C12" s="1138"/>
      <c r="D12" s="1138"/>
      <c r="E12" s="1140"/>
    </row>
    <row r="13" spans="1:6" ht="18" customHeight="1">
      <c r="A13" s="47">
        <v>1</v>
      </c>
      <c r="B13" s="567" t="s">
        <v>556</v>
      </c>
      <c r="C13" s="572">
        <v>32</v>
      </c>
      <c r="D13" s="573">
        <f>C13*4</f>
        <v>128</v>
      </c>
      <c r="E13" s="568" t="s">
        <v>557</v>
      </c>
    </row>
    <row r="14" spans="1:6" ht="18" customHeight="1">
      <c r="A14" s="47">
        <v>2</v>
      </c>
      <c r="B14" s="567" t="s">
        <v>558</v>
      </c>
      <c r="C14" s="572">
        <v>36</v>
      </c>
      <c r="D14" s="573">
        <f>C14*4</f>
        <v>144</v>
      </c>
      <c r="E14" s="568" t="s">
        <v>557</v>
      </c>
    </row>
    <row r="15" spans="1:6" ht="18" customHeight="1">
      <c r="A15" s="47">
        <v>3</v>
      </c>
      <c r="B15" s="569" t="s">
        <v>559</v>
      </c>
      <c r="C15" s="572">
        <v>24</v>
      </c>
      <c r="D15" s="573">
        <f>C15*4</f>
        <v>96</v>
      </c>
      <c r="E15" s="568" t="s">
        <v>557</v>
      </c>
    </row>
    <row r="16" spans="1:6" ht="18" customHeight="1">
      <c r="A16" s="47">
        <v>4</v>
      </c>
      <c r="B16" s="570" t="s">
        <v>560</v>
      </c>
      <c r="C16" s="572">
        <v>32</v>
      </c>
      <c r="D16" s="573">
        <f>C16*4</f>
        <v>128</v>
      </c>
      <c r="E16" s="568" t="s">
        <v>557</v>
      </c>
    </row>
    <row r="17" spans="1:5" ht="18" customHeight="1">
      <c r="A17" s="47">
        <v>5</v>
      </c>
      <c r="B17" s="42" t="s">
        <v>561</v>
      </c>
      <c r="C17" s="572">
        <v>44</v>
      </c>
      <c r="D17" s="573">
        <f>C17*8</f>
        <v>352</v>
      </c>
      <c r="E17" s="568" t="s">
        <v>562</v>
      </c>
    </row>
    <row r="18" spans="1:5" ht="18" customHeight="1">
      <c r="A18" s="47">
        <v>6</v>
      </c>
      <c r="B18" s="42" t="s">
        <v>563</v>
      </c>
      <c r="C18" s="572">
        <v>40</v>
      </c>
      <c r="D18" s="573">
        <f>C18*8</f>
        <v>320</v>
      </c>
      <c r="E18" s="568" t="s">
        <v>562</v>
      </c>
    </row>
    <row r="19" spans="1:5">
      <c r="B19" s="571"/>
    </row>
  </sheetData>
  <mergeCells count="13">
    <mergeCell ref="A10:E10"/>
    <mergeCell ref="A11:A12"/>
    <mergeCell ref="B11:B12"/>
    <mergeCell ref="C11:C12"/>
    <mergeCell ref="D11:D12"/>
    <mergeCell ref="E11:E12"/>
    <mergeCell ref="E3:E4"/>
    <mergeCell ref="A1:E1"/>
    <mergeCell ref="A2:E2"/>
    <mergeCell ref="A3:A4"/>
    <mergeCell ref="B3:B4"/>
    <mergeCell ref="C3:C4"/>
    <mergeCell ref="D3:D4"/>
  </mergeCells>
  <printOptions horizontalCentered="1"/>
  <pageMargins left="0.98" right="0" top="0.98" bottom="0.5" header="0" footer="0"/>
  <pageSetup paperSize="9" scale="71" orientation="portrait" verticalDpi="0" r:id="rId1"/>
  <headerFooter>
    <oddHeader>&amp;L&amp;"Arial Black,Regular"PT.QUTY KARUNIA&amp;R&amp;D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BF1F3"/>
  </sheetPr>
  <dimension ref="A1:I55"/>
  <sheetViews>
    <sheetView view="pageBreakPreview" topLeftCell="B31" zoomScaleSheetLayoutView="100" workbookViewId="0">
      <selection activeCell="E51" sqref="E51"/>
    </sheetView>
  </sheetViews>
  <sheetFormatPr defaultRowHeight="15"/>
  <cols>
    <col min="1" max="1" width="4.5703125" style="86" customWidth="1"/>
    <col min="2" max="2" width="46.7109375" style="285" customWidth="1"/>
    <col min="3" max="3" width="8.7109375" style="257" customWidth="1"/>
    <col min="4" max="4" width="14.28515625" customWidth="1"/>
    <col min="5" max="5" width="12.42578125" customWidth="1"/>
    <col min="6" max="6" width="10.42578125" customWidth="1"/>
    <col min="7" max="7" width="21.42578125" customWidth="1"/>
    <col min="8" max="8" width="20.140625" customWidth="1"/>
    <col min="9" max="9" width="35" customWidth="1"/>
    <col min="10" max="10" width="18.7109375" customWidth="1"/>
  </cols>
  <sheetData>
    <row r="1" spans="1:9" ht="26.25">
      <c r="A1" s="322"/>
      <c r="B1" s="1109" t="s">
        <v>363</v>
      </c>
      <c r="C1" s="1109"/>
      <c r="D1" s="1109"/>
      <c r="E1" s="1109"/>
      <c r="F1" s="1109"/>
      <c r="G1" s="1109"/>
      <c r="H1" s="1109"/>
      <c r="I1" s="1175"/>
    </row>
    <row r="2" spans="1:9" ht="16.5" thickBot="1">
      <c r="A2" s="323"/>
      <c r="B2" s="302"/>
      <c r="C2" s="540"/>
      <c r="D2" s="297"/>
      <c r="E2" s="297"/>
      <c r="F2" s="297"/>
      <c r="G2" s="298"/>
      <c r="H2" s="298"/>
      <c r="I2" s="324"/>
    </row>
    <row r="3" spans="1:9" ht="24.95" customHeight="1">
      <c r="A3" s="1153" t="s">
        <v>358</v>
      </c>
      <c r="B3" s="1154" t="s">
        <v>255</v>
      </c>
      <c r="C3" s="1114" t="s">
        <v>256</v>
      </c>
      <c r="D3" s="1114" t="s">
        <v>257</v>
      </c>
      <c r="E3" s="1114" t="s">
        <v>382</v>
      </c>
      <c r="F3" s="1114" t="s">
        <v>381</v>
      </c>
      <c r="G3" s="1114" t="s">
        <v>259</v>
      </c>
      <c r="H3" s="1113" t="s">
        <v>260</v>
      </c>
      <c r="I3" s="1176" t="s">
        <v>273</v>
      </c>
    </row>
    <row r="4" spans="1:9" ht="31.5" customHeight="1" thickBot="1">
      <c r="A4" s="1153"/>
      <c r="B4" s="1155"/>
      <c r="C4" s="1114"/>
      <c r="D4" s="1114"/>
      <c r="E4" s="1114"/>
      <c r="F4" s="1114"/>
      <c r="G4" s="1114"/>
      <c r="H4" s="1114"/>
      <c r="I4" s="1177"/>
    </row>
    <row r="5" spans="1:9" ht="15" customHeight="1" thickTop="1">
      <c r="A5" s="328">
        <v>1</v>
      </c>
      <c r="B5" s="306" t="s">
        <v>318</v>
      </c>
      <c r="C5" s="307">
        <v>24</v>
      </c>
      <c r="D5" s="307"/>
      <c r="E5" s="307">
        <f>C5*F5</f>
        <v>384</v>
      </c>
      <c r="F5" s="307">
        <v>16</v>
      </c>
      <c r="G5" s="1117" t="s">
        <v>392</v>
      </c>
      <c r="H5" s="1065"/>
      <c r="I5" s="1178"/>
    </row>
    <row r="6" spans="1:9" ht="15" customHeight="1">
      <c r="A6" s="327">
        <v>2</v>
      </c>
      <c r="B6" s="316" t="s">
        <v>317</v>
      </c>
      <c r="C6" s="317">
        <v>36</v>
      </c>
      <c r="D6" s="317"/>
      <c r="E6" s="307">
        <f>C6*F6</f>
        <v>576</v>
      </c>
      <c r="F6" s="317">
        <v>16</v>
      </c>
      <c r="G6" s="1118"/>
      <c r="H6" s="1066"/>
      <c r="I6" s="1178"/>
    </row>
    <row r="7" spans="1:9" s="331" customFormat="1" ht="15" customHeight="1">
      <c r="A7" s="328">
        <v>3</v>
      </c>
      <c r="B7" s="306" t="s">
        <v>380</v>
      </c>
      <c r="C7" s="307">
        <v>54</v>
      </c>
      <c r="D7" s="307"/>
      <c r="E7" s="307">
        <v>864</v>
      </c>
      <c r="F7" s="307">
        <f>E7/C7</f>
        <v>16</v>
      </c>
      <c r="G7" s="1118"/>
      <c r="H7" s="1066"/>
      <c r="I7" s="1178"/>
    </row>
    <row r="8" spans="1:9" s="331" customFormat="1" ht="15" customHeight="1">
      <c r="A8" s="328">
        <v>4</v>
      </c>
      <c r="B8" s="421" t="s">
        <v>490</v>
      </c>
      <c r="C8" s="307">
        <v>60</v>
      </c>
      <c r="D8" s="307"/>
      <c r="E8" s="307">
        <f>C8*F8</f>
        <v>960</v>
      </c>
      <c r="F8" s="307">
        <v>16</v>
      </c>
      <c r="G8" s="1118"/>
      <c r="H8" s="1066"/>
      <c r="I8" s="1178"/>
    </row>
    <row r="9" spans="1:9" s="331" customFormat="1" ht="15" customHeight="1" thickBot="1">
      <c r="A9" s="556">
        <v>5</v>
      </c>
      <c r="B9" s="380" t="s">
        <v>491</v>
      </c>
      <c r="C9" s="557">
        <v>30</v>
      </c>
      <c r="D9" s="557"/>
      <c r="E9" s="557">
        <f>C9*F9</f>
        <v>480</v>
      </c>
      <c r="F9" s="557">
        <v>16</v>
      </c>
      <c r="G9" s="1143"/>
      <c r="H9" s="1144"/>
      <c r="I9" s="1178"/>
    </row>
    <row r="10" spans="1:9" s="149" customFormat="1" ht="15" customHeight="1">
      <c r="A10" s="552">
        <v>1</v>
      </c>
      <c r="B10" s="553" t="s">
        <v>319</v>
      </c>
      <c r="C10" s="554">
        <v>10</v>
      </c>
      <c r="D10" s="554"/>
      <c r="E10" s="554">
        <f>C10*F10</f>
        <v>80</v>
      </c>
      <c r="F10" s="555">
        <v>8</v>
      </c>
      <c r="G10" s="1179" t="s">
        <v>276</v>
      </c>
      <c r="H10" s="1179"/>
      <c r="I10" s="1178"/>
    </row>
    <row r="11" spans="1:9" ht="15" customHeight="1">
      <c r="A11" s="349">
        <v>2</v>
      </c>
      <c r="B11" s="391" t="s">
        <v>316</v>
      </c>
      <c r="C11" s="350">
        <v>32</v>
      </c>
      <c r="D11" s="350"/>
      <c r="E11" s="350">
        <f>C11*F11</f>
        <v>256</v>
      </c>
      <c r="F11" s="299">
        <v>8</v>
      </c>
      <c r="G11" s="1179"/>
      <c r="H11" s="1179"/>
      <c r="I11" s="1178"/>
    </row>
    <row r="12" spans="1:9" s="276" customFormat="1" ht="15" customHeight="1">
      <c r="A12" s="349">
        <v>3</v>
      </c>
      <c r="B12" s="303" t="s">
        <v>84</v>
      </c>
      <c r="C12" s="301">
        <v>45</v>
      </c>
      <c r="D12" s="301"/>
      <c r="E12" s="301">
        <v>360</v>
      </c>
      <c r="F12" s="301">
        <f>E12/C12</f>
        <v>8</v>
      </c>
      <c r="G12" s="1179"/>
      <c r="H12" s="1179"/>
      <c r="I12" s="1178"/>
    </row>
    <row r="13" spans="1:9" s="276" customFormat="1" ht="15" customHeight="1">
      <c r="A13" s="349">
        <v>4</v>
      </c>
      <c r="B13" s="305" t="s">
        <v>431</v>
      </c>
      <c r="C13" s="301">
        <v>198</v>
      </c>
      <c r="D13" s="301"/>
      <c r="E13" s="301">
        <f t="shared" ref="E13:E20" si="0">C13*F13</f>
        <v>1584</v>
      </c>
      <c r="F13" s="301">
        <v>8</v>
      </c>
      <c r="G13" s="1179"/>
      <c r="H13" s="1179"/>
      <c r="I13" s="1178"/>
    </row>
    <row r="14" spans="1:9" s="276" customFormat="1" ht="15" customHeight="1">
      <c r="A14" s="349">
        <v>5</v>
      </c>
      <c r="B14" s="505" t="s">
        <v>537</v>
      </c>
      <c r="C14" s="394">
        <v>300</v>
      </c>
      <c r="D14" s="394"/>
      <c r="E14" s="394">
        <f t="shared" si="0"/>
        <v>2400</v>
      </c>
      <c r="F14" s="394">
        <v>8</v>
      </c>
      <c r="G14" s="1179"/>
      <c r="H14" s="1179"/>
      <c r="I14" s="1178"/>
    </row>
    <row r="15" spans="1:9" s="276" customFormat="1" ht="15" customHeight="1">
      <c r="A15" s="552">
        <v>6</v>
      </c>
      <c r="B15" s="505" t="s">
        <v>555</v>
      </c>
      <c r="C15" s="394">
        <v>44</v>
      </c>
      <c r="D15" s="394"/>
      <c r="E15" s="394">
        <f t="shared" si="0"/>
        <v>352</v>
      </c>
      <c r="F15" s="394">
        <v>8</v>
      </c>
      <c r="G15" s="1179"/>
      <c r="H15" s="1179"/>
      <c r="I15" s="1178"/>
    </row>
    <row r="16" spans="1:9" s="276" customFormat="1" ht="15" customHeight="1">
      <c r="A16" s="349">
        <v>7</v>
      </c>
      <c r="B16" s="558" t="s">
        <v>551</v>
      </c>
      <c r="C16" s="559">
        <v>50</v>
      </c>
      <c r="D16" s="560"/>
      <c r="E16" s="560">
        <f t="shared" si="0"/>
        <v>400</v>
      </c>
      <c r="F16" s="561">
        <v>8</v>
      </c>
      <c r="G16" s="1179"/>
      <c r="H16" s="1179"/>
      <c r="I16" s="1178"/>
    </row>
    <row r="17" spans="1:9" s="276" customFormat="1" ht="15" customHeight="1">
      <c r="A17" s="349">
        <v>8</v>
      </c>
      <c r="B17" s="558" t="s">
        <v>479</v>
      </c>
      <c r="C17" s="559">
        <v>42</v>
      </c>
      <c r="D17" s="560"/>
      <c r="E17" s="560">
        <f t="shared" si="0"/>
        <v>336</v>
      </c>
      <c r="F17" s="561">
        <v>8</v>
      </c>
      <c r="G17" s="1179"/>
      <c r="H17" s="1179"/>
      <c r="I17" s="1178"/>
    </row>
    <row r="18" spans="1:9" s="276" customFormat="1" ht="15" customHeight="1">
      <c r="A18" s="349">
        <v>9</v>
      </c>
      <c r="B18" s="558" t="s">
        <v>480</v>
      </c>
      <c r="C18" s="559">
        <v>84</v>
      </c>
      <c r="D18" s="560"/>
      <c r="E18" s="560">
        <f t="shared" si="0"/>
        <v>672</v>
      </c>
      <c r="F18" s="561">
        <v>8</v>
      </c>
      <c r="G18" s="1179"/>
      <c r="H18" s="1179"/>
      <c r="I18" s="1178"/>
    </row>
    <row r="19" spans="1:9" s="276" customFormat="1" ht="15" customHeight="1">
      <c r="A19" s="349">
        <v>10</v>
      </c>
      <c r="B19" s="577" t="s">
        <v>476</v>
      </c>
      <c r="C19" s="578">
        <v>34</v>
      </c>
      <c r="D19" s="560"/>
      <c r="E19" s="560">
        <f t="shared" si="0"/>
        <v>272</v>
      </c>
      <c r="F19" s="560">
        <v>8</v>
      </c>
      <c r="G19" s="1179"/>
      <c r="H19" s="1179"/>
      <c r="I19" s="1178"/>
    </row>
    <row r="20" spans="1:9" s="276" customFormat="1" ht="15" customHeight="1" thickBot="1">
      <c r="A20" s="552">
        <v>11</v>
      </c>
      <c r="B20" s="579" t="s">
        <v>477</v>
      </c>
      <c r="C20" s="580">
        <v>232</v>
      </c>
      <c r="D20" s="581"/>
      <c r="E20" s="581">
        <f t="shared" si="0"/>
        <v>1856</v>
      </c>
      <c r="F20" s="581">
        <v>8</v>
      </c>
      <c r="G20" s="1180"/>
      <c r="H20" s="1181"/>
      <c r="I20" s="1178"/>
    </row>
    <row r="21" spans="1:9" s="149" customFormat="1" ht="15" customHeight="1">
      <c r="A21" s="341">
        <v>1</v>
      </c>
      <c r="B21" s="434" t="s">
        <v>554</v>
      </c>
      <c r="C21" s="336">
        <v>8</v>
      </c>
      <c r="D21" s="431"/>
      <c r="E21" s="336">
        <v>32</v>
      </c>
      <c r="F21" s="336">
        <v>4</v>
      </c>
      <c r="G21" s="1148" t="s">
        <v>341</v>
      </c>
      <c r="H21" s="550" t="s">
        <v>372</v>
      </c>
      <c r="I21" s="1178"/>
    </row>
    <row r="22" spans="1:9" s="149" customFormat="1" ht="15" customHeight="1">
      <c r="A22" s="342">
        <v>2</v>
      </c>
      <c r="B22" s="435" t="s">
        <v>360</v>
      </c>
      <c r="C22" s="337">
        <v>12</v>
      </c>
      <c r="D22" s="432"/>
      <c r="E22" s="337">
        <v>48</v>
      </c>
      <c r="F22" s="336">
        <v>4</v>
      </c>
      <c r="G22" s="1092"/>
      <c r="H22" s="503"/>
      <c r="I22" s="1178"/>
    </row>
    <row r="23" spans="1:9" s="149" customFormat="1" ht="15" customHeight="1">
      <c r="A23" s="342">
        <v>3</v>
      </c>
      <c r="B23" s="435" t="s">
        <v>361</v>
      </c>
      <c r="C23" s="337">
        <v>18</v>
      </c>
      <c r="D23" s="432"/>
      <c r="E23" s="337">
        <v>72</v>
      </c>
      <c r="F23" s="337">
        <v>4</v>
      </c>
      <c r="G23" s="1092"/>
      <c r="H23" s="503"/>
      <c r="I23" s="1178"/>
    </row>
    <row r="24" spans="1:9" s="149" customFormat="1" ht="15" customHeight="1">
      <c r="A24" s="341">
        <v>4</v>
      </c>
      <c r="B24" s="436" t="s">
        <v>413</v>
      </c>
      <c r="C24" s="337">
        <v>54</v>
      </c>
      <c r="D24" s="432"/>
      <c r="E24" s="337">
        <v>216</v>
      </c>
      <c r="F24" s="337">
        <f>E24/C24</f>
        <v>4</v>
      </c>
      <c r="G24" s="1092"/>
      <c r="H24" s="503"/>
      <c r="I24" s="1178"/>
    </row>
    <row r="25" spans="1:9" s="149" customFormat="1" ht="15" customHeight="1">
      <c r="A25" s="342">
        <v>5</v>
      </c>
      <c r="B25" s="436" t="s">
        <v>414</v>
      </c>
      <c r="C25" s="337">
        <v>224</v>
      </c>
      <c r="D25" s="432"/>
      <c r="E25" s="337">
        <v>896</v>
      </c>
      <c r="F25" s="337">
        <f>E25/C25</f>
        <v>4</v>
      </c>
      <c r="G25" s="1092"/>
      <c r="H25" s="503"/>
      <c r="I25" s="1178"/>
    </row>
    <row r="26" spans="1:9" s="149" customFormat="1" ht="15" customHeight="1">
      <c r="A26" s="342">
        <v>6</v>
      </c>
      <c r="B26" s="438" t="s">
        <v>375</v>
      </c>
      <c r="C26" s="340">
        <v>20</v>
      </c>
      <c r="D26" s="433"/>
      <c r="E26" s="340">
        <v>80</v>
      </c>
      <c r="F26" s="340">
        <f>E26/C26</f>
        <v>4</v>
      </c>
      <c r="G26" s="1092"/>
      <c r="H26" s="503"/>
      <c r="I26" s="1178"/>
    </row>
    <row r="27" spans="1:9" s="149" customFormat="1" ht="15" customHeight="1">
      <c r="A27" s="341">
        <v>7</v>
      </c>
      <c r="B27" s="435" t="s">
        <v>67</v>
      </c>
      <c r="C27" s="337">
        <v>14</v>
      </c>
      <c r="D27" s="432"/>
      <c r="E27" s="337">
        <f>C27*F27</f>
        <v>56</v>
      </c>
      <c r="F27" s="337">
        <v>4</v>
      </c>
      <c r="G27" s="1092"/>
      <c r="H27" s="503"/>
      <c r="I27" s="1178"/>
    </row>
    <row r="28" spans="1:9" s="149" customFormat="1" ht="15" customHeight="1">
      <c r="A28" s="342">
        <v>8</v>
      </c>
      <c r="B28" s="507" t="s">
        <v>540</v>
      </c>
      <c r="C28" s="340">
        <v>15</v>
      </c>
      <c r="D28" s="433"/>
      <c r="E28" s="337">
        <f>C28*F28</f>
        <v>60</v>
      </c>
      <c r="F28" s="340">
        <v>4</v>
      </c>
      <c r="G28" s="1092"/>
      <c r="H28" s="503"/>
      <c r="I28" s="1178"/>
    </row>
    <row r="29" spans="1:9" s="149" customFormat="1" ht="15" customHeight="1">
      <c r="A29" s="342">
        <v>9</v>
      </c>
      <c r="B29" s="455" t="s">
        <v>550</v>
      </c>
      <c r="C29" s="340">
        <v>12</v>
      </c>
      <c r="D29" s="433"/>
      <c r="E29" s="337">
        <f t="shared" ref="E29:E36" si="1">C29*F29</f>
        <v>48</v>
      </c>
      <c r="F29" s="340">
        <v>4</v>
      </c>
      <c r="G29" s="1092"/>
      <c r="H29" s="549"/>
      <c r="I29" s="1178"/>
    </row>
    <row r="30" spans="1:9" s="149" customFormat="1" ht="15" customHeight="1">
      <c r="A30" s="341">
        <v>10</v>
      </c>
      <c r="B30" s="430" t="s">
        <v>502</v>
      </c>
      <c r="C30" s="337">
        <v>16</v>
      </c>
      <c r="D30" s="432"/>
      <c r="E30" s="337">
        <f t="shared" si="1"/>
        <v>64</v>
      </c>
      <c r="F30" s="337">
        <v>4</v>
      </c>
      <c r="G30" s="1092"/>
      <c r="H30" s="339"/>
      <c r="I30" s="1178"/>
    </row>
    <row r="31" spans="1:9" s="149" customFormat="1" ht="15" customHeight="1">
      <c r="A31" s="342">
        <v>11</v>
      </c>
      <c r="B31" s="439" t="s">
        <v>503</v>
      </c>
      <c r="C31" s="337">
        <v>12</v>
      </c>
      <c r="D31" s="432"/>
      <c r="E31" s="337">
        <f t="shared" si="1"/>
        <v>48</v>
      </c>
      <c r="F31" s="337">
        <v>4</v>
      </c>
      <c r="G31" s="1092"/>
      <c r="H31" s="339"/>
      <c r="I31" s="1178"/>
    </row>
    <row r="32" spans="1:9" s="149" customFormat="1" ht="15" customHeight="1">
      <c r="A32" s="342">
        <v>12</v>
      </c>
      <c r="B32" s="456" t="s">
        <v>542</v>
      </c>
      <c r="C32" s="337">
        <v>8</v>
      </c>
      <c r="D32" s="432"/>
      <c r="E32" s="337">
        <f t="shared" si="1"/>
        <v>32</v>
      </c>
      <c r="F32" s="337">
        <v>4</v>
      </c>
      <c r="G32" s="1092"/>
      <c r="H32" s="457"/>
      <c r="I32" s="1178"/>
    </row>
    <row r="33" spans="1:9" s="149" customFormat="1" ht="15" customHeight="1">
      <c r="A33" s="341">
        <v>13</v>
      </c>
      <c r="B33" s="456" t="s">
        <v>528</v>
      </c>
      <c r="C33" s="337">
        <v>9</v>
      </c>
      <c r="D33" s="432"/>
      <c r="E33" s="337">
        <f t="shared" si="1"/>
        <v>36</v>
      </c>
      <c r="F33" s="337">
        <v>4</v>
      </c>
      <c r="G33" s="1092"/>
      <c r="H33" s="457"/>
      <c r="I33" s="1178"/>
    </row>
    <row r="34" spans="1:9" s="149" customFormat="1" ht="15" customHeight="1">
      <c r="A34" s="342">
        <v>14</v>
      </c>
      <c r="B34" s="456" t="s">
        <v>538</v>
      </c>
      <c r="C34" s="337">
        <v>16</v>
      </c>
      <c r="D34" s="432"/>
      <c r="E34" s="337">
        <f t="shared" si="1"/>
        <v>64</v>
      </c>
      <c r="F34" s="337">
        <v>4</v>
      </c>
      <c r="G34" s="1092"/>
      <c r="H34" s="457"/>
      <c r="I34" s="1178"/>
    </row>
    <row r="35" spans="1:9" s="149" customFormat="1" ht="15" customHeight="1">
      <c r="A35" s="342">
        <v>15</v>
      </c>
      <c r="B35" s="456" t="s">
        <v>553</v>
      </c>
      <c r="C35" s="337">
        <v>15</v>
      </c>
      <c r="D35" s="432"/>
      <c r="E35" s="337">
        <f t="shared" si="1"/>
        <v>60</v>
      </c>
      <c r="F35" s="337">
        <v>4</v>
      </c>
      <c r="G35" s="1092"/>
      <c r="H35" s="457"/>
      <c r="I35" s="1178"/>
    </row>
    <row r="36" spans="1:9" s="149" customFormat="1" ht="15" customHeight="1">
      <c r="A36" s="341">
        <v>16</v>
      </c>
      <c r="B36" s="456" t="s">
        <v>552</v>
      </c>
      <c r="C36" s="337">
        <v>12</v>
      </c>
      <c r="D36" s="432"/>
      <c r="E36" s="337">
        <f t="shared" si="1"/>
        <v>48</v>
      </c>
      <c r="F36" s="337">
        <v>4</v>
      </c>
      <c r="G36" s="1092"/>
      <c r="H36" s="457"/>
      <c r="I36" s="1178"/>
    </row>
    <row r="37" spans="1:9" s="149" customFormat="1" ht="15" customHeight="1">
      <c r="A37" s="342">
        <v>17</v>
      </c>
      <c r="B37" s="501" t="s">
        <v>517</v>
      </c>
      <c r="C37" s="502">
        <v>20</v>
      </c>
      <c r="D37" s="432"/>
      <c r="E37" s="502">
        <v>20</v>
      </c>
      <c r="F37" s="337">
        <v>4</v>
      </c>
      <c r="G37" s="1092"/>
      <c r="H37" s="457"/>
      <c r="I37" s="1178"/>
    </row>
    <row r="38" spans="1:9" s="149" customFormat="1" ht="15" customHeight="1">
      <c r="A38" s="342">
        <v>18</v>
      </c>
      <c r="B38" s="501" t="s">
        <v>519</v>
      </c>
      <c r="C38" s="502">
        <v>5</v>
      </c>
      <c r="D38" s="432"/>
      <c r="E38" s="502">
        <v>5</v>
      </c>
      <c r="F38" s="337">
        <v>4</v>
      </c>
      <c r="G38" s="1092"/>
      <c r="H38" s="457"/>
      <c r="I38" s="1178"/>
    </row>
    <row r="39" spans="1:9" s="149" customFormat="1" ht="15" customHeight="1">
      <c r="A39" s="341">
        <v>19</v>
      </c>
      <c r="B39" s="501" t="s">
        <v>520</v>
      </c>
      <c r="C39" s="502">
        <v>8</v>
      </c>
      <c r="D39" s="432"/>
      <c r="E39" s="502">
        <v>8</v>
      </c>
      <c r="F39" s="337">
        <v>4</v>
      </c>
      <c r="G39" s="1092"/>
      <c r="H39" s="457"/>
      <c r="I39" s="1178"/>
    </row>
    <row r="40" spans="1:9" s="149" customFormat="1" ht="15" customHeight="1">
      <c r="A40" s="342">
        <v>20</v>
      </c>
      <c r="B40" s="501" t="s">
        <v>521</v>
      </c>
      <c r="C40" s="502">
        <v>12</v>
      </c>
      <c r="D40" s="432"/>
      <c r="E40" s="502">
        <v>12</v>
      </c>
      <c r="F40" s="337">
        <v>4</v>
      </c>
      <c r="G40" s="1092"/>
      <c r="H40" s="457"/>
      <c r="I40" s="1178"/>
    </row>
    <row r="41" spans="1:9" s="149" customFormat="1" ht="15" customHeight="1">
      <c r="A41" s="342"/>
      <c r="B41" s="574" t="s">
        <v>565</v>
      </c>
      <c r="C41" s="575">
        <v>21</v>
      </c>
      <c r="D41" s="433"/>
      <c r="E41" s="576">
        <f>C41*F41</f>
        <v>84</v>
      </c>
      <c r="F41" s="337">
        <v>4</v>
      </c>
      <c r="G41" s="1092"/>
      <c r="H41" s="457"/>
      <c r="I41" s="1178"/>
    </row>
    <row r="42" spans="1:9" s="149" customFormat="1" ht="15" customHeight="1">
      <c r="A42" s="342"/>
      <c r="B42" s="574" t="s">
        <v>566</v>
      </c>
      <c r="C42" s="575">
        <v>18</v>
      </c>
      <c r="D42" s="433"/>
      <c r="E42" s="576">
        <f>C42*F42</f>
        <v>72</v>
      </c>
      <c r="F42" s="337">
        <v>4</v>
      </c>
      <c r="G42" s="1093"/>
      <c r="H42" s="457"/>
      <c r="I42" s="1178"/>
    </row>
    <row r="43" spans="1:9" s="149" customFormat="1" ht="15" customHeight="1">
      <c r="A43" s="342">
        <v>21</v>
      </c>
      <c r="B43" s="515" t="s">
        <v>543</v>
      </c>
      <c r="C43" s="516">
        <v>12</v>
      </c>
      <c r="D43" s="517"/>
      <c r="E43" s="518">
        <v>72</v>
      </c>
      <c r="F43" s="516">
        <f>E43/C43</f>
        <v>6</v>
      </c>
      <c r="G43" s="519" t="s">
        <v>544</v>
      </c>
      <c r="H43" s="457"/>
      <c r="I43" s="1178"/>
    </row>
    <row r="44" spans="1:9" s="149" customFormat="1" ht="15" customHeight="1">
      <c r="A44" s="343"/>
      <c r="B44" s="515" t="s">
        <v>545</v>
      </c>
      <c r="C44" s="516"/>
      <c r="D44" s="517"/>
      <c r="E44" s="518"/>
      <c r="F44" s="516"/>
      <c r="G44" s="519" t="s">
        <v>548</v>
      </c>
      <c r="H44" s="457"/>
      <c r="I44" s="1178"/>
    </row>
    <row r="45" spans="1:9" s="149" customFormat="1" ht="15" customHeight="1">
      <c r="A45" s="343"/>
      <c r="B45" s="515" t="s">
        <v>547</v>
      </c>
      <c r="C45" s="516"/>
      <c r="D45" s="517"/>
      <c r="E45" s="518"/>
      <c r="F45" s="516"/>
      <c r="G45" s="519" t="s">
        <v>549</v>
      </c>
      <c r="H45" s="457"/>
      <c r="I45" s="1178"/>
    </row>
    <row r="46" spans="1:9" s="149" customFormat="1" ht="15" customHeight="1">
      <c r="A46" s="441">
        <v>24</v>
      </c>
      <c r="B46" s="442" t="s">
        <v>374</v>
      </c>
      <c r="C46" s="223">
        <f>66</f>
        <v>66</v>
      </c>
      <c r="D46" s="223"/>
      <c r="E46" s="223">
        <f>C46*F46</f>
        <v>264</v>
      </c>
      <c r="F46" s="223">
        <v>4</v>
      </c>
      <c r="G46" s="224" t="s">
        <v>222</v>
      </c>
      <c r="H46" s="270" t="s">
        <v>401</v>
      </c>
      <c r="I46" s="1178"/>
    </row>
    <row r="47" spans="1:9">
      <c r="A47" s="440">
        <v>25</v>
      </c>
      <c r="B47" s="535" t="s">
        <v>81</v>
      </c>
      <c r="C47" s="562">
        <v>294</v>
      </c>
      <c r="D47" s="536"/>
      <c r="E47" s="537">
        <f>C47*F47</f>
        <v>3528</v>
      </c>
      <c r="F47" s="537">
        <v>12</v>
      </c>
      <c r="G47" s="396" t="s">
        <v>417</v>
      </c>
      <c r="H47" s="538"/>
      <c r="I47" s="1178"/>
    </row>
    <row r="48" spans="1:9">
      <c r="A48" s="204">
        <v>26</v>
      </c>
      <c r="B48" s="206" t="s">
        <v>390</v>
      </c>
      <c r="C48" s="563">
        <v>90</v>
      </c>
      <c r="D48" s="206"/>
      <c r="E48" s="207">
        <f>C48*F48</f>
        <v>2160</v>
      </c>
      <c r="F48" s="207">
        <v>24</v>
      </c>
      <c r="G48" s="208" t="s">
        <v>229</v>
      </c>
      <c r="H48" s="209"/>
      <c r="I48" s="1178"/>
    </row>
    <row r="49" spans="1:9">
      <c r="A49" s="187">
        <v>27</v>
      </c>
      <c r="B49" s="528" t="s">
        <v>533</v>
      </c>
      <c r="C49" s="564">
        <v>40</v>
      </c>
      <c r="D49" s="528"/>
      <c r="E49" s="529">
        <f>C49*F49</f>
        <v>480</v>
      </c>
      <c r="F49" s="529">
        <v>12</v>
      </c>
      <c r="G49" s="530" t="s">
        <v>495</v>
      </c>
      <c r="H49" s="186"/>
      <c r="I49" s="548"/>
    </row>
    <row r="50" spans="1:9">
      <c r="A50" s="534"/>
      <c r="B50" s="528" t="s">
        <v>534</v>
      </c>
      <c r="C50" s="565">
        <v>20</v>
      </c>
      <c r="D50" s="531"/>
      <c r="E50" s="532">
        <v>480</v>
      </c>
      <c r="F50" s="532">
        <v>12</v>
      </c>
      <c r="G50" s="533" t="s">
        <v>499</v>
      </c>
      <c r="H50" s="539" t="s">
        <v>535</v>
      </c>
      <c r="I50" s="551"/>
    </row>
    <row r="51" spans="1:9">
      <c r="A51" s="494"/>
      <c r="B51" s="498" t="s">
        <v>427</v>
      </c>
      <c r="C51" s="566"/>
      <c r="D51" s="498"/>
      <c r="E51" s="498"/>
      <c r="F51" s="498"/>
      <c r="G51" s="500" t="s">
        <v>428</v>
      </c>
      <c r="H51" s="498"/>
      <c r="I51" s="458" t="s">
        <v>530</v>
      </c>
    </row>
    <row r="52" spans="1:9">
      <c r="A52" s="497"/>
      <c r="B52" s="498" t="s">
        <v>437</v>
      </c>
      <c r="C52" s="500"/>
      <c r="D52" s="498"/>
      <c r="E52" s="498"/>
      <c r="F52" s="498"/>
      <c r="G52" s="500" t="s">
        <v>438</v>
      </c>
      <c r="H52" s="498"/>
      <c r="I52" s="458" t="s">
        <v>531</v>
      </c>
    </row>
    <row r="53" spans="1:9">
      <c r="A53" s="497">
        <v>1</v>
      </c>
      <c r="B53" s="523" t="s">
        <v>532</v>
      </c>
      <c r="C53" s="524"/>
      <c r="D53" s="523"/>
      <c r="E53" s="523">
        <v>480</v>
      </c>
      <c r="F53" s="523"/>
      <c r="G53" s="524" t="s">
        <v>493</v>
      </c>
      <c r="H53" s="498"/>
      <c r="I53" s="458" t="s">
        <v>530</v>
      </c>
    </row>
    <row r="54" spans="1:9" ht="15.75" thickBot="1">
      <c r="A54" s="495"/>
      <c r="B54" s="525" t="s">
        <v>437</v>
      </c>
      <c r="C54" s="527"/>
      <c r="D54" s="526"/>
      <c r="E54" s="526"/>
      <c r="F54" s="526"/>
      <c r="G54" s="527" t="s">
        <v>497</v>
      </c>
      <c r="H54" s="496"/>
      <c r="I54" s="499" t="s">
        <v>531</v>
      </c>
    </row>
    <row r="55" spans="1:9">
      <c r="C55" s="547"/>
      <c r="D55" s="285"/>
    </row>
  </sheetData>
  <mergeCells count="16">
    <mergeCell ref="H5:H9"/>
    <mergeCell ref="G5:G9"/>
    <mergeCell ref="I5:I48"/>
    <mergeCell ref="G10:G20"/>
    <mergeCell ref="H10:H20"/>
    <mergeCell ref="G21:G42"/>
    <mergeCell ref="B1:I1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" right="0" top="1.0900000000000001" bottom="0.05" header="0" footer="0.2"/>
  <pageSetup paperSize="9" scale="73" orientation="portrait" verticalDpi="0" r:id="rId1"/>
  <headerFooter>
    <oddHeader>&amp;L&amp;"Arial Black,Regular"PT.QUTY KARUNIA&amp;R18/07/2013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I43"/>
  <sheetViews>
    <sheetView showGridLines="0" view="pageBreakPreview" topLeftCell="A7" zoomScaleSheetLayoutView="100" workbookViewId="0">
      <selection activeCell="F8" sqref="F8"/>
    </sheetView>
  </sheetViews>
  <sheetFormatPr defaultRowHeight="15"/>
  <cols>
    <col min="1" max="1" width="6.85546875" style="86" customWidth="1"/>
    <col min="2" max="2" width="43.85546875" style="283" customWidth="1"/>
    <col min="3" max="3" width="10.28515625" style="257" customWidth="1"/>
    <col min="4" max="4" width="12.7109375" customWidth="1"/>
    <col min="5" max="5" width="15.5703125" style="257" customWidth="1"/>
    <col min="6" max="6" width="19.7109375" customWidth="1"/>
    <col min="7" max="7" width="39.5703125" customWidth="1"/>
    <col min="8" max="8" width="18.7109375" customWidth="1"/>
  </cols>
  <sheetData>
    <row r="1" spans="1:7" ht="26.25">
      <c r="B1" s="1182" t="s">
        <v>489</v>
      </c>
      <c r="C1" s="1182"/>
      <c r="D1" s="1182"/>
      <c r="E1" s="1182"/>
      <c r="F1" s="1182"/>
      <c r="G1" s="1182"/>
    </row>
    <row r="2" spans="1:7" ht="15.75">
      <c r="B2" s="278"/>
      <c r="C2" s="258"/>
      <c r="D2" s="91"/>
      <c r="E2" s="258"/>
      <c r="F2" s="92"/>
      <c r="G2" s="93"/>
    </row>
    <row r="3" spans="1:7" ht="24.95" customHeight="1">
      <c r="A3" s="1188" t="s">
        <v>358</v>
      </c>
      <c r="B3" s="1190" t="s">
        <v>255</v>
      </c>
      <c r="C3" s="1183" t="s">
        <v>256</v>
      </c>
      <c r="D3" s="1183" t="s">
        <v>258</v>
      </c>
      <c r="E3" s="1183" t="s">
        <v>313</v>
      </c>
      <c r="F3" s="1183" t="s">
        <v>259</v>
      </c>
      <c r="G3" s="1185" t="s">
        <v>273</v>
      </c>
    </row>
    <row r="4" spans="1:7" ht="31.5" customHeight="1">
      <c r="A4" s="1189"/>
      <c r="B4" s="1191"/>
      <c r="C4" s="1184"/>
      <c r="D4" s="1184"/>
      <c r="E4" s="1184"/>
      <c r="F4" s="1184"/>
      <c r="G4" s="1186"/>
    </row>
    <row r="5" spans="1:7" ht="30" customHeight="1">
      <c r="A5" s="405">
        <v>1</v>
      </c>
      <c r="B5" s="409" t="s">
        <v>488</v>
      </c>
      <c r="C5" s="410">
        <v>6</v>
      </c>
      <c r="D5" s="410">
        <f>C5*E5</f>
        <v>24</v>
      </c>
      <c r="E5" s="453">
        <v>4</v>
      </c>
      <c r="F5" s="1192" t="s">
        <v>267</v>
      </c>
      <c r="G5" s="1193" t="s">
        <v>280</v>
      </c>
    </row>
    <row r="6" spans="1:7" ht="30" customHeight="1">
      <c r="A6" s="405">
        <v>2</v>
      </c>
      <c r="B6" s="411" t="s">
        <v>484</v>
      </c>
      <c r="C6" s="407">
        <v>14</v>
      </c>
      <c r="D6" s="412">
        <f>C6*E6</f>
        <v>56</v>
      </c>
      <c r="E6" s="416">
        <f>4</f>
        <v>4</v>
      </c>
      <c r="F6" s="1192"/>
      <c r="G6" s="1194"/>
    </row>
    <row r="7" spans="1:7" ht="30" customHeight="1">
      <c r="A7" s="405">
        <v>3</v>
      </c>
      <c r="B7" s="411" t="s">
        <v>485</v>
      </c>
      <c r="C7" s="407">
        <v>9</v>
      </c>
      <c r="D7" s="412">
        <f>C7*E7</f>
        <v>36</v>
      </c>
      <c r="E7" s="416">
        <v>4</v>
      </c>
      <c r="F7" s="1192"/>
      <c r="G7" s="1195"/>
    </row>
    <row r="8" spans="1:7" ht="30" customHeight="1">
      <c r="A8" s="406">
        <v>4</v>
      </c>
      <c r="B8" s="413" t="s">
        <v>482</v>
      </c>
      <c r="C8" s="414">
        <v>120</v>
      </c>
      <c r="D8" s="414">
        <v>960</v>
      </c>
      <c r="E8" s="415">
        <v>8</v>
      </c>
      <c r="F8" s="417"/>
      <c r="G8" s="418"/>
    </row>
    <row r="9" spans="1:7" ht="30" customHeight="1">
      <c r="A9" s="405">
        <v>5</v>
      </c>
      <c r="B9" s="411" t="s">
        <v>483</v>
      </c>
      <c r="C9" s="416">
        <v>36</v>
      </c>
      <c r="D9" s="416">
        <f>C9*E9</f>
        <v>288</v>
      </c>
      <c r="E9" s="416">
        <v>8</v>
      </c>
      <c r="F9" s="1196" t="s">
        <v>326</v>
      </c>
      <c r="G9" s="1194" t="s">
        <v>220</v>
      </c>
    </row>
    <row r="10" spans="1:7" ht="30" customHeight="1">
      <c r="A10" s="405">
        <v>6</v>
      </c>
      <c r="B10" s="411" t="s">
        <v>486</v>
      </c>
      <c r="C10" s="408">
        <v>60</v>
      </c>
      <c r="D10" s="416">
        <f>C10*E10</f>
        <v>480</v>
      </c>
      <c r="E10" s="416">
        <v>8</v>
      </c>
      <c r="F10" s="1196"/>
      <c r="G10" s="1194"/>
    </row>
    <row r="11" spans="1:7" ht="30" customHeight="1">
      <c r="A11" s="405">
        <v>7</v>
      </c>
      <c r="B11" s="411" t="s">
        <v>487</v>
      </c>
      <c r="C11" s="416">
        <v>36</v>
      </c>
      <c r="D11" s="416">
        <f>C11*E11</f>
        <v>288</v>
      </c>
      <c r="E11" s="416">
        <v>8</v>
      </c>
      <c r="F11" s="1197"/>
      <c r="G11" s="1195"/>
    </row>
    <row r="12" spans="1:7" ht="30" customHeight="1">
      <c r="A12" s="1201" t="s">
        <v>500</v>
      </c>
      <c r="B12" s="1202"/>
      <c r="C12" s="1202"/>
      <c r="D12" s="1202"/>
      <c r="E12" s="1202"/>
      <c r="F12" s="1202"/>
      <c r="G12" s="1203"/>
    </row>
    <row r="13" spans="1:7" ht="41.25" customHeight="1">
      <c r="A13" s="405" t="s">
        <v>358</v>
      </c>
      <c r="B13" s="43" t="s">
        <v>255</v>
      </c>
      <c r="C13" s="423" t="s">
        <v>256</v>
      </c>
      <c r="D13" s="424" t="s">
        <v>258</v>
      </c>
      <c r="E13" s="425" t="s">
        <v>501</v>
      </c>
      <c r="F13" s="1206" t="s">
        <v>523</v>
      </c>
      <c r="G13" s="1207"/>
    </row>
    <row r="14" spans="1:7" ht="15.75">
      <c r="A14" s="426">
        <v>1</v>
      </c>
      <c r="B14" s="427" t="s">
        <v>492</v>
      </c>
      <c r="C14" s="426"/>
      <c r="D14" s="428"/>
      <c r="E14" s="426" t="s">
        <v>493</v>
      </c>
      <c r="F14" s="1199" t="s">
        <v>526</v>
      </c>
      <c r="G14" s="1200"/>
    </row>
    <row r="15" spans="1:7" ht="15.75">
      <c r="A15" s="426">
        <v>2</v>
      </c>
      <c r="B15" s="427" t="s">
        <v>494</v>
      </c>
      <c r="C15" s="426">
        <v>40</v>
      </c>
      <c r="D15" s="428">
        <v>480</v>
      </c>
      <c r="E15" s="426" t="s">
        <v>495</v>
      </c>
      <c r="F15" s="1199" t="s">
        <v>525</v>
      </c>
      <c r="G15" s="1200"/>
    </row>
    <row r="16" spans="1:7" ht="15.75">
      <c r="A16" s="426">
        <v>3</v>
      </c>
      <c r="B16" s="429" t="s">
        <v>496</v>
      </c>
      <c r="C16" s="426"/>
      <c r="D16" s="428"/>
      <c r="E16" s="426" t="s">
        <v>497</v>
      </c>
      <c r="F16" s="1199" t="s">
        <v>524</v>
      </c>
      <c r="G16" s="1200"/>
    </row>
    <row r="17" spans="1:9" ht="15.75">
      <c r="A17" s="426">
        <v>4</v>
      </c>
      <c r="B17" s="427" t="s">
        <v>498</v>
      </c>
      <c r="C17" s="426">
        <v>20</v>
      </c>
      <c r="D17" s="428">
        <v>480</v>
      </c>
      <c r="E17" s="426" t="s">
        <v>499</v>
      </c>
      <c r="F17" s="1199" t="s">
        <v>527</v>
      </c>
      <c r="G17" s="1200"/>
    </row>
    <row r="18" spans="1:9" ht="15.75">
      <c r="A18" s="448"/>
      <c r="B18" s="449"/>
      <c r="C18" s="448"/>
      <c r="D18" s="450"/>
      <c r="E18" s="448"/>
      <c r="F18" s="422"/>
    </row>
    <row r="19" spans="1:9" ht="23.25">
      <c r="A19" s="1198" t="s">
        <v>510</v>
      </c>
      <c r="B19" s="1198"/>
      <c r="C19" s="1198"/>
      <c r="D19" s="1198"/>
      <c r="E19" s="1198"/>
      <c r="F19" s="1198"/>
      <c r="G19" s="1198"/>
    </row>
    <row r="20" spans="1:9" ht="31.5">
      <c r="A20" s="1212" t="s">
        <v>358</v>
      </c>
      <c r="B20" s="1213" t="s">
        <v>255</v>
      </c>
      <c r="C20" s="1214" t="s">
        <v>256</v>
      </c>
      <c r="D20" s="1214" t="s">
        <v>258</v>
      </c>
      <c r="E20" s="1214" t="s">
        <v>313</v>
      </c>
      <c r="F20" s="1214" t="s">
        <v>259</v>
      </c>
      <c r="G20" s="1216" t="s">
        <v>273</v>
      </c>
      <c r="H20" s="445"/>
      <c r="I20" s="446"/>
    </row>
    <row r="21" spans="1:9" ht="31.5">
      <c r="A21" s="1212"/>
      <c r="B21" s="1213"/>
      <c r="C21" s="1214"/>
      <c r="D21" s="1214"/>
      <c r="E21" s="1214"/>
      <c r="F21" s="1214"/>
      <c r="G21" s="1216"/>
      <c r="H21" s="443"/>
      <c r="I21" s="443"/>
    </row>
    <row r="22" spans="1:9" ht="15" customHeight="1">
      <c r="A22" s="405">
        <v>1</v>
      </c>
      <c r="B22" s="451" t="s">
        <v>504</v>
      </c>
      <c r="C22" s="444">
        <v>30</v>
      </c>
      <c r="D22" s="410">
        <f>C22*E22</f>
        <v>480</v>
      </c>
      <c r="E22" s="453">
        <v>16</v>
      </c>
      <c r="F22" s="1192" t="s">
        <v>392</v>
      </c>
      <c r="G22" s="1215" t="s">
        <v>220</v>
      </c>
      <c r="H22" s="1187"/>
      <c r="I22" s="1187"/>
    </row>
    <row r="23" spans="1:9" ht="15" customHeight="1">
      <c r="A23" s="405">
        <v>2</v>
      </c>
      <c r="B23" s="451" t="s">
        <v>505</v>
      </c>
      <c r="C23" s="444">
        <v>30</v>
      </c>
      <c r="D23" s="412">
        <f>C23*E23</f>
        <v>480</v>
      </c>
      <c r="E23" s="416">
        <v>16</v>
      </c>
      <c r="F23" s="1192"/>
      <c r="G23" s="1215"/>
      <c r="H23" s="1187"/>
      <c r="I23" s="1187"/>
    </row>
    <row r="24" spans="1:9" ht="18.75">
      <c r="A24" s="405">
        <v>3</v>
      </c>
      <c r="B24" s="451" t="s">
        <v>506</v>
      </c>
      <c r="C24" s="444">
        <v>48</v>
      </c>
      <c r="D24" s="412">
        <f>C24*E24</f>
        <v>768</v>
      </c>
      <c r="E24" s="416">
        <v>16</v>
      </c>
      <c r="F24" s="1192"/>
      <c r="G24" s="1215"/>
      <c r="H24" s="447"/>
      <c r="I24" s="120"/>
    </row>
    <row r="25" spans="1:9" ht="18.75">
      <c r="A25" s="405">
        <v>4</v>
      </c>
      <c r="B25" s="451" t="s">
        <v>507</v>
      </c>
      <c r="C25" s="444">
        <v>48</v>
      </c>
      <c r="D25" s="452">
        <v>960</v>
      </c>
      <c r="E25" s="453">
        <v>16</v>
      </c>
      <c r="F25" s="1192"/>
      <c r="G25" s="1215"/>
      <c r="H25" s="447"/>
      <c r="I25" s="120"/>
    </row>
    <row r="26" spans="1:9" ht="18.75">
      <c r="A26" s="405">
        <v>5</v>
      </c>
      <c r="B26" s="451" t="s">
        <v>508</v>
      </c>
      <c r="C26" s="444">
        <v>48</v>
      </c>
      <c r="D26" s="416">
        <f>C26*E26</f>
        <v>768</v>
      </c>
      <c r="E26" s="416">
        <v>16</v>
      </c>
      <c r="F26" s="1192"/>
      <c r="G26" s="1215"/>
      <c r="H26" s="447"/>
      <c r="I26" s="120"/>
    </row>
    <row r="27" spans="1:9" ht="18.75">
      <c r="A27" s="405">
        <v>6</v>
      </c>
      <c r="B27" s="451" t="s">
        <v>509</v>
      </c>
      <c r="C27" s="444">
        <v>14</v>
      </c>
      <c r="D27" s="416">
        <f>C27*E27</f>
        <v>84</v>
      </c>
      <c r="E27" s="416">
        <v>6</v>
      </c>
      <c r="F27" s="493" t="s">
        <v>296</v>
      </c>
      <c r="G27" s="1215"/>
      <c r="H27" s="447"/>
      <c r="I27" s="120"/>
    </row>
    <row r="28" spans="1:9" ht="21.75" thickBot="1">
      <c r="A28" s="1211" t="s">
        <v>522</v>
      </c>
      <c r="B28" s="1211"/>
      <c r="C28" s="1211"/>
      <c r="D28" s="1211"/>
      <c r="E28" s="1211"/>
      <c r="F28" s="1211"/>
      <c r="G28" s="1211"/>
      <c r="H28" s="447"/>
      <c r="I28" s="120"/>
    </row>
    <row r="29" spans="1:9" ht="40.5" customHeight="1">
      <c r="A29" s="481" t="s">
        <v>515</v>
      </c>
      <c r="B29" s="482" t="s">
        <v>516</v>
      </c>
      <c r="C29" s="482" t="s">
        <v>452</v>
      </c>
      <c r="D29" s="482" t="s">
        <v>518</v>
      </c>
      <c r="E29" s="490" t="s">
        <v>313</v>
      </c>
      <c r="F29" s="482" t="s">
        <v>516</v>
      </c>
      <c r="G29" s="483"/>
      <c r="H29" s="120"/>
      <c r="I29" s="120"/>
    </row>
    <row r="30" spans="1:9" ht="20.100000000000001" customHeight="1">
      <c r="A30" s="484">
        <v>1</v>
      </c>
      <c r="B30" s="479" t="s">
        <v>517</v>
      </c>
      <c r="C30" s="477">
        <v>20</v>
      </c>
      <c r="D30" s="477">
        <v>80</v>
      </c>
      <c r="E30" s="491">
        <v>4</v>
      </c>
      <c r="F30" s="480" t="s">
        <v>267</v>
      </c>
      <c r="G30" s="1208" t="s">
        <v>280</v>
      </c>
      <c r="H30" s="120"/>
      <c r="I30" s="120"/>
    </row>
    <row r="31" spans="1:9" ht="20.100000000000001" customHeight="1">
      <c r="A31" s="485">
        <v>2</v>
      </c>
      <c r="B31" s="479" t="s">
        <v>519</v>
      </c>
      <c r="C31" s="477">
        <v>5</v>
      </c>
      <c r="D31" s="477">
        <v>20</v>
      </c>
      <c r="E31" s="488">
        <v>4</v>
      </c>
      <c r="F31" s="480" t="s">
        <v>267</v>
      </c>
      <c r="G31" s="1209"/>
    </row>
    <row r="32" spans="1:9" ht="20.100000000000001" customHeight="1">
      <c r="A32" s="484">
        <v>3</v>
      </c>
      <c r="B32" s="479" t="s">
        <v>520</v>
      </c>
      <c r="C32" s="477">
        <v>8</v>
      </c>
      <c r="D32" s="477">
        <v>32</v>
      </c>
      <c r="E32" s="488">
        <v>4</v>
      </c>
      <c r="F32" s="480" t="s">
        <v>267</v>
      </c>
      <c r="G32" s="1209"/>
    </row>
    <row r="33" spans="1:8" ht="20.100000000000001" customHeight="1">
      <c r="A33" s="485">
        <v>4</v>
      </c>
      <c r="B33" s="479" t="s">
        <v>521</v>
      </c>
      <c r="C33" s="477">
        <v>12</v>
      </c>
      <c r="D33" s="477">
        <v>48</v>
      </c>
      <c r="E33" s="488">
        <v>4</v>
      </c>
      <c r="F33" s="480" t="s">
        <v>267</v>
      </c>
      <c r="G33" s="1209"/>
    </row>
    <row r="34" spans="1:8" ht="20.100000000000001" customHeight="1" thickBot="1">
      <c r="A34" s="486">
        <v>5</v>
      </c>
      <c r="B34" s="492" t="s">
        <v>536</v>
      </c>
      <c r="C34" s="478">
        <v>240</v>
      </c>
      <c r="D34" s="478">
        <v>1920</v>
      </c>
      <c r="E34" s="489">
        <v>8</v>
      </c>
      <c r="F34" s="487" t="s">
        <v>326</v>
      </c>
      <c r="G34" s="1210"/>
    </row>
    <row r="35" spans="1:8" ht="20.100000000000001" customHeight="1" thickBot="1">
      <c r="A35" s="1204" t="s">
        <v>728</v>
      </c>
      <c r="B35" s="1205"/>
      <c r="C35" s="1205"/>
      <c r="D35" s="1205"/>
      <c r="E35" s="1205"/>
      <c r="F35" s="1205"/>
      <c r="G35" s="1205"/>
      <c r="H35" s="1205"/>
    </row>
    <row r="36" spans="1:8" ht="30">
      <c r="A36" s="481" t="s">
        <v>515</v>
      </c>
      <c r="B36" s="482" t="s">
        <v>516</v>
      </c>
      <c r="C36" s="482" t="s">
        <v>452</v>
      </c>
      <c r="D36" s="482" t="s">
        <v>518</v>
      </c>
      <c r="E36" s="490" t="s">
        <v>313</v>
      </c>
      <c r="F36" s="482" t="s">
        <v>516</v>
      </c>
      <c r="G36" s="483"/>
    </row>
    <row r="37" spans="1:8">
      <c r="A37" s="477">
        <v>1</v>
      </c>
      <c r="B37" s="741" t="s">
        <v>734</v>
      </c>
      <c r="C37" s="742">
        <v>16</v>
      </c>
      <c r="D37" s="742">
        <f t="shared" ref="D37:D43" si="0">C37*E37</f>
        <v>64</v>
      </c>
      <c r="E37" s="745">
        <v>4</v>
      </c>
      <c r="F37" s="747" t="s">
        <v>341</v>
      </c>
      <c r="G37" s="42"/>
    </row>
    <row r="38" spans="1:8">
      <c r="A38" s="744">
        <v>2</v>
      </c>
      <c r="B38" s="741" t="s">
        <v>735</v>
      </c>
      <c r="C38" s="742">
        <v>12</v>
      </c>
      <c r="D38" s="742">
        <f t="shared" si="0"/>
        <v>96</v>
      </c>
      <c r="E38" s="742">
        <v>8</v>
      </c>
      <c r="F38" s="480" t="s">
        <v>440</v>
      </c>
      <c r="G38" s="42"/>
    </row>
    <row r="39" spans="1:8">
      <c r="A39" s="477">
        <v>3</v>
      </c>
      <c r="B39" s="741" t="s">
        <v>729</v>
      </c>
      <c r="C39" s="742">
        <v>36</v>
      </c>
      <c r="D39" s="742">
        <f t="shared" si="0"/>
        <v>288</v>
      </c>
      <c r="E39" s="742">
        <v>8</v>
      </c>
      <c r="F39" s="480" t="s">
        <v>440</v>
      </c>
      <c r="G39" s="42"/>
    </row>
    <row r="40" spans="1:8" ht="15.75">
      <c r="A40" s="744">
        <v>4</v>
      </c>
      <c r="B40" s="479" t="s">
        <v>729</v>
      </c>
      <c r="C40" s="477">
        <v>36</v>
      </c>
      <c r="D40" s="477">
        <f t="shared" si="0"/>
        <v>288</v>
      </c>
      <c r="E40" s="488">
        <v>8</v>
      </c>
      <c r="F40" s="480" t="s">
        <v>440</v>
      </c>
      <c r="G40" s="746"/>
    </row>
    <row r="41" spans="1:8" ht="15.75">
      <c r="A41" s="477">
        <v>5</v>
      </c>
      <c r="B41" s="479" t="s">
        <v>730</v>
      </c>
      <c r="C41" s="477">
        <v>36</v>
      </c>
      <c r="D41" s="477">
        <f t="shared" si="0"/>
        <v>576</v>
      </c>
      <c r="E41" s="488">
        <v>16</v>
      </c>
      <c r="F41" s="480" t="s">
        <v>733</v>
      </c>
      <c r="G41" s="746"/>
    </row>
    <row r="42" spans="1:8" ht="15.75">
      <c r="A42" s="744">
        <v>6</v>
      </c>
      <c r="B42" s="741" t="s">
        <v>731</v>
      </c>
      <c r="C42" s="477">
        <v>36</v>
      </c>
      <c r="D42" s="477">
        <f t="shared" si="0"/>
        <v>576</v>
      </c>
      <c r="E42" s="488">
        <v>16</v>
      </c>
      <c r="F42" s="480" t="s">
        <v>733</v>
      </c>
      <c r="G42" s="746"/>
    </row>
    <row r="43" spans="1:8" ht="15.75">
      <c r="A43" s="477">
        <v>7</v>
      </c>
      <c r="B43" s="743" t="s">
        <v>732</v>
      </c>
      <c r="C43" s="477">
        <v>36</v>
      </c>
      <c r="D43" s="477">
        <f t="shared" si="0"/>
        <v>576</v>
      </c>
      <c r="E43" s="488">
        <v>16</v>
      </c>
      <c r="F43" s="480" t="s">
        <v>733</v>
      </c>
      <c r="G43" s="746"/>
    </row>
  </sheetData>
  <mergeCells count="32">
    <mergeCell ref="A35:H35"/>
    <mergeCell ref="F13:G13"/>
    <mergeCell ref="F14:G14"/>
    <mergeCell ref="F15:G15"/>
    <mergeCell ref="F16:G16"/>
    <mergeCell ref="G30:G34"/>
    <mergeCell ref="A28:G28"/>
    <mergeCell ref="A20:A21"/>
    <mergeCell ref="B20:B21"/>
    <mergeCell ref="C20:C21"/>
    <mergeCell ref="F22:F26"/>
    <mergeCell ref="G22:G27"/>
    <mergeCell ref="D20:D21"/>
    <mergeCell ref="E20:E21"/>
    <mergeCell ref="F20:F21"/>
    <mergeCell ref="G20:G21"/>
    <mergeCell ref="B1:G1"/>
    <mergeCell ref="F3:F4"/>
    <mergeCell ref="G3:G4"/>
    <mergeCell ref="H22:I23"/>
    <mergeCell ref="A3:A4"/>
    <mergeCell ref="B3:B4"/>
    <mergeCell ref="C3:C4"/>
    <mergeCell ref="D3:D4"/>
    <mergeCell ref="E3:E4"/>
    <mergeCell ref="F5:F7"/>
    <mergeCell ref="G5:G7"/>
    <mergeCell ref="F9:F11"/>
    <mergeCell ref="G9:G11"/>
    <mergeCell ref="A19:G19"/>
    <mergeCell ref="F17:G17"/>
    <mergeCell ref="A12:G12"/>
  </mergeCells>
  <printOptions horizontalCentered="1"/>
  <pageMargins left="0.98" right="0" top="0.98" bottom="0.5" header="0" footer="0"/>
  <pageSetup paperSize="9" scale="90" orientation="landscape" verticalDpi="0" r:id="rId1"/>
  <headerFooter>
    <oddHeader>&amp;L&amp;"Arial Black,Regular"PT.QUTY KARUNIA&amp;R&amp;D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1"/>
  <sheetViews>
    <sheetView showGridLines="0" view="pageBreakPreview" topLeftCell="I10" zoomScaleSheetLayoutView="100" workbookViewId="0">
      <selection activeCell="L12" sqref="L12"/>
    </sheetView>
  </sheetViews>
  <sheetFormatPr defaultRowHeight="15"/>
  <cols>
    <col min="1" max="1" width="9.140625" style="86"/>
    <col min="2" max="2" width="47.85546875" style="283" customWidth="1"/>
    <col min="3" max="3" width="13" style="257" customWidth="1"/>
    <col min="4" max="4" width="11.5703125" customWidth="1"/>
    <col min="5" max="5" width="12.140625" customWidth="1"/>
    <col min="6" max="6" width="23.140625" customWidth="1"/>
    <col min="7" max="7" width="36" hidden="1" customWidth="1"/>
    <col min="10" max="10" width="39.140625" customWidth="1"/>
    <col min="12" max="12" width="13.42578125" customWidth="1"/>
    <col min="13" max="13" width="12.140625" customWidth="1"/>
    <col min="15" max="15" width="15.7109375" customWidth="1"/>
    <col min="16" max="16" width="37.5703125" customWidth="1"/>
  </cols>
  <sheetData>
    <row r="1" spans="1:16" ht="26.25">
      <c r="B1" s="1182" t="s">
        <v>454</v>
      </c>
      <c r="C1" s="1182"/>
      <c r="D1" s="1182"/>
      <c r="E1" s="1182"/>
      <c r="F1" s="1182"/>
      <c r="G1" s="1182"/>
    </row>
    <row r="2" spans="1:16" ht="16.5" thickBot="1">
      <c r="B2" s="278"/>
      <c r="C2" s="258"/>
      <c r="D2" s="91"/>
      <c r="E2" s="91"/>
      <c r="F2" s="92"/>
      <c r="G2" s="93"/>
    </row>
    <row r="3" spans="1:16" ht="24.95" customHeight="1">
      <c r="A3" s="1223" t="s">
        <v>0</v>
      </c>
      <c r="B3" s="1217" t="s">
        <v>255</v>
      </c>
      <c r="C3" s="1218" t="s">
        <v>256</v>
      </c>
      <c r="D3" s="1218" t="s">
        <v>258</v>
      </c>
      <c r="E3" s="1218" t="s">
        <v>313</v>
      </c>
      <c r="F3" s="1218" t="s">
        <v>259</v>
      </c>
      <c r="G3" s="1219" t="s">
        <v>273</v>
      </c>
      <c r="I3" s="1074" t="s">
        <v>471</v>
      </c>
      <c r="J3" s="1074"/>
      <c r="K3" s="1074"/>
      <c r="L3" s="1074"/>
      <c r="M3" s="1074"/>
      <c r="N3" s="1074"/>
      <c r="O3" s="1074"/>
      <c r="P3" s="1074"/>
    </row>
    <row r="4" spans="1:16" ht="31.5" customHeight="1">
      <c r="A4" s="1224"/>
      <c r="B4" s="1191"/>
      <c r="C4" s="1184"/>
      <c r="D4" s="1184"/>
      <c r="E4" s="1184"/>
      <c r="F4" s="1184"/>
      <c r="G4" s="1220"/>
      <c r="I4" s="1074"/>
      <c r="J4" s="1074"/>
      <c r="K4" s="1074"/>
      <c r="L4" s="1074"/>
      <c r="M4" s="1074"/>
      <c r="N4" s="1074"/>
      <c r="O4" s="1074"/>
      <c r="P4" s="1074"/>
    </row>
    <row r="5" spans="1:16" ht="30" customHeight="1">
      <c r="A5" s="359">
        <v>1</v>
      </c>
      <c r="B5" s="292" t="s">
        <v>403</v>
      </c>
      <c r="C5" s="293">
        <v>6</v>
      </c>
      <c r="D5" s="294">
        <v>24</v>
      </c>
      <c r="E5" s="293">
        <f>D5/C5</f>
        <v>4</v>
      </c>
      <c r="F5" s="168" t="s">
        <v>341</v>
      </c>
      <c r="G5" s="1225" t="s">
        <v>280</v>
      </c>
      <c r="I5" s="367" t="s">
        <v>0</v>
      </c>
      <c r="J5" s="368" t="s">
        <v>442</v>
      </c>
      <c r="K5" s="368" t="s">
        <v>452</v>
      </c>
      <c r="L5" s="369" t="s">
        <v>453</v>
      </c>
      <c r="M5" s="369" t="s">
        <v>457</v>
      </c>
      <c r="N5" s="1226" t="s">
        <v>456</v>
      </c>
      <c r="O5" s="1227"/>
      <c r="P5" s="47" t="s">
        <v>465</v>
      </c>
    </row>
    <row r="6" spans="1:16" ht="30" customHeight="1">
      <c r="A6" s="359">
        <v>2</v>
      </c>
      <c r="B6" s="292" t="s">
        <v>404</v>
      </c>
      <c r="C6" s="250">
        <v>9</v>
      </c>
      <c r="D6" s="250">
        <v>36</v>
      </c>
      <c r="E6" s="293">
        <f>D6/C6</f>
        <v>4</v>
      </c>
      <c r="F6" s="168" t="s">
        <v>341</v>
      </c>
      <c r="G6" s="1221"/>
      <c r="I6" s="367">
        <v>1</v>
      </c>
      <c r="J6" s="376" t="s">
        <v>466</v>
      </c>
      <c r="K6" s="368">
        <v>5</v>
      </c>
      <c r="L6" s="381">
        <f>K6*M6</f>
        <v>20</v>
      </c>
      <c r="M6" s="252">
        <v>4</v>
      </c>
      <c r="N6" s="1226" t="s">
        <v>341</v>
      </c>
      <c r="O6" s="1227"/>
      <c r="P6" s="42"/>
    </row>
    <row r="7" spans="1:16" ht="30" customHeight="1">
      <c r="A7" s="359">
        <v>3</v>
      </c>
      <c r="B7" s="292" t="s">
        <v>405</v>
      </c>
      <c r="C7" s="252">
        <v>12</v>
      </c>
      <c r="D7" s="252">
        <v>48</v>
      </c>
      <c r="E7" s="252">
        <f>D7/C7</f>
        <v>4</v>
      </c>
      <c r="F7" s="168" t="s">
        <v>341</v>
      </c>
      <c r="G7" s="1221"/>
      <c r="I7" s="367">
        <v>2</v>
      </c>
      <c r="J7" s="376" t="s">
        <v>467</v>
      </c>
      <c r="K7" s="368">
        <v>12</v>
      </c>
      <c r="L7" s="381">
        <f>K7*M7</f>
        <v>48</v>
      </c>
      <c r="M7" s="252">
        <v>4</v>
      </c>
      <c r="N7" s="1226" t="s">
        <v>341</v>
      </c>
      <c r="O7" s="1227"/>
      <c r="P7" s="59" t="s">
        <v>469</v>
      </c>
    </row>
    <row r="8" spans="1:16" ht="30" customHeight="1">
      <c r="A8" s="359">
        <v>4</v>
      </c>
      <c r="B8" s="292" t="s">
        <v>406</v>
      </c>
      <c r="C8" s="252">
        <v>12</v>
      </c>
      <c r="D8" s="252">
        <v>48</v>
      </c>
      <c r="E8" s="252">
        <f>D8/C8</f>
        <v>4</v>
      </c>
      <c r="F8" s="168" t="s">
        <v>341</v>
      </c>
      <c r="G8" s="1221"/>
      <c r="I8" s="367">
        <v>3</v>
      </c>
      <c r="J8" s="376" t="s">
        <v>468</v>
      </c>
      <c r="K8" s="371">
        <v>12</v>
      </c>
      <c r="L8" s="381">
        <f>K8*M8</f>
        <v>48</v>
      </c>
      <c r="M8" s="252">
        <v>4</v>
      </c>
      <c r="N8" s="1226" t="s">
        <v>341</v>
      </c>
      <c r="O8" s="1227"/>
      <c r="P8" s="59" t="s">
        <v>470</v>
      </c>
    </row>
    <row r="9" spans="1:16" ht="30" customHeight="1">
      <c r="A9" s="359">
        <v>7</v>
      </c>
      <c r="B9" s="292" t="s">
        <v>432</v>
      </c>
      <c r="C9" s="252">
        <v>36</v>
      </c>
      <c r="D9" s="252">
        <f t="shared" ref="D9:D13" si="0">C9*E9</f>
        <v>576</v>
      </c>
      <c r="E9" s="252">
        <v>16</v>
      </c>
      <c r="F9" s="360" t="s">
        <v>439</v>
      </c>
      <c r="G9" s="1221"/>
      <c r="I9" s="1074" t="s">
        <v>474</v>
      </c>
      <c r="J9" s="1074"/>
      <c r="K9" s="1074"/>
      <c r="L9" s="1074"/>
      <c r="M9" s="1074"/>
      <c r="N9" s="1074"/>
      <c r="O9" s="1074"/>
      <c r="P9" s="1074"/>
    </row>
    <row r="10" spans="1:16" ht="30" customHeight="1">
      <c r="A10" s="359">
        <v>8</v>
      </c>
      <c r="B10" s="292" t="s">
        <v>433</v>
      </c>
      <c r="C10" s="252">
        <v>12</v>
      </c>
      <c r="D10" s="252">
        <f t="shared" si="0"/>
        <v>96</v>
      </c>
      <c r="E10" s="252">
        <v>8</v>
      </c>
      <c r="F10" s="360" t="s">
        <v>440</v>
      </c>
      <c r="G10" s="1221"/>
      <c r="I10" s="1074"/>
      <c r="J10" s="1074"/>
      <c r="K10" s="1074"/>
      <c r="L10" s="1074"/>
      <c r="M10" s="1074"/>
      <c r="N10" s="1074"/>
      <c r="O10" s="1074"/>
      <c r="P10" s="1074"/>
    </row>
    <row r="11" spans="1:16" ht="30" customHeight="1">
      <c r="A11" s="359">
        <v>9</v>
      </c>
      <c r="B11" s="292" t="s">
        <v>434</v>
      </c>
      <c r="C11" s="252">
        <v>36</v>
      </c>
      <c r="D11" s="252">
        <f t="shared" si="0"/>
        <v>288</v>
      </c>
      <c r="E11" s="252">
        <v>8</v>
      </c>
      <c r="F11" s="360" t="s">
        <v>440</v>
      </c>
      <c r="G11" s="1221"/>
      <c r="I11" s="367" t="s">
        <v>0</v>
      </c>
      <c r="J11" s="368" t="s">
        <v>442</v>
      </c>
      <c r="K11" s="368" t="s">
        <v>452</v>
      </c>
      <c r="L11" s="369" t="s">
        <v>453</v>
      </c>
      <c r="M11" s="369" t="s">
        <v>457</v>
      </c>
      <c r="N11" s="1226" t="s">
        <v>456</v>
      </c>
      <c r="O11" s="1227"/>
      <c r="P11" s="47" t="s">
        <v>465</v>
      </c>
    </row>
    <row r="12" spans="1:16" ht="30" customHeight="1">
      <c r="A12" s="359">
        <v>10</v>
      </c>
      <c r="B12" s="292" t="s">
        <v>441</v>
      </c>
      <c r="C12" s="252">
        <v>9</v>
      </c>
      <c r="D12" s="252">
        <f t="shared" si="0"/>
        <v>72</v>
      </c>
      <c r="E12" s="252">
        <v>8</v>
      </c>
      <c r="F12" s="360" t="s">
        <v>440</v>
      </c>
      <c r="G12" s="1221"/>
      <c r="I12" s="367">
        <v>1</v>
      </c>
      <c r="J12" s="376" t="s">
        <v>475</v>
      </c>
      <c r="K12" s="368">
        <v>34</v>
      </c>
      <c r="L12" s="381">
        <f>K12*M12</f>
        <v>272</v>
      </c>
      <c r="M12" s="252">
        <v>8</v>
      </c>
      <c r="N12" s="1226" t="s">
        <v>326</v>
      </c>
      <c r="O12" s="1227"/>
      <c r="P12" s="42"/>
    </row>
    <row r="13" spans="1:16" ht="30" customHeight="1">
      <c r="A13" s="359">
        <v>11</v>
      </c>
      <c r="B13" s="292" t="s">
        <v>435</v>
      </c>
      <c r="C13" s="252">
        <v>36</v>
      </c>
      <c r="D13" s="252">
        <f t="shared" si="0"/>
        <v>576</v>
      </c>
      <c r="E13" s="254">
        <v>16</v>
      </c>
      <c r="F13" s="360" t="s">
        <v>439</v>
      </c>
      <c r="G13" s="1221"/>
    </row>
    <row r="14" spans="1:16" ht="30" customHeight="1">
      <c r="A14" s="359">
        <v>12</v>
      </c>
      <c r="B14" s="292" t="s">
        <v>411</v>
      </c>
      <c r="C14" s="252">
        <v>90</v>
      </c>
      <c r="D14" s="252">
        <f>C14*E14</f>
        <v>1440</v>
      </c>
      <c r="E14" s="252">
        <v>16</v>
      </c>
      <c r="F14" s="168" t="s">
        <v>418</v>
      </c>
      <c r="G14" s="1222"/>
    </row>
    <row r="20" spans="1:7" ht="26.25">
      <c r="A20" s="1182" t="s">
        <v>455</v>
      </c>
      <c r="B20" s="1182"/>
      <c r="C20" s="1182"/>
      <c r="D20" s="1182"/>
      <c r="E20" s="1182"/>
      <c r="F20" s="1182"/>
    </row>
    <row r="21" spans="1:7" ht="5.25" customHeight="1"/>
    <row r="22" spans="1:7" ht="37.5" customHeight="1">
      <c r="A22" s="367" t="s">
        <v>358</v>
      </c>
      <c r="B22" s="368" t="s">
        <v>442</v>
      </c>
      <c r="C22" s="368" t="s">
        <v>452</v>
      </c>
      <c r="D22" s="369" t="s">
        <v>453</v>
      </c>
      <c r="E22" s="369" t="s">
        <v>457</v>
      </c>
      <c r="F22" s="368" t="s">
        <v>456</v>
      </c>
    </row>
    <row r="23" spans="1:7" ht="35.1" customHeight="1">
      <c r="A23" s="367">
        <v>1</v>
      </c>
      <c r="B23" s="376" t="s">
        <v>443</v>
      </c>
      <c r="C23" s="368">
        <v>26</v>
      </c>
      <c r="D23" s="368">
        <f>C23*E23</f>
        <v>416</v>
      </c>
      <c r="E23" s="368">
        <v>16</v>
      </c>
      <c r="F23" s="368" t="s">
        <v>444</v>
      </c>
    </row>
    <row r="24" spans="1:7" ht="35.1" customHeight="1">
      <c r="A24" s="367">
        <v>2</v>
      </c>
      <c r="B24" s="376" t="s">
        <v>445</v>
      </c>
      <c r="C24" s="368">
        <v>44</v>
      </c>
      <c r="D24" s="368">
        <f>C24*E24</f>
        <v>704</v>
      </c>
      <c r="E24" s="368">
        <v>16</v>
      </c>
      <c r="F24" s="368" t="s">
        <v>444</v>
      </c>
    </row>
    <row r="25" spans="1:7" ht="35.1" customHeight="1">
      <c r="A25" s="367">
        <v>3</v>
      </c>
      <c r="B25" s="373" t="s">
        <v>446</v>
      </c>
      <c r="C25" s="371">
        <v>30</v>
      </c>
      <c r="D25" s="371">
        <v>480</v>
      </c>
      <c r="E25" s="371">
        <f>D25/C25</f>
        <v>16</v>
      </c>
      <c r="F25" s="371" t="s">
        <v>444</v>
      </c>
    </row>
    <row r="26" spans="1:7" ht="35.1" customHeight="1">
      <c r="A26" s="367">
        <v>4</v>
      </c>
      <c r="B26" s="374" t="s">
        <v>447</v>
      </c>
      <c r="C26" s="371">
        <v>42</v>
      </c>
      <c r="D26" s="371">
        <v>168</v>
      </c>
      <c r="E26" s="371">
        <f>D26/C26</f>
        <v>4</v>
      </c>
      <c r="F26" s="371" t="s">
        <v>448</v>
      </c>
    </row>
    <row r="27" spans="1:7" ht="35.1" customHeight="1">
      <c r="A27" s="367">
        <v>5</v>
      </c>
      <c r="B27" s="373" t="s">
        <v>449</v>
      </c>
      <c r="C27" s="371">
        <v>48</v>
      </c>
      <c r="D27" s="371">
        <v>768</v>
      </c>
      <c r="E27" s="371">
        <f>D27/C27</f>
        <v>16</v>
      </c>
      <c r="F27" s="371" t="s">
        <v>444</v>
      </c>
    </row>
    <row r="28" spans="1:7" ht="35.1" customHeight="1">
      <c r="A28" s="366">
        <v>6</v>
      </c>
      <c r="B28" s="372" t="s">
        <v>450</v>
      </c>
      <c r="C28" s="370">
        <v>28</v>
      </c>
      <c r="D28" s="370">
        <f>C28*E28</f>
        <v>448</v>
      </c>
      <c r="E28" s="370">
        <v>16</v>
      </c>
      <c r="F28" s="370" t="s">
        <v>444</v>
      </c>
      <c r="G28" s="375" t="s">
        <v>458</v>
      </c>
    </row>
    <row r="29" spans="1:7" ht="35.1" customHeight="1">
      <c r="A29" s="367">
        <v>7</v>
      </c>
      <c r="B29" s="373" t="s">
        <v>451</v>
      </c>
      <c r="C29" s="371">
        <v>48</v>
      </c>
      <c r="D29" s="371">
        <v>768</v>
      </c>
      <c r="E29" s="371">
        <f>D29/C29</f>
        <v>16</v>
      </c>
      <c r="F29" s="371" t="s">
        <v>444</v>
      </c>
    </row>
    <row r="34" spans="1:6" ht="26.25">
      <c r="A34" s="1182" t="s">
        <v>460</v>
      </c>
      <c r="B34" s="1182"/>
      <c r="C34" s="1182"/>
      <c r="D34" s="1182"/>
      <c r="E34" s="1182"/>
      <c r="F34" s="1182"/>
    </row>
    <row r="36" spans="1:6" ht="30">
      <c r="A36" s="367" t="s">
        <v>358</v>
      </c>
      <c r="B36" s="368" t="s">
        <v>442</v>
      </c>
      <c r="C36" s="368" t="s">
        <v>452</v>
      </c>
      <c r="D36" s="369" t="s">
        <v>453</v>
      </c>
      <c r="E36" s="369" t="s">
        <v>457</v>
      </c>
      <c r="F36" s="368" t="s">
        <v>456</v>
      </c>
    </row>
    <row r="37" spans="1:6" ht="20.100000000000001" customHeight="1">
      <c r="A37" s="367">
        <v>1</v>
      </c>
      <c r="B37" s="376" t="s">
        <v>464</v>
      </c>
      <c r="C37" s="368">
        <v>48</v>
      </c>
      <c r="D37" s="381">
        <f>C37*E37</f>
        <v>384</v>
      </c>
      <c r="E37" s="382">
        <v>8</v>
      </c>
      <c r="F37" s="368" t="s">
        <v>276</v>
      </c>
    </row>
    <row r="38" spans="1:6" ht="20.100000000000001" customHeight="1">
      <c r="A38" s="367">
        <v>2</v>
      </c>
      <c r="B38" s="376" t="s">
        <v>462</v>
      </c>
      <c r="C38" s="368">
        <v>42</v>
      </c>
      <c r="D38" s="381">
        <f>C38*E38</f>
        <v>336</v>
      </c>
      <c r="E38" s="382">
        <v>8</v>
      </c>
      <c r="F38" s="368" t="s">
        <v>276</v>
      </c>
    </row>
    <row r="39" spans="1:6" ht="20.100000000000001" customHeight="1">
      <c r="A39" s="367">
        <v>3</v>
      </c>
      <c r="B39" s="376" t="s">
        <v>461</v>
      </c>
      <c r="C39" s="371">
        <v>84</v>
      </c>
      <c r="D39" s="381">
        <f>C39*E39</f>
        <v>672</v>
      </c>
      <c r="E39" s="382">
        <v>8</v>
      </c>
      <c r="F39" s="368" t="s">
        <v>276</v>
      </c>
    </row>
    <row r="40" spans="1:6" s="386" customFormat="1" ht="20.100000000000001" customHeight="1">
      <c r="A40" s="383">
        <v>4</v>
      </c>
      <c r="B40" s="384" t="s">
        <v>472</v>
      </c>
      <c r="C40" s="383">
        <f>D40/16</f>
        <v>60</v>
      </c>
      <c r="D40" s="387">
        <v>960</v>
      </c>
      <c r="E40" s="385">
        <v>16</v>
      </c>
      <c r="F40" s="383" t="s">
        <v>418</v>
      </c>
    </row>
    <row r="41" spans="1:6" ht="20.100000000000001" customHeight="1">
      <c r="A41" s="383">
        <v>5</v>
      </c>
      <c r="B41" s="384" t="s">
        <v>473</v>
      </c>
      <c r="C41" s="383">
        <v>30</v>
      </c>
      <c r="D41" s="385">
        <v>480</v>
      </c>
      <c r="E41" s="385">
        <v>16</v>
      </c>
      <c r="F41" s="383" t="s">
        <v>418</v>
      </c>
    </row>
  </sheetData>
  <mergeCells count="20">
    <mergeCell ref="I3:P4"/>
    <mergeCell ref="I9:P10"/>
    <mergeCell ref="A34:F34"/>
    <mergeCell ref="A20:F20"/>
    <mergeCell ref="G9:G14"/>
    <mergeCell ref="A3:A4"/>
    <mergeCell ref="G5:G8"/>
    <mergeCell ref="N6:O6"/>
    <mergeCell ref="N7:O7"/>
    <mergeCell ref="N8:O8"/>
    <mergeCell ref="N12:O12"/>
    <mergeCell ref="N5:O5"/>
    <mergeCell ref="N11:O11"/>
    <mergeCell ref="B1:G1"/>
    <mergeCell ref="B3:B4"/>
    <mergeCell ref="C3:C4"/>
    <mergeCell ref="D3:D4"/>
    <mergeCell ref="E3:E4"/>
    <mergeCell ref="F3:F4"/>
    <mergeCell ref="G3:G4"/>
  </mergeCells>
  <printOptions horizontalCentered="1"/>
  <pageMargins left="0.98" right="0" top="0.98" bottom="0.5" header="0" footer="0"/>
  <pageSetup paperSize="9" scale="95" orientation="landscape" verticalDpi="0" r:id="rId1"/>
  <headerFooter>
    <oddHeader>&amp;L&amp;"Arial Black,Regular"PT.QUTY KARUNIA&amp;R&amp;D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2"/>
  <sheetViews>
    <sheetView showGridLines="0" view="pageBreakPreview" topLeftCell="A16" zoomScaleSheetLayoutView="100" workbookViewId="0">
      <selection activeCell="G18" sqref="G18:G22"/>
    </sheetView>
  </sheetViews>
  <sheetFormatPr defaultRowHeight="15"/>
  <cols>
    <col min="1" max="1" width="9.140625" style="86"/>
    <col min="2" max="2" width="47.42578125" style="283" customWidth="1"/>
    <col min="3" max="3" width="13" style="257" customWidth="1"/>
    <col min="4" max="4" width="12.5703125" customWidth="1"/>
    <col min="5" max="5" width="14.42578125" customWidth="1"/>
    <col min="6" max="6" width="22.28515625" customWidth="1"/>
    <col min="7" max="7" width="36" customWidth="1"/>
    <col min="8" max="8" width="18.7109375" customWidth="1"/>
  </cols>
  <sheetData>
    <row r="1" spans="1:7" ht="26.25">
      <c r="B1" s="1182" t="s">
        <v>402</v>
      </c>
      <c r="C1" s="1182"/>
      <c r="D1" s="1182"/>
      <c r="E1" s="1182"/>
      <c r="F1" s="1182"/>
      <c r="G1" s="1182"/>
    </row>
    <row r="2" spans="1:7" ht="16.5" thickBot="1">
      <c r="B2" s="278"/>
      <c r="C2" s="258"/>
      <c r="D2" s="91"/>
      <c r="E2" s="91"/>
      <c r="F2" s="92"/>
      <c r="G2" s="93"/>
    </row>
    <row r="3" spans="1:7" ht="24.95" customHeight="1">
      <c r="A3" s="1223" t="s">
        <v>358</v>
      </c>
      <c r="B3" s="1217" t="s">
        <v>255</v>
      </c>
      <c r="C3" s="1218" t="s">
        <v>256</v>
      </c>
      <c r="D3" s="1218" t="s">
        <v>258</v>
      </c>
      <c r="E3" s="1218" t="s">
        <v>313</v>
      </c>
      <c r="F3" s="1218" t="s">
        <v>259</v>
      </c>
      <c r="G3" s="1219" t="s">
        <v>273</v>
      </c>
    </row>
    <row r="4" spans="1:7" ht="31.5" customHeight="1">
      <c r="A4" s="1224"/>
      <c r="B4" s="1191"/>
      <c r="C4" s="1184"/>
      <c r="D4" s="1184"/>
      <c r="E4" s="1184"/>
      <c r="F4" s="1184"/>
      <c r="G4" s="1220"/>
    </row>
    <row r="5" spans="1:7" ht="30" customHeight="1">
      <c r="A5" s="359">
        <v>1</v>
      </c>
      <c r="B5" s="292" t="s">
        <v>403</v>
      </c>
      <c r="C5" s="293">
        <v>6</v>
      </c>
      <c r="D5" s="294">
        <v>24</v>
      </c>
      <c r="E5" s="293">
        <f t="shared" ref="E5:E13" si="0">D5/C5</f>
        <v>4</v>
      </c>
      <c r="F5" s="1229" t="s">
        <v>341</v>
      </c>
      <c r="G5" s="1225" t="s">
        <v>280</v>
      </c>
    </row>
    <row r="6" spans="1:7" ht="30" customHeight="1">
      <c r="A6" s="359">
        <v>2</v>
      </c>
      <c r="B6" s="292" t="s">
        <v>404</v>
      </c>
      <c r="C6" s="250">
        <v>9</v>
      </c>
      <c r="D6" s="250">
        <v>36</v>
      </c>
      <c r="E6" s="293">
        <f t="shared" si="0"/>
        <v>4</v>
      </c>
      <c r="F6" s="1230"/>
      <c r="G6" s="1221"/>
    </row>
    <row r="7" spans="1:7" ht="30" customHeight="1">
      <c r="A7" s="359">
        <v>3</v>
      </c>
      <c r="B7" s="292" t="s">
        <v>405</v>
      </c>
      <c r="C7" s="252">
        <v>9</v>
      </c>
      <c r="D7" s="252">
        <v>36</v>
      </c>
      <c r="E7" s="252">
        <f t="shared" si="0"/>
        <v>4</v>
      </c>
      <c r="F7" s="1230"/>
      <c r="G7" s="1221"/>
    </row>
    <row r="8" spans="1:7" ht="30" customHeight="1">
      <c r="A8" s="359">
        <v>4</v>
      </c>
      <c r="B8" s="292" t="s">
        <v>406</v>
      </c>
      <c r="C8" s="252">
        <v>12</v>
      </c>
      <c r="D8" s="252">
        <v>48</v>
      </c>
      <c r="E8" s="252">
        <f t="shared" si="0"/>
        <v>4</v>
      </c>
      <c r="F8" s="1231"/>
      <c r="G8" s="1222"/>
    </row>
    <row r="9" spans="1:7" ht="30" customHeight="1">
      <c r="A9" s="359">
        <v>5</v>
      </c>
      <c r="B9" s="295" t="s">
        <v>407</v>
      </c>
      <c r="C9" s="252">
        <v>20</v>
      </c>
      <c r="D9" s="252">
        <v>160</v>
      </c>
      <c r="E9" s="252">
        <f t="shared" si="0"/>
        <v>8</v>
      </c>
      <c r="F9" s="1229" t="s">
        <v>276</v>
      </c>
      <c r="G9" s="1225" t="s">
        <v>220</v>
      </c>
    </row>
    <row r="10" spans="1:7" ht="30" customHeight="1">
      <c r="A10" s="359">
        <v>6</v>
      </c>
      <c r="B10" s="292" t="s">
        <v>408</v>
      </c>
      <c r="C10" s="252">
        <v>20</v>
      </c>
      <c r="D10" s="252">
        <v>160</v>
      </c>
      <c r="E10" s="252">
        <f t="shared" si="0"/>
        <v>8</v>
      </c>
      <c r="F10" s="1230"/>
      <c r="G10" s="1221"/>
    </row>
    <row r="11" spans="1:7" ht="30" customHeight="1">
      <c r="A11" s="359">
        <v>7</v>
      </c>
      <c r="B11" s="292" t="s">
        <v>409</v>
      </c>
      <c r="C11" s="252">
        <v>15</v>
      </c>
      <c r="D11" s="252">
        <v>120</v>
      </c>
      <c r="E11" s="252">
        <f t="shared" si="0"/>
        <v>8</v>
      </c>
      <c r="F11" s="1230"/>
      <c r="G11" s="1221"/>
    </row>
    <row r="12" spans="1:7" ht="30" customHeight="1">
      <c r="A12" s="359">
        <v>8</v>
      </c>
      <c r="B12" s="292" t="s">
        <v>410</v>
      </c>
      <c r="C12" s="252">
        <v>30</v>
      </c>
      <c r="D12" s="296">
        <v>240</v>
      </c>
      <c r="E12" s="254">
        <f t="shared" si="0"/>
        <v>8</v>
      </c>
      <c r="F12" s="1231"/>
      <c r="G12" s="1221"/>
    </row>
    <row r="13" spans="1:7" ht="30" customHeight="1">
      <c r="A13" s="359">
        <v>9</v>
      </c>
      <c r="B13" s="292" t="s">
        <v>411</v>
      </c>
      <c r="C13" s="252">
        <v>90</v>
      </c>
      <c r="D13" s="252">
        <v>1440</v>
      </c>
      <c r="E13" s="252">
        <f t="shared" si="0"/>
        <v>16</v>
      </c>
      <c r="F13" s="168" t="s">
        <v>392</v>
      </c>
      <c r="G13" s="1222"/>
    </row>
    <row r="14" spans="1:7" ht="26.25">
      <c r="B14" s="1182" t="s">
        <v>425</v>
      </c>
      <c r="C14" s="1182"/>
      <c r="D14" s="1182"/>
      <c r="E14" s="1182"/>
      <c r="F14" s="1182"/>
      <c r="G14" s="1182"/>
    </row>
    <row r="15" spans="1:7" ht="16.5" thickBot="1">
      <c r="B15" s="278"/>
      <c r="C15" s="258"/>
      <c r="D15" s="91"/>
      <c r="E15" s="91"/>
      <c r="F15" s="92"/>
      <c r="G15" s="93"/>
    </row>
    <row r="16" spans="1:7" ht="24.95" customHeight="1">
      <c r="A16" s="1223" t="s">
        <v>358</v>
      </c>
      <c r="B16" s="1217" t="s">
        <v>255</v>
      </c>
      <c r="C16" s="1218" t="s">
        <v>256</v>
      </c>
      <c r="D16" s="1218" t="s">
        <v>258</v>
      </c>
      <c r="E16" s="1218" t="s">
        <v>313</v>
      </c>
      <c r="F16" s="1218" t="s">
        <v>259</v>
      </c>
      <c r="G16" s="1219" t="s">
        <v>273</v>
      </c>
    </row>
    <row r="17" spans="1:7" ht="31.5" customHeight="1">
      <c r="A17" s="1224"/>
      <c r="B17" s="1191"/>
      <c r="C17" s="1184"/>
      <c r="D17" s="1184"/>
      <c r="E17" s="1184"/>
      <c r="F17" s="1184"/>
      <c r="G17" s="1220"/>
    </row>
    <row r="18" spans="1:7" ht="30" customHeight="1">
      <c r="A18" s="359">
        <v>1</v>
      </c>
      <c r="B18" s="292" t="s">
        <v>421</v>
      </c>
      <c r="C18" s="293">
        <v>250</v>
      </c>
      <c r="D18" s="294">
        <v>6000</v>
      </c>
      <c r="E18" s="293">
        <f>D18/C18</f>
        <v>24</v>
      </c>
      <c r="F18" s="168" t="s">
        <v>424</v>
      </c>
      <c r="G18" s="1228" t="s">
        <v>220</v>
      </c>
    </row>
    <row r="19" spans="1:7" ht="30" customHeight="1">
      <c r="A19" s="359">
        <v>2</v>
      </c>
      <c r="B19" s="292" t="s">
        <v>420</v>
      </c>
      <c r="C19" s="250">
        <v>24</v>
      </c>
      <c r="D19" s="250">
        <v>432</v>
      </c>
      <c r="E19" s="293">
        <f>D19/C19</f>
        <v>18</v>
      </c>
      <c r="F19" s="168" t="s">
        <v>261</v>
      </c>
      <c r="G19" s="1228"/>
    </row>
    <row r="20" spans="1:7" ht="30" customHeight="1">
      <c r="A20" s="359">
        <v>3</v>
      </c>
      <c r="B20" s="292" t="s">
        <v>419</v>
      </c>
      <c r="C20" s="252">
        <v>28</v>
      </c>
      <c r="D20" s="252">
        <v>336</v>
      </c>
      <c r="E20" s="293">
        <f>D20/C20</f>
        <v>12</v>
      </c>
      <c r="F20" s="168" t="s">
        <v>264</v>
      </c>
      <c r="G20" s="1228"/>
    </row>
    <row r="21" spans="1:7" ht="30" customHeight="1">
      <c r="A21" s="359">
        <v>4</v>
      </c>
      <c r="B21" s="292" t="s">
        <v>422</v>
      </c>
      <c r="C21" s="252">
        <v>24</v>
      </c>
      <c r="D21" s="252">
        <v>192</v>
      </c>
      <c r="E21" s="293">
        <f>D21/C21</f>
        <v>8</v>
      </c>
      <c r="F21" s="168" t="s">
        <v>326</v>
      </c>
      <c r="G21" s="1228"/>
    </row>
    <row r="22" spans="1:7" ht="30" customHeight="1">
      <c r="A22" s="359">
        <v>5</v>
      </c>
      <c r="B22" s="295" t="s">
        <v>423</v>
      </c>
      <c r="C22" s="252">
        <v>24</v>
      </c>
      <c r="D22" s="252">
        <v>288</v>
      </c>
      <c r="E22" s="293">
        <f>D22/C22</f>
        <v>12</v>
      </c>
      <c r="F22" s="168" t="s">
        <v>264</v>
      </c>
      <c r="G22" s="1228"/>
    </row>
  </sheetData>
  <mergeCells count="21">
    <mergeCell ref="B1:G1"/>
    <mergeCell ref="A3:A4"/>
    <mergeCell ref="B3:B4"/>
    <mergeCell ref="C3:C4"/>
    <mergeCell ref="D3:D4"/>
    <mergeCell ref="E3:E4"/>
    <mergeCell ref="F3:F4"/>
    <mergeCell ref="G3:G4"/>
    <mergeCell ref="A16:A17"/>
    <mergeCell ref="B16:B17"/>
    <mergeCell ref="C16:C17"/>
    <mergeCell ref="D16:D17"/>
    <mergeCell ref="E16:E17"/>
    <mergeCell ref="F16:F17"/>
    <mergeCell ref="G16:G17"/>
    <mergeCell ref="G18:G22"/>
    <mergeCell ref="F5:F8"/>
    <mergeCell ref="G5:G8"/>
    <mergeCell ref="F9:F12"/>
    <mergeCell ref="G9:G13"/>
    <mergeCell ref="B14:G14"/>
  </mergeCells>
  <printOptions horizontalCentered="1"/>
  <pageMargins left="0.98" right="0" top="0.98" bottom="0.5" header="0" footer="0"/>
  <pageSetup paperSize="9" scale="68" orientation="landscape" verticalDpi="0" r:id="rId1"/>
  <headerFooter>
    <oddHeader>&amp;L&amp;"Arial Black,Regular"PT.QUTY KARUNIA&amp;R18/07/2013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39"/>
  <sheetViews>
    <sheetView view="pageBreakPreview" topLeftCell="A18" zoomScaleSheetLayoutView="100" workbookViewId="0">
      <selection activeCell="B24" sqref="B24"/>
    </sheetView>
  </sheetViews>
  <sheetFormatPr defaultRowHeight="15"/>
  <cols>
    <col min="1" max="1" width="9.140625" style="257"/>
    <col min="2" max="2" width="40.42578125" style="283" bestFit="1" customWidth="1"/>
    <col min="3" max="3" width="8.7109375" style="257" customWidth="1"/>
    <col min="4" max="4" width="10.42578125" style="257" customWidth="1"/>
    <col min="5" max="5" width="14.42578125" customWidth="1"/>
    <col min="6" max="6" width="11" customWidth="1"/>
    <col min="7" max="7" width="22" customWidth="1"/>
    <col min="8" max="8" width="20" style="257" customWidth="1"/>
    <col min="9" max="9" width="36.140625" customWidth="1"/>
    <col min="10" max="10" width="18.7109375" customWidth="1"/>
  </cols>
  <sheetData>
    <row r="1" spans="1:9" ht="26.25">
      <c r="B1" s="1182" t="s">
        <v>348</v>
      </c>
      <c r="C1" s="1182"/>
      <c r="D1" s="1182"/>
      <c r="E1" s="1182"/>
      <c r="F1" s="1182"/>
      <c r="G1" s="1182"/>
      <c r="H1" s="1182"/>
      <c r="I1" s="1182"/>
    </row>
    <row r="2" spans="1:9" ht="16.5" thickBot="1">
      <c r="B2" s="278"/>
      <c r="C2" s="258"/>
      <c r="D2" s="258"/>
      <c r="E2" s="91"/>
      <c r="F2" s="91"/>
      <c r="G2" s="92"/>
      <c r="H2" s="92"/>
      <c r="I2" s="93"/>
    </row>
    <row r="3" spans="1:9" ht="24.95" customHeight="1">
      <c r="A3" s="1223" t="s">
        <v>358</v>
      </c>
      <c r="B3" s="1217" t="s">
        <v>255</v>
      </c>
      <c r="C3" s="1218" t="s">
        <v>256</v>
      </c>
      <c r="D3" s="1218" t="s">
        <v>257</v>
      </c>
      <c r="E3" s="1218" t="s">
        <v>258</v>
      </c>
      <c r="F3" s="1218" t="s">
        <v>313</v>
      </c>
      <c r="G3" s="1218" t="s">
        <v>259</v>
      </c>
      <c r="H3" s="1218" t="s">
        <v>260</v>
      </c>
      <c r="I3" s="1219" t="s">
        <v>273</v>
      </c>
    </row>
    <row r="4" spans="1:9" ht="31.5" customHeight="1" thickBot="1">
      <c r="A4" s="1234"/>
      <c r="B4" s="1235"/>
      <c r="C4" s="1236"/>
      <c r="D4" s="1236"/>
      <c r="E4" s="1236"/>
      <c r="F4" s="1236"/>
      <c r="G4" s="1236"/>
      <c r="H4" s="1236"/>
      <c r="I4" s="1237"/>
    </row>
    <row r="5" spans="1:9" ht="30" customHeight="1" thickTop="1">
      <c r="A5" s="170">
        <v>1</v>
      </c>
      <c r="B5" s="279" t="s">
        <v>346</v>
      </c>
      <c r="C5" s="248">
        <v>24</v>
      </c>
      <c r="D5" s="248">
        <v>24</v>
      </c>
      <c r="E5" s="249">
        <v>192</v>
      </c>
      <c r="F5" s="248">
        <f>E5/C5</f>
        <v>8</v>
      </c>
      <c r="G5" s="251" t="s">
        <v>276</v>
      </c>
      <c r="H5" s="251" t="s">
        <v>277</v>
      </c>
      <c r="I5" s="1232" t="s">
        <v>220</v>
      </c>
    </row>
    <row r="6" spans="1:9" ht="30" customHeight="1">
      <c r="A6" s="171">
        <v>2</v>
      </c>
      <c r="B6" s="173" t="s">
        <v>349</v>
      </c>
      <c r="C6" s="250">
        <v>20</v>
      </c>
      <c r="D6" s="250">
        <v>20</v>
      </c>
      <c r="E6" s="250">
        <v>320</v>
      </c>
      <c r="F6" s="248">
        <f>E6/C6</f>
        <v>16</v>
      </c>
      <c r="G6" s="304" t="s">
        <v>392</v>
      </c>
      <c r="H6" s="304" t="s">
        <v>337</v>
      </c>
      <c r="I6" s="1233"/>
    </row>
    <row r="7" spans="1:9" ht="30" customHeight="1">
      <c r="A7" s="171">
        <v>3</v>
      </c>
      <c r="B7" s="173" t="s">
        <v>350</v>
      </c>
      <c r="C7" s="252">
        <v>12</v>
      </c>
      <c r="D7" s="252">
        <v>12</v>
      </c>
      <c r="E7" s="252">
        <v>96</v>
      </c>
      <c r="F7" s="252">
        <f>E7/C7</f>
        <v>8</v>
      </c>
      <c r="G7" s="168" t="s">
        <v>276</v>
      </c>
      <c r="H7" s="168" t="s">
        <v>277</v>
      </c>
      <c r="I7" s="1225" t="s">
        <v>220</v>
      </c>
    </row>
    <row r="8" spans="1:9" ht="30" customHeight="1">
      <c r="A8" s="171">
        <v>4</v>
      </c>
      <c r="B8" s="173" t="s">
        <v>351</v>
      </c>
      <c r="C8" s="252">
        <v>30</v>
      </c>
      <c r="D8" s="252">
        <v>30</v>
      </c>
      <c r="E8" s="252">
        <v>240</v>
      </c>
      <c r="F8" s="252">
        <f>E8/C8</f>
        <v>8</v>
      </c>
      <c r="G8" s="168" t="s">
        <v>276</v>
      </c>
      <c r="H8" s="168" t="s">
        <v>277</v>
      </c>
      <c r="I8" s="1221"/>
    </row>
    <row r="9" spans="1:9" ht="30" customHeight="1">
      <c r="A9" s="171">
        <v>5</v>
      </c>
      <c r="B9" s="280" t="s">
        <v>352</v>
      </c>
      <c r="C9" s="252">
        <v>120</v>
      </c>
      <c r="D9" s="252">
        <v>120</v>
      </c>
      <c r="E9" s="252">
        <v>1920</v>
      </c>
      <c r="F9" s="252">
        <f>E9/C9</f>
        <v>16</v>
      </c>
      <c r="G9" s="168" t="s">
        <v>392</v>
      </c>
      <c r="H9" s="168" t="s">
        <v>337</v>
      </c>
      <c r="I9" s="1222"/>
    </row>
    <row r="10" spans="1:9" ht="30" customHeight="1">
      <c r="A10" s="171">
        <v>6</v>
      </c>
      <c r="B10" s="173" t="s">
        <v>353</v>
      </c>
      <c r="C10" s="252">
        <v>9</v>
      </c>
      <c r="D10" s="252">
        <v>9</v>
      </c>
      <c r="E10" s="252">
        <v>36</v>
      </c>
      <c r="F10" s="252">
        <v>4</v>
      </c>
      <c r="G10" s="168" t="s">
        <v>341</v>
      </c>
      <c r="H10" s="168" t="s">
        <v>359</v>
      </c>
      <c r="I10" s="253" t="s">
        <v>280</v>
      </c>
    </row>
    <row r="11" spans="1:9" ht="30" customHeight="1">
      <c r="A11" s="171">
        <v>7</v>
      </c>
      <c r="B11" s="173" t="s">
        <v>354</v>
      </c>
      <c r="C11" s="252">
        <v>30</v>
      </c>
      <c r="D11" s="252">
        <v>30</v>
      </c>
      <c r="E11" s="252">
        <v>240</v>
      </c>
      <c r="F11" s="252">
        <f>E11/C11</f>
        <v>8</v>
      </c>
      <c r="G11" s="168" t="s">
        <v>276</v>
      </c>
      <c r="H11" s="168" t="s">
        <v>277</v>
      </c>
      <c r="I11" s="1225" t="s">
        <v>220</v>
      </c>
    </row>
    <row r="12" spans="1:9" ht="30" customHeight="1">
      <c r="A12" s="171">
        <v>8</v>
      </c>
      <c r="B12" s="173" t="s">
        <v>355</v>
      </c>
      <c r="C12" s="252">
        <v>20</v>
      </c>
      <c r="D12" s="252">
        <v>20</v>
      </c>
      <c r="E12" s="254">
        <v>160</v>
      </c>
      <c r="F12" s="254">
        <f>E12/C12</f>
        <v>8</v>
      </c>
      <c r="G12" s="168" t="s">
        <v>276</v>
      </c>
      <c r="H12" s="168" t="s">
        <v>277</v>
      </c>
      <c r="I12" s="1221"/>
    </row>
    <row r="13" spans="1:9" ht="30" customHeight="1">
      <c r="A13" s="171">
        <v>9</v>
      </c>
      <c r="B13" s="173" t="s">
        <v>356</v>
      </c>
      <c r="C13" s="252">
        <v>14</v>
      </c>
      <c r="D13" s="252">
        <v>14</v>
      </c>
      <c r="E13" s="252">
        <v>224</v>
      </c>
      <c r="F13" s="252">
        <f>E13/C13</f>
        <v>16</v>
      </c>
      <c r="G13" s="168" t="s">
        <v>392</v>
      </c>
      <c r="H13" s="168" t="s">
        <v>337</v>
      </c>
      <c r="I13" s="1221"/>
    </row>
    <row r="14" spans="1:9" ht="30" customHeight="1">
      <c r="A14" s="171">
        <v>10</v>
      </c>
      <c r="B14" s="173" t="s">
        <v>357</v>
      </c>
      <c r="C14" s="252">
        <v>10</v>
      </c>
      <c r="D14" s="252">
        <v>10</v>
      </c>
      <c r="E14" s="252">
        <v>160</v>
      </c>
      <c r="F14" s="252">
        <f>E14/C14</f>
        <v>16</v>
      </c>
      <c r="G14" s="168" t="s">
        <v>392</v>
      </c>
      <c r="H14" s="168" t="s">
        <v>398</v>
      </c>
      <c r="I14" s="1222"/>
    </row>
    <row r="15" spans="1:9" ht="38.1" customHeight="1">
      <c r="A15" s="175">
        <v>11</v>
      </c>
      <c r="B15" s="173" t="s">
        <v>397</v>
      </c>
      <c r="C15" s="174">
        <v>84</v>
      </c>
      <c r="D15" s="174">
        <v>84</v>
      </c>
      <c r="E15" s="174">
        <v>1344</v>
      </c>
      <c r="F15" s="174">
        <f>+E15/C15</f>
        <v>16</v>
      </c>
      <c r="G15" s="168" t="s">
        <v>392</v>
      </c>
      <c r="H15" s="168" t="s">
        <v>337</v>
      </c>
      <c r="I15" s="169" t="s">
        <v>393</v>
      </c>
    </row>
    <row r="16" spans="1:9" s="260" customFormat="1" ht="38.1" customHeight="1">
      <c r="A16" s="175">
        <v>12</v>
      </c>
      <c r="B16" s="173" t="s">
        <v>396</v>
      </c>
      <c r="C16" s="174">
        <v>10</v>
      </c>
      <c r="D16" s="174">
        <v>10</v>
      </c>
      <c r="E16" s="174">
        <v>160</v>
      </c>
      <c r="F16" s="174">
        <f>+E16/C16</f>
        <v>16</v>
      </c>
      <c r="G16" s="168" t="s">
        <v>392</v>
      </c>
      <c r="H16" s="168" t="s">
        <v>399</v>
      </c>
      <c r="I16" s="169" t="s">
        <v>393</v>
      </c>
    </row>
    <row r="17" spans="1:9" s="259" customFormat="1" ht="38.1" customHeight="1">
      <c r="A17" s="286">
        <v>13</v>
      </c>
      <c r="B17" s="287" t="s">
        <v>394</v>
      </c>
      <c r="C17" s="288">
        <v>40</v>
      </c>
      <c r="D17" s="288">
        <v>40</v>
      </c>
      <c r="E17" s="288">
        <v>320</v>
      </c>
      <c r="F17" s="288">
        <f>E17/C17</f>
        <v>8</v>
      </c>
      <c r="G17" s="289" t="s">
        <v>276</v>
      </c>
      <c r="H17" s="289" t="s">
        <v>277</v>
      </c>
      <c r="I17" s="290" t="s">
        <v>393</v>
      </c>
    </row>
    <row r="18" spans="1:9" s="266" customFormat="1" ht="38.1" customHeight="1">
      <c r="A18" s="261">
        <v>14</v>
      </c>
      <c r="B18" s="262" t="s">
        <v>395</v>
      </c>
      <c r="C18" s="263">
        <v>14</v>
      </c>
      <c r="D18" s="263">
        <v>14</v>
      </c>
      <c r="E18" s="263">
        <f>C18*F18</f>
        <v>224</v>
      </c>
      <c r="F18" s="263">
        <v>16</v>
      </c>
      <c r="G18" s="264" t="s">
        <v>392</v>
      </c>
      <c r="H18" s="264" t="s">
        <v>400</v>
      </c>
      <c r="I18" s="265" t="s">
        <v>393</v>
      </c>
    </row>
    <row r="19" spans="1:9" s="259" customFormat="1" ht="38.1" customHeight="1">
      <c r="A19" s="175">
        <v>15</v>
      </c>
      <c r="B19" s="173" t="s">
        <v>347</v>
      </c>
      <c r="C19" s="174">
        <v>6</v>
      </c>
      <c r="D19" s="174">
        <v>6</v>
      </c>
      <c r="E19" s="174">
        <v>24</v>
      </c>
      <c r="F19" s="174">
        <f>+E19/C19</f>
        <v>4</v>
      </c>
      <c r="G19" s="168" t="s">
        <v>341</v>
      </c>
      <c r="H19" s="168" t="s">
        <v>359</v>
      </c>
      <c r="I19" s="169" t="s">
        <v>280</v>
      </c>
    </row>
    <row r="20" spans="1:9" s="266" customFormat="1" ht="38.1" customHeight="1">
      <c r="A20" s="261">
        <v>16</v>
      </c>
      <c r="B20" s="740" t="s">
        <v>727</v>
      </c>
      <c r="C20" s="267">
        <v>8</v>
      </c>
      <c r="D20" s="267">
        <v>8</v>
      </c>
      <c r="E20" s="267">
        <v>32</v>
      </c>
      <c r="F20" s="267">
        <v>4</v>
      </c>
      <c r="G20" s="268" t="s">
        <v>341</v>
      </c>
      <c r="H20" s="268" t="s">
        <v>359</v>
      </c>
      <c r="I20" s="269" t="s">
        <v>280</v>
      </c>
    </row>
    <row r="21" spans="1:9" ht="23.25" customHeight="1">
      <c r="B21" s="158"/>
      <c r="C21" s="255"/>
      <c r="D21" s="255"/>
      <c r="E21" s="158"/>
      <c r="F21" s="158"/>
      <c r="G21" s="158"/>
      <c r="H21" s="255"/>
      <c r="I21" s="158"/>
    </row>
    <row r="22" spans="1:9" s="159" customFormat="1" ht="35.1" customHeight="1">
      <c r="A22" s="172"/>
      <c r="B22" s="164"/>
      <c r="C22" s="256"/>
      <c r="D22" s="256"/>
      <c r="E22" s="165"/>
      <c r="F22" s="165"/>
      <c r="G22" s="165"/>
      <c r="H22" s="256" t="s">
        <v>924</v>
      </c>
      <c r="I22" s="166"/>
    </row>
    <row r="23" spans="1:9" s="159" customFormat="1" ht="35.1" customHeight="1">
      <c r="A23" s="172"/>
      <c r="B23" s="281"/>
      <c r="C23" s="256"/>
      <c r="D23" s="256"/>
      <c r="E23" s="165"/>
      <c r="F23" s="165"/>
      <c r="G23" s="165"/>
      <c r="H23" s="256"/>
      <c r="I23" s="166"/>
    </row>
    <row r="24" spans="1:9" s="159" customFormat="1" ht="35.1" customHeight="1">
      <c r="A24" s="172"/>
      <c r="B24" s="160"/>
      <c r="C24" s="161"/>
      <c r="D24" s="161"/>
      <c r="E24" s="161"/>
      <c r="F24" s="161"/>
      <c r="G24" s="167"/>
      <c r="H24" s="163">
        <v>4751</v>
      </c>
      <c r="I24" s="166"/>
    </row>
    <row r="25" spans="1:9" s="159" customFormat="1" ht="35.1" customHeight="1">
      <c r="A25" s="172"/>
      <c r="B25" s="162"/>
      <c r="C25" s="161"/>
      <c r="D25" s="161"/>
      <c r="E25" s="161"/>
      <c r="F25" s="161"/>
      <c r="G25" s="167"/>
      <c r="H25" s="163"/>
      <c r="I25" s="166"/>
    </row>
    <row r="26" spans="1:9" s="159" customFormat="1" ht="35.1" customHeight="1">
      <c r="A26" s="172"/>
      <c r="B26" s="160"/>
      <c r="C26" s="161"/>
      <c r="D26" s="161"/>
      <c r="E26" s="161"/>
      <c r="F26" s="161"/>
      <c r="G26" s="167"/>
      <c r="H26" s="163"/>
      <c r="I26" s="166"/>
    </row>
    <row r="27" spans="1:9" s="159" customFormat="1" ht="35.1" customHeight="1">
      <c r="A27" s="172"/>
      <c r="B27" s="160"/>
      <c r="C27" s="161"/>
      <c r="D27" s="161"/>
      <c r="E27" s="161"/>
      <c r="F27" s="161"/>
      <c r="G27" s="167"/>
      <c r="H27" s="163"/>
      <c r="I27" s="166"/>
    </row>
    <row r="28" spans="1:9" s="159" customFormat="1" ht="35.1" customHeight="1">
      <c r="A28" s="172"/>
      <c r="B28" s="162"/>
      <c r="C28" s="161"/>
      <c r="D28" s="161"/>
      <c r="E28" s="161"/>
      <c r="F28" s="161"/>
      <c r="G28" s="167"/>
      <c r="H28" s="163"/>
      <c r="I28" s="166"/>
    </row>
    <row r="29" spans="1:9" s="159" customFormat="1" ht="35.1" customHeight="1">
      <c r="A29" s="172"/>
      <c r="B29" s="160"/>
      <c r="C29" s="161"/>
      <c r="D29" s="161"/>
      <c r="E29" s="161"/>
      <c r="F29" s="161"/>
      <c r="G29" s="167"/>
      <c r="H29" s="163"/>
      <c r="I29" s="166"/>
    </row>
    <row r="30" spans="1:9" s="159" customFormat="1" ht="35.1" customHeight="1">
      <c r="A30" s="172"/>
      <c r="B30" s="160"/>
      <c r="C30" s="161"/>
      <c r="D30" s="161"/>
      <c r="E30" s="161"/>
      <c r="F30" s="161"/>
      <c r="G30" s="163"/>
      <c r="H30" s="163"/>
      <c r="I30" s="95"/>
    </row>
    <row r="31" spans="1:9" ht="15.75">
      <c r="B31" s="282"/>
      <c r="C31" s="97"/>
      <c r="D31" s="97"/>
      <c r="E31" s="97"/>
      <c r="F31" s="97"/>
      <c r="G31" s="98"/>
      <c r="H31" s="98"/>
      <c r="I31" s="94"/>
    </row>
    <row r="34" spans="10:15">
      <c r="J34" s="120"/>
      <c r="K34" s="120"/>
      <c r="L34" s="120"/>
      <c r="M34" s="120"/>
      <c r="N34" s="120"/>
      <c r="O34" s="120"/>
    </row>
    <row r="35" spans="10:15">
      <c r="J35" s="120"/>
      <c r="K35" s="120"/>
      <c r="L35" s="120"/>
      <c r="M35" s="120"/>
      <c r="N35" s="120"/>
      <c r="O35" s="120"/>
    </row>
    <row r="36" spans="10:15">
      <c r="J36" s="120"/>
      <c r="K36" s="120"/>
      <c r="L36" s="120"/>
      <c r="M36" s="120"/>
      <c r="N36" s="120"/>
      <c r="O36" s="120"/>
    </row>
    <row r="37" spans="10:15">
      <c r="J37" s="120"/>
      <c r="K37" s="120"/>
      <c r="L37" s="120"/>
      <c r="M37" s="120"/>
      <c r="N37" s="120"/>
      <c r="O37" s="120"/>
    </row>
    <row r="38" spans="10:15">
      <c r="J38" s="120"/>
      <c r="K38" s="120"/>
      <c r="L38" s="120"/>
      <c r="M38" s="120"/>
      <c r="N38" s="120"/>
      <c r="O38" s="120"/>
    </row>
    <row r="39" spans="10:15">
      <c r="J39" s="120"/>
      <c r="K39" s="120"/>
      <c r="L39" s="120"/>
      <c r="M39" s="120"/>
      <c r="N39" s="120"/>
      <c r="O39" s="120"/>
    </row>
  </sheetData>
  <mergeCells count="13">
    <mergeCell ref="I5:I6"/>
    <mergeCell ref="I7:I9"/>
    <mergeCell ref="I11:I14"/>
    <mergeCell ref="B1:I1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98" right="0" top="0.98" bottom="0.5" header="0" footer="0"/>
  <pageSetup paperSize="9" scale="65" orientation="landscape" verticalDpi="0" r:id="rId1"/>
  <headerFooter>
    <oddHeader>&amp;L&amp;"Arial Black,Regular"PT.QUTY KARUNIA&amp;R18/07/2013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I29"/>
  <sheetViews>
    <sheetView zoomScaleSheetLayoutView="110" workbookViewId="0">
      <selection activeCell="F9" sqref="F9"/>
    </sheetView>
  </sheetViews>
  <sheetFormatPr defaultRowHeight="15"/>
  <cols>
    <col min="1" max="1" width="6.28515625" style="86" customWidth="1"/>
    <col min="2" max="2" width="36.7109375" style="285" customWidth="1"/>
    <col min="3" max="3" width="8.7109375" customWidth="1"/>
    <col min="4" max="4" width="12.85546875" customWidth="1"/>
    <col min="5" max="5" width="12.42578125" customWidth="1"/>
    <col min="6" max="6" width="10.42578125" customWidth="1"/>
    <col min="7" max="7" width="23.7109375" customWidth="1"/>
    <col min="8" max="8" width="20.140625" customWidth="1"/>
    <col min="9" max="9" width="33.28515625" customWidth="1"/>
    <col min="10" max="10" width="18.7109375" customWidth="1"/>
  </cols>
  <sheetData>
    <row r="1" spans="1:9">
      <c r="A1" s="1240" t="s">
        <v>363</v>
      </c>
      <c r="B1" s="1109"/>
      <c r="C1" s="1109"/>
      <c r="D1" s="1109"/>
      <c r="E1" s="1109"/>
      <c r="F1" s="1109"/>
      <c r="G1" s="1109"/>
      <c r="H1" s="1109"/>
      <c r="I1" s="1175"/>
    </row>
    <row r="2" spans="1:9">
      <c r="A2" s="1241"/>
      <c r="B2" s="1242"/>
      <c r="C2" s="1242"/>
      <c r="D2" s="1242"/>
      <c r="E2" s="1242"/>
      <c r="F2" s="1242"/>
      <c r="G2" s="1242"/>
      <c r="H2" s="1242"/>
      <c r="I2" s="1243"/>
    </row>
    <row r="3" spans="1:9">
      <c r="A3" s="1075" t="s">
        <v>358</v>
      </c>
      <c r="B3" s="1076" t="s">
        <v>255</v>
      </c>
      <c r="C3" s="1078" t="s">
        <v>256</v>
      </c>
      <c r="D3" s="1078" t="s">
        <v>257</v>
      </c>
      <c r="E3" s="1078" t="s">
        <v>382</v>
      </c>
      <c r="F3" s="1078" t="s">
        <v>381</v>
      </c>
      <c r="G3" s="1078" t="s">
        <v>259</v>
      </c>
      <c r="H3" s="1078" t="s">
        <v>260</v>
      </c>
      <c r="I3" s="1228" t="s">
        <v>273</v>
      </c>
    </row>
    <row r="4" spans="1:9">
      <c r="A4" s="1075"/>
      <c r="B4" s="1077"/>
      <c r="C4" s="1078"/>
      <c r="D4" s="1078"/>
      <c r="E4" s="1078"/>
      <c r="F4" s="1078"/>
      <c r="G4" s="1078"/>
      <c r="H4" s="1078"/>
      <c r="I4" s="1228"/>
    </row>
    <row r="5" spans="1:9" s="462" customFormat="1" ht="14.25">
      <c r="A5" s="459">
        <v>1</v>
      </c>
      <c r="B5" s="460" t="s">
        <v>318</v>
      </c>
      <c r="C5" s="461">
        <v>24</v>
      </c>
      <c r="D5" s="461"/>
      <c r="E5" s="461">
        <f t="shared" ref="E5:E10" si="0">C5*F5</f>
        <v>384</v>
      </c>
      <c r="F5" s="461">
        <v>16</v>
      </c>
      <c r="G5" s="1239" t="s">
        <v>392</v>
      </c>
      <c r="H5" s="1238"/>
      <c r="I5" s="1238" t="s">
        <v>220</v>
      </c>
    </row>
    <row r="6" spans="1:9" s="462" customFormat="1" ht="14.25">
      <c r="A6" s="459">
        <v>2</v>
      </c>
      <c r="B6" s="460" t="s">
        <v>317</v>
      </c>
      <c r="C6" s="461">
        <v>30</v>
      </c>
      <c r="D6" s="461"/>
      <c r="E6" s="461">
        <f t="shared" si="0"/>
        <v>480</v>
      </c>
      <c r="F6" s="461">
        <v>16</v>
      </c>
      <c r="G6" s="1239"/>
      <c r="H6" s="1238"/>
      <c r="I6" s="1238"/>
    </row>
    <row r="7" spans="1:9" s="462" customFormat="1" ht="14.25">
      <c r="A7" s="459">
        <v>3</v>
      </c>
      <c r="B7" s="460" t="s">
        <v>332</v>
      </c>
      <c r="C7" s="461">
        <v>16</v>
      </c>
      <c r="D7" s="461">
        <v>1</v>
      </c>
      <c r="E7" s="461">
        <f t="shared" si="0"/>
        <v>256</v>
      </c>
      <c r="F7" s="461">
        <v>16</v>
      </c>
      <c r="G7" s="1239"/>
      <c r="H7" s="463" t="s">
        <v>367</v>
      </c>
      <c r="I7" s="1238"/>
    </row>
    <row r="8" spans="1:9" s="462" customFormat="1" ht="14.25">
      <c r="A8" s="459">
        <v>4</v>
      </c>
      <c r="B8" s="460" t="s">
        <v>331</v>
      </c>
      <c r="C8" s="461">
        <v>12</v>
      </c>
      <c r="D8" s="461">
        <v>1</v>
      </c>
      <c r="E8" s="461">
        <f t="shared" si="0"/>
        <v>192</v>
      </c>
      <c r="F8" s="461">
        <v>16</v>
      </c>
      <c r="G8" s="1239"/>
      <c r="H8" s="463" t="s">
        <v>367</v>
      </c>
      <c r="I8" s="1238"/>
    </row>
    <row r="9" spans="1:9" s="462" customFormat="1" ht="14.25">
      <c r="A9" s="459">
        <v>5</v>
      </c>
      <c r="B9" s="460" t="s">
        <v>334</v>
      </c>
      <c r="C9" s="461">
        <v>16</v>
      </c>
      <c r="D9" s="461">
        <v>1</v>
      </c>
      <c r="E9" s="461">
        <f t="shared" si="0"/>
        <v>256</v>
      </c>
      <c r="F9" s="461">
        <v>16</v>
      </c>
      <c r="G9" s="1239"/>
      <c r="H9" s="463" t="s">
        <v>367</v>
      </c>
      <c r="I9" s="1238"/>
    </row>
    <row r="10" spans="1:9" s="462" customFormat="1" ht="14.25">
      <c r="A10" s="459">
        <v>6</v>
      </c>
      <c r="B10" s="460" t="s">
        <v>333</v>
      </c>
      <c r="C10" s="461">
        <v>12</v>
      </c>
      <c r="D10" s="461">
        <v>1</v>
      </c>
      <c r="E10" s="461">
        <f t="shared" si="0"/>
        <v>192</v>
      </c>
      <c r="F10" s="461">
        <v>16</v>
      </c>
      <c r="G10" s="1239"/>
      <c r="H10" s="463" t="s">
        <v>367</v>
      </c>
      <c r="I10" s="1238"/>
    </row>
    <row r="11" spans="1:9" s="462" customFormat="1" ht="14.25">
      <c r="A11" s="459">
        <v>7</v>
      </c>
      <c r="B11" s="460" t="s">
        <v>380</v>
      </c>
      <c r="C11" s="461">
        <v>54</v>
      </c>
      <c r="D11" s="461"/>
      <c r="E11" s="461">
        <v>864</v>
      </c>
      <c r="F11" s="461">
        <f>E11/C11</f>
        <v>16</v>
      </c>
      <c r="G11" s="1239"/>
      <c r="H11" s="1238"/>
      <c r="I11" s="1238"/>
    </row>
    <row r="12" spans="1:9" s="462" customFormat="1" ht="14.25">
      <c r="A12" s="459">
        <v>8</v>
      </c>
      <c r="B12" s="464" t="s">
        <v>490</v>
      </c>
      <c r="C12" s="461">
        <v>60</v>
      </c>
      <c r="D12" s="461"/>
      <c r="E12" s="461">
        <f>C12*F12</f>
        <v>960</v>
      </c>
      <c r="F12" s="461">
        <v>16</v>
      </c>
      <c r="G12" s="1239"/>
      <c r="H12" s="1238"/>
      <c r="I12" s="1238"/>
    </row>
    <row r="13" spans="1:9" s="462" customFormat="1" ht="14.25">
      <c r="A13" s="459">
        <v>9</v>
      </c>
      <c r="B13" s="464" t="s">
        <v>491</v>
      </c>
      <c r="C13" s="461">
        <v>30</v>
      </c>
      <c r="D13" s="461"/>
      <c r="E13" s="461">
        <f>C13*F13</f>
        <v>480</v>
      </c>
      <c r="F13" s="461">
        <v>16</v>
      </c>
      <c r="G13" s="1239"/>
      <c r="H13" s="1238"/>
      <c r="I13" s="1238"/>
    </row>
    <row r="14" spans="1:9" s="462" customFormat="1" ht="14.25">
      <c r="A14" s="459">
        <v>10</v>
      </c>
      <c r="B14" s="460" t="s">
        <v>512</v>
      </c>
      <c r="C14" s="465">
        <v>40</v>
      </c>
      <c r="D14" s="465"/>
      <c r="E14" s="465">
        <f>C14*F14</f>
        <v>480</v>
      </c>
      <c r="F14" s="465">
        <v>12</v>
      </c>
      <c r="G14" s="463" t="s">
        <v>495</v>
      </c>
      <c r="H14" s="466"/>
      <c r="I14" s="1238"/>
    </row>
    <row r="15" spans="1:9" s="462" customFormat="1" ht="14.25">
      <c r="A15" s="459">
        <v>11</v>
      </c>
      <c r="B15" s="460" t="s">
        <v>316</v>
      </c>
      <c r="C15" s="465">
        <v>32</v>
      </c>
      <c r="D15" s="465"/>
      <c r="E15" s="465">
        <f>C15*F15</f>
        <v>256</v>
      </c>
      <c r="F15" s="467">
        <v>8</v>
      </c>
      <c r="G15" s="1238" t="s">
        <v>276</v>
      </c>
      <c r="H15" s="466"/>
      <c r="I15" s="1238"/>
    </row>
    <row r="16" spans="1:9" s="462" customFormat="1" ht="14.25">
      <c r="A16" s="459">
        <v>12</v>
      </c>
      <c r="B16" s="460" t="s">
        <v>436</v>
      </c>
      <c r="C16" s="465">
        <v>10</v>
      </c>
      <c r="D16" s="465"/>
      <c r="E16" s="465">
        <f>C16*F16</f>
        <v>80</v>
      </c>
      <c r="F16" s="465">
        <v>8</v>
      </c>
      <c r="G16" s="1238"/>
      <c r="H16" s="466"/>
      <c r="I16" s="1238"/>
    </row>
    <row r="17" spans="1:9" s="462" customFormat="1" ht="14.25">
      <c r="A17" s="459">
        <v>13</v>
      </c>
      <c r="B17" s="468" t="s">
        <v>412</v>
      </c>
      <c r="C17" s="469">
        <v>42</v>
      </c>
      <c r="D17" s="469"/>
      <c r="E17" s="469">
        <v>336</v>
      </c>
      <c r="F17" s="469">
        <f>E17/C17</f>
        <v>8</v>
      </c>
      <c r="G17" s="1238"/>
      <c r="H17" s="466"/>
      <c r="I17" s="1238"/>
    </row>
    <row r="18" spans="1:9" s="462" customFormat="1" ht="14.25">
      <c r="A18" s="459">
        <v>14</v>
      </c>
      <c r="B18" s="468" t="s">
        <v>84</v>
      </c>
      <c r="C18" s="469">
        <v>45</v>
      </c>
      <c r="D18" s="469"/>
      <c r="E18" s="469">
        <v>360</v>
      </c>
      <c r="F18" s="469">
        <f>E18/C18</f>
        <v>8</v>
      </c>
      <c r="G18" s="1238"/>
      <c r="H18" s="466"/>
      <c r="I18" s="1238"/>
    </row>
    <row r="19" spans="1:9" s="462" customFormat="1" ht="14.25">
      <c r="A19" s="459">
        <v>15</v>
      </c>
      <c r="B19" s="468" t="s">
        <v>431</v>
      </c>
      <c r="C19" s="469">
        <v>198</v>
      </c>
      <c r="D19" s="469"/>
      <c r="E19" s="469">
        <f>C19*F19</f>
        <v>1584</v>
      </c>
      <c r="F19" s="469">
        <v>8</v>
      </c>
      <c r="G19" s="1238"/>
      <c r="H19" s="466"/>
      <c r="I19" s="1238"/>
    </row>
    <row r="20" spans="1:9" s="462" customFormat="1" ht="14.25">
      <c r="A20" s="459">
        <v>16</v>
      </c>
      <c r="B20" s="468" t="s">
        <v>459</v>
      </c>
      <c r="C20" s="469">
        <v>9</v>
      </c>
      <c r="D20" s="469"/>
      <c r="E20" s="469">
        <v>72</v>
      </c>
      <c r="F20" s="469">
        <v>8</v>
      </c>
      <c r="G20" s="1238"/>
      <c r="H20" s="466"/>
      <c r="I20" s="1238"/>
    </row>
    <row r="21" spans="1:9" s="462" customFormat="1" ht="14.25">
      <c r="A21" s="459">
        <v>17</v>
      </c>
      <c r="B21" s="470" t="s">
        <v>478</v>
      </c>
      <c r="C21" s="471">
        <v>48</v>
      </c>
      <c r="D21" s="472"/>
      <c r="E21" s="472">
        <f>C21*F21</f>
        <v>384</v>
      </c>
      <c r="F21" s="472">
        <v>8</v>
      </c>
      <c r="G21" s="1238"/>
      <c r="H21" s="466"/>
      <c r="I21" s="1238"/>
    </row>
    <row r="22" spans="1:9" s="462" customFormat="1" ht="14.25">
      <c r="A22" s="459">
        <v>18</v>
      </c>
      <c r="B22" s="470" t="s">
        <v>479</v>
      </c>
      <c r="C22" s="471">
        <v>42</v>
      </c>
      <c r="D22" s="472"/>
      <c r="E22" s="472">
        <f>C22*F22</f>
        <v>336</v>
      </c>
      <c r="F22" s="472">
        <v>8</v>
      </c>
      <c r="G22" s="1238"/>
      <c r="H22" s="466"/>
      <c r="I22" s="1238"/>
    </row>
    <row r="23" spans="1:9" s="462" customFormat="1" ht="14.25">
      <c r="A23" s="459">
        <v>19</v>
      </c>
      <c r="B23" s="470" t="s">
        <v>480</v>
      </c>
      <c r="C23" s="471">
        <v>84</v>
      </c>
      <c r="D23" s="472"/>
      <c r="E23" s="472">
        <f>C23*F23</f>
        <v>672</v>
      </c>
      <c r="F23" s="472">
        <v>8</v>
      </c>
      <c r="G23" s="1238"/>
      <c r="H23" s="466"/>
      <c r="I23" s="1238"/>
    </row>
    <row r="24" spans="1:9" s="462" customFormat="1" ht="14.25">
      <c r="A24" s="459">
        <v>20</v>
      </c>
      <c r="B24" s="473" t="s">
        <v>476</v>
      </c>
      <c r="C24" s="472">
        <v>34</v>
      </c>
      <c r="D24" s="472">
        <v>1</v>
      </c>
      <c r="E24" s="472">
        <f t="shared" ref="E24:E29" si="1">C24*F24</f>
        <v>272</v>
      </c>
      <c r="F24" s="472">
        <v>8</v>
      </c>
      <c r="G24" s="1238"/>
      <c r="H24" s="466" t="s">
        <v>389</v>
      </c>
      <c r="I24" s="1238"/>
    </row>
    <row r="25" spans="1:9" s="462" customFormat="1" ht="14.25">
      <c r="A25" s="459">
        <v>21</v>
      </c>
      <c r="B25" s="473" t="s">
        <v>477</v>
      </c>
      <c r="C25" s="472">
        <v>232</v>
      </c>
      <c r="D25" s="472">
        <v>1</v>
      </c>
      <c r="E25" s="472">
        <f t="shared" si="1"/>
        <v>1856</v>
      </c>
      <c r="F25" s="472">
        <v>8</v>
      </c>
      <c r="G25" s="1238"/>
      <c r="H25" s="463" t="s">
        <v>513</v>
      </c>
      <c r="I25" s="1238"/>
    </row>
    <row r="26" spans="1:9" s="462" customFormat="1" ht="14.25">
      <c r="A26" s="459">
        <v>22</v>
      </c>
      <c r="B26" s="473" t="s">
        <v>302</v>
      </c>
      <c r="C26" s="472">
        <v>24</v>
      </c>
      <c r="D26" s="472"/>
      <c r="E26" s="472">
        <f t="shared" si="1"/>
        <v>192</v>
      </c>
      <c r="F26" s="472">
        <v>8</v>
      </c>
      <c r="G26" s="1238"/>
      <c r="H26" s="463"/>
      <c r="I26" s="1238"/>
    </row>
    <row r="27" spans="1:9" s="462" customFormat="1" ht="14.25">
      <c r="A27" s="459">
        <v>23</v>
      </c>
      <c r="B27" s="473" t="s">
        <v>514</v>
      </c>
      <c r="C27" s="472">
        <v>36</v>
      </c>
      <c r="D27" s="472"/>
      <c r="E27" s="472">
        <f t="shared" si="1"/>
        <v>288</v>
      </c>
      <c r="F27" s="472">
        <v>8</v>
      </c>
      <c r="G27" s="1238"/>
      <c r="H27" s="463"/>
      <c r="I27" s="1238"/>
    </row>
    <row r="28" spans="1:9" s="462" customFormat="1" ht="14.25">
      <c r="A28" s="459">
        <v>24</v>
      </c>
      <c r="B28" s="474" t="s">
        <v>81</v>
      </c>
      <c r="C28" s="474">
        <v>294</v>
      </c>
      <c r="D28" s="474"/>
      <c r="E28" s="475">
        <f t="shared" si="1"/>
        <v>3528</v>
      </c>
      <c r="F28" s="475">
        <v>12</v>
      </c>
      <c r="G28" s="459" t="s">
        <v>417</v>
      </c>
      <c r="H28" s="459"/>
      <c r="I28" s="1238"/>
    </row>
    <row r="29" spans="1:9" s="462" customFormat="1" ht="14.25">
      <c r="A29" s="459">
        <v>25</v>
      </c>
      <c r="B29" s="474" t="s">
        <v>390</v>
      </c>
      <c r="C29" s="474">
        <v>90</v>
      </c>
      <c r="D29" s="474"/>
      <c r="E29" s="475">
        <f t="shared" si="1"/>
        <v>2160</v>
      </c>
      <c r="F29" s="475">
        <v>24</v>
      </c>
      <c r="G29" s="476" t="s">
        <v>229</v>
      </c>
      <c r="H29" s="459"/>
      <c r="I29" s="1238"/>
    </row>
  </sheetData>
  <mergeCells count="15">
    <mergeCell ref="A1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I5:I29"/>
    <mergeCell ref="G15:G27"/>
    <mergeCell ref="G5:G13"/>
    <mergeCell ref="H5:H6"/>
    <mergeCell ref="H11:H13"/>
  </mergeCells>
  <printOptions horizontalCentered="1"/>
  <pageMargins left="0" right="0" top="1.0900000000000001" bottom="0.05" header="0" footer="0.2"/>
  <pageSetup paperSize="9" scale="74" orientation="landscape" verticalDpi="0" r:id="rId1"/>
  <headerFooter>
    <oddHeader>&amp;L&amp;"Arial Black,Regular"PT.QUTY KARUNIA&amp;R18/07/2013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I94"/>
  <sheetViews>
    <sheetView view="pageBreakPreview" zoomScaleSheetLayoutView="100" workbookViewId="0">
      <selection activeCell="G15" sqref="G15:G25"/>
    </sheetView>
  </sheetViews>
  <sheetFormatPr defaultRowHeight="15"/>
  <cols>
    <col min="1" max="1" width="6.28515625" style="86" customWidth="1"/>
    <col min="2" max="2" width="46.7109375" style="285" customWidth="1"/>
    <col min="3" max="3" width="8.7109375" style="257" customWidth="1"/>
    <col min="4" max="4" width="10.85546875" customWidth="1"/>
    <col min="5" max="5" width="12.42578125" customWidth="1"/>
    <col min="6" max="6" width="10.42578125" customWidth="1"/>
    <col min="7" max="7" width="21.42578125" customWidth="1"/>
    <col min="8" max="8" width="20.140625" customWidth="1"/>
    <col min="9" max="9" width="35" customWidth="1"/>
    <col min="10" max="10" width="18.7109375" customWidth="1"/>
  </cols>
  <sheetData>
    <row r="1" spans="1:9" ht="26.25">
      <c r="A1" s="322"/>
      <c r="B1" s="1109" t="s">
        <v>363</v>
      </c>
      <c r="C1" s="1109"/>
      <c r="D1" s="1109"/>
      <c r="E1" s="1109"/>
      <c r="F1" s="1109"/>
      <c r="G1" s="1109"/>
      <c r="H1" s="1109"/>
      <c r="I1" s="1175"/>
    </row>
    <row r="2" spans="1:9" ht="16.5" thickBot="1">
      <c r="A2" s="323"/>
      <c r="B2" s="302"/>
      <c r="C2" s="540"/>
      <c r="D2" s="297"/>
      <c r="E2" s="297"/>
      <c r="F2" s="297"/>
      <c r="G2" s="298"/>
      <c r="H2" s="298"/>
      <c r="I2" s="324"/>
    </row>
    <row r="3" spans="1:9" ht="24.95" customHeight="1">
      <c r="A3" s="1153" t="s">
        <v>358</v>
      </c>
      <c r="B3" s="1154" t="s">
        <v>255</v>
      </c>
      <c r="C3" s="1114" t="s">
        <v>256</v>
      </c>
      <c r="D3" s="1114" t="s">
        <v>257</v>
      </c>
      <c r="E3" s="1114" t="s">
        <v>382</v>
      </c>
      <c r="F3" s="1114" t="s">
        <v>381</v>
      </c>
      <c r="G3" s="1114" t="s">
        <v>259</v>
      </c>
      <c r="H3" s="1113" t="s">
        <v>260</v>
      </c>
      <c r="I3" s="1176" t="s">
        <v>273</v>
      </c>
    </row>
    <row r="4" spans="1:9" ht="31.5" customHeight="1" thickBot="1">
      <c r="A4" s="1246"/>
      <c r="B4" s="1247"/>
      <c r="C4" s="1248"/>
      <c r="D4" s="1248"/>
      <c r="E4" s="1248"/>
      <c r="F4" s="1248"/>
      <c r="G4" s="1248"/>
      <c r="H4" s="1248"/>
      <c r="I4" s="1177"/>
    </row>
    <row r="5" spans="1:9" ht="15" hidden="1" customHeight="1" thickTop="1">
      <c r="A5" s="325">
        <v>1</v>
      </c>
      <c r="B5" s="333" t="s">
        <v>317</v>
      </c>
      <c r="C5" s="334">
        <v>30</v>
      </c>
      <c r="D5" s="334">
        <v>30</v>
      </c>
      <c r="E5" s="334">
        <f>D5*F5</f>
        <v>480</v>
      </c>
      <c r="F5" s="334">
        <v>16</v>
      </c>
      <c r="G5" s="332" t="s">
        <v>327</v>
      </c>
      <c r="H5" s="1249" t="s">
        <v>366</v>
      </c>
      <c r="I5" s="377" t="s">
        <v>220</v>
      </c>
    </row>
    <row r="6" spans="1:9" ht="15" hidden="1" customHeight="1" thickTop="1">
      <c r="A6" s="326">
        <v>1</v>
      </c>
      <c r="B6" s="335" t="s">
        <v>301</v>
      </c>
      <c r="C6" s="320">
        <v>42</v>
      </c>
      <c r="D6" s="320">
        <v>42</v>
      </c>
      <c r="E6" s="320">
        <v>672</v>
      </c>
      <c r="F6" s="320">
        <f>E6/C6</f>
        <v>16</v>
      </c>
      <c r="G6" s="1250" t="s">
        <v>327</v>
      </c>
      <c r="H6" s="1250"/>
      <c r="I6" s="377"/>
    </row>
    <row r="7" spans="1:9" ht="15" hidden="1" customHeight="1">
      <c r="A7" s="325">
        <v>2</v>
      </c>
      <c r="B7" s="335" t="s">
        <v>380</v>
      </c>
      <c r="C7" s="320">
        <v>54</v>
      </c>
      <c r="D7" s="320">
        <v>54</v>
      </c>
      <c r="E7" s="320">
        <v>864</v>
      </c>
      <c r="F7" s="320">
        <f>E7/C7</f>
        <v>16</v>
      </c>
      <c r="G7" s="1250"/>
      <c r="H7" s="1250"/>
      <c r="I7" s="377"/>
    </row>
    <row r="8" spans="1:9" ht="15" hidden="1" customHeight="1">
      <c r="A8" s="326">
        <v>3</v>
      </c>
      <c r="B8" s="335" t="s">
        <v>318</v>
      </c>
      <c r="C8" s="320">
        <v>24</v>
      </c>
      <c r="D8" s="320">
        <v>24</v>
      </c>
      <c r="E8" s="320">
        <f>D8*F8</f>
        <v>384</v>
      </c>
      <c r="F8" s="320">
        <v>16</v>
      </c>
      <c r="G8" s="1250"/>
      <c r="H8" s="1250"/>
      <c r="I8" s="377"/>
    </row>
    <row r="9" spans="1:9" ht="15" hidden="1" customHeight="1">
      <c r="A9" s="325">
        <v>4</v>
      </c>
      <c r="B9" s="335" t="s">
        <v>301</v>
      </c>
      <c r="C9" s="320">
        <v>42</v>
      </c>
      <c r="D9" s="320">
        <v>42</v>
      </c>
      <c r="E9" s="320">
        <v>672</v>
      </c>
      <c r="F9" s="320">
        <f>E9/C9</f>
        <v>16</v>
      </c>
      <c r="G9" s="1250"/>
      <c r="H9" s="1251"/>
      <c r="I9" s="377"/>
    </row>
    <row r="10" spans="1:9" ht="15" hidden="1" customHeight="1">
      <c r="A10" s="326">
        <v>5</v>
      </c>
      <c r="B10" s="319" t="s">
        <v>332</v>
      </c>
      <c r="C10" s="320">
        <v>16</v>
      </c>
      <c r="D10" s="320">
        <v>1</v>
      </c>
      <c r="E10" s="320">
        <f>C10*F10</f>
        <v>256</v>
      </c>
      <c r="F10" s="320">
        <v>16</v>
      </c>
      <c r="G10" s="1250"/>
      <c r="H10" s="321" t="s">
        <v>367</v>
      </c>
      <c r="I10" s="377"/>
    </row>
    <row r="11" spans="1:9" ht="15" hidden="1" customHeight="1">
      <c r="A11" s="325">
        <v>6</v>
      </c>
      <c r="B11" s="319" t="s">
        <v>333</v>
      </c>
      <c r="C11" s="320">
        <v>12</v>
      </c>
      <c r="D11" s="320">
        <v>1</v>
      </c>
      <c r="E11" s="320">
        <f>C11*F11</f>
        <v>192</v>
      </c>
      <c r="F11" s="320">
        <v>16</v>
      </c>
      <c r="G11" s="1250"/>
      <c r="H11" s="321" t="s">
        <v>367</v>
      </c>
      <c r="I11" s="377"/>
    </row>
    <row r="12" spans="1:9" ht="15" hidden="1" customHeight="1">
      <c r="A12" s="326">
        <v>7</v>
      </c>
      <c r="B12" s="319" t="s">
        <v>334</v>
      </c>
      <c r="C12" s="320">
        <v>16</v>
      </c>
      <c r="D12" s="320">
        <v>1</v>
      </c>
      <c r="E12" s="320">
        <f>C12*F12</f>
        <v>256</v>
      </c>
      <c r="F12" s="320">
        <v>16</v>
      </c>
      <c r="G12" s="1250"/>
      <c r="H12" s="321" t="s">
        <v>367</v>
      </c>
      <c r="I12" s="377"/>
    </row>
    <row r="13" spans="1:9" s="346" customFormat="1" ht="15" hidden="1" customHeight="1">
      <c r="A13" s="325">
        <v>8</v>
      </c>
      <c r="B13" s="344" t="s">
        <v>426</v>
      </c>
      <c r="C13" s="345">
        <v>48</v>
      </c>
      <c r="D13" s="345">
        <v>48</v>
      </c>
      <c r="E13" s="345">
        <v>768</v>
      </c>
      <c r="F13" s="345">
        <f>E13/C13</f>
        <v>16</v>
      </c>
      <c r="G13" s="1250"/>
      <c r="H13" s="348"/>
      <c r="I13" s="377"/>
    </row>
    <row r="14" spans="1:9" ht="15" hidden="1" customHeight="1">
      <c r="A14" s="326">
        <v>9</v>
      </c>
      <c r="B14" s="344" t="s">
        <v>317</v>
      </c>
      <c r="C14" s="345">
        <v>30</v>
      </c>
      <c r="D14" s="345">
        <v>30</v>
      </c>
      <c r="E14" s="345">
        <f>D14*F14</f>
        <v>480</v>
      </c>
      <c r="F14" s="345">
        <v>16</v>
      </c>
      <c r="G14" s="1251"/>
      <c r="H14" s="347"/>
      <c r="I14" s="377"/>
    </row>
    <row r="15" spans="1:9" s="308" customFormat="1" ht="15" customHeight="1" thickTop="1">
      <c r="A15" s="327">
        <v>1</v>
      </c>
      <c r="B15" s="306" t="s">
        <v>426</v>
      </c>
      <c r="C15" s="307">
        <v>48</v>
      </c>
      <c r="D15" s="307"/>
      <c r="E15" s="307">
        <v>768</v>
      </c>
      <c r="F15" s="307">
        <f>E15/C15</f>
        <v>16</v>
      </c>
      <c r="G15" s="1117" t="s">
        <v>418</v>
      </c>
      <c r="H15" s="1065"/>
      <c r="I15" s="1178" t="s">
        <v>529</v>
      </c>
    </row>
    <row r="16" spans="1:9" ht="15" customHeight="1">
      <c r="A16" s="328">
        <v>2</v>
      </c>
      <c r="B16" s="306" t="s">
        <v>318</v>
      </c>
      <c r="C16" s="307">
        <v>24</v>
      </c>
      <c r="D16" s="307"/>
      <c r="E16" s="307">
        <f t="shared" ref="E16:E21" si="0">C16*F16</f>
        <v>384</v>
      </c>
      <c r="F16" s="307">
        <v>16</v>
      </c>
      <c r="G16" s="1118"/>
      <c r="H16" s="1066"/>
      <c r="I16" s="1178"/>
    </row>
    <row r="17" spans="1:9" ht="15" customHeight="1">
      <c r="A17" s="327">
        <v>3</v>
      </c>
      <c r="B17" s="316" t="s">
        <v>317</v>
      </c>
      <c r="C17" s="317">
        <v>30</v>
      </c>
      <c r="D17" s="317"/>
      <c r="E17" s="307">
        <f t="shared" si="0"/>
        <v>480</v>
      </c>
      <c r="F17" s="317">
        <v>16</v>
      </c>
      <c r="G17" s="1118"/>
      <c r="H17" s="1067"/>
      <c r="I17" s="1178"/>
    </row>
    <row r="18" spans="1:9" ht="15" customHeight="1">
      <c r="A18" s="328">
        <v>4</v>
      </c>
      <c r="B18" s="306" t="s">
        <v>332</v>
      </c>
      <c r="C18" s="307">
        <v>16</v>
      </c>
      <c r="D18" s="307">
        <v>1</v>
      </c>
      <c r="E18" s="307">
        <f t="shared" si="0"/>
        <v>256</v>
      </c>
      <c r="F18" s="307">
        <v>16</v>
      </c>
      <c r="G18" s="1118"/>
      <c r="H18" s="379" t="s">
        <v>367</v>
      </c>
      <c r="I18" s="1178"/>
    </row>
    <row r="19" spans="1:9" ht="15" customHeight="1">
      <c r="A19" s="327">
        <v>5</v>
      </c>
      <c r="B19" s="316" t="s">
        <v>331</v>
      </c>
      <c r="C19" s="317">
        <v>12</v>
      </c>
      <c r="D19" s="317">
        <v>1</v>
      </c>
      <c r="E19" s="317">
        <f t="shared" si="0"/>
        <v>192</v>
      </c>
      <c r="F19" s="317">
        <v>16</v>
      </c>
      <c r="G19" s="1118"/>
      <c r="H19" s="379" t="s">
        <v>367</v>
      </c>
      <c r="I19" s="1178"/>
    </row>
    <row r="20" spans="1:9" ht="15" customHeight="1">
      <c r="A20" s="328">
        <v>6</v>
      </c>
      <c r="B20" s="316" t="s">
        <v>334</v>
      </c>
      <c r="C20" s="317">
        <v>16</v>
      </c>
      <c r="D20" s="317">
        <v>1</v>
      </c>
      <c r="E20" s="317">
        <f t="shared" si="0"/>
        <v>256</v>
      </c>
      <c r="F20" s="317">
        <v>16</v>
      </c>
      <c r="G20" s="1118"/>
      <c r="H20" s="318" t="s">
        <v>367</v>
      </c>
      <c r="I20" s="1178"/>
    </row>
    <row r="21" spans="1:9" s="331" customFormat="1" ht="15" customHeight="1">
      <c r="A21" s="327">
        <v>7</v>
      </c>
      <c r="B21" s="306" t="s">
        <v>333</v>
      </c>
      <c r="C21" s="307">
        <v>12</v>
      </c>
      <c r="D21" s="307">
        <v>1</v>
      </c>
      <c r="E21" s="307">
        <f t="shared" si="0"/>
        <v>192</v>
      </c>
      <c r="F21" s="307">
        <v>16</v>
      </c>
      <c r="G21" s="1118"/>
      <c r="H21" s="318" t="s">
        <v>367</v>
      </c>
      <c r="I21" s="1178"/>
    </row>
    <row r="22" spans="1:9" s="331" customFormat="1" ht="15" customHeight="1">
      <c r="A22" s="328">
        <v>8</v>
      </c>
      <c r="B22" s="306" t="s">
        <v>380</v>
      </c>
      <c r="C22" s="307">
        <v>54</v>
      </c>
      <c r="D22" s="307"/>
      <c r="E22" s="307">
        <v>864</v>
      </c>
      <c r="F22" s="307">
        <f>E22/C22</f>
        <v>16</v>
      </c>
      <c r="G22" s="1118"/>
      <c r="H22" s="1065"/>
      <c r="I22" s="1178"/>
    </row>
    <row r="23" spans="1:9" s="331" customFormat="1" ht="15" customHeight="1">
      <c r="A23" s="328">
        <v>9</v>
      </c>
      <c r="B23" s="421" t="s">
        <v>301</v>
      </c>
      <c r="C23" s="307">
        <v>60</v>
      </c>
      <c r="D23" s="307"/>
      <c r="E23" s="307">
        <f t="shared" ref="E23:E29" si="1">C23*F23</f>
        <v>960</v>
      </c>
      <c r="F23" s="307">
        <v>16</v>
      </c>
      <c r="G23" s="1118"/>
      <c r="H23" s="1066"/>
      <c r="I23" s="1178"/>
    </row>
    <row r="24" spans="1:9" s="331" customFormat="1" ht="15" customHeight="1">
      <c r="A24" s="328">
        <v>10</v>
      </c>
      <c r="B24" s="421" t="s">
        <v>490</v>
      </c>
      <c r="C24" s="307">
        <v>60</v>
      </c>
      <c r="D24" s="307"/>
      <c r="E24" s="307">
        <f t="shared" si="1"/>
        <v>960</v>
      </c>
      <c r="F24" s="307">
        <v>16</v>
      </c>
      <c r="G24" s="1118"/>
      <c r="H24" s="1066"/>
      <c r="I24" s="1178"/>
    </row>
    <row r="25" spans="1:9" s="331" customFormat="1" ht="15" customHeight="1" thickBot="1">
      <c r="A25" s="419">
        <v>11</v>
      </c>
      <c r="B25" s="380" t="s">
        <v>491</v>
      </c>
      <c r="C25" s="420">
        <v>30</v>
      </c>
      <c r="D25" s="420"/>
      <c r="E25" s="420">
        <f t="shared" si="1"/>
        <v>480</v>
      </c>
      <c r="F25" s="420">
        <v>16</v>
      </c>
      <c r="G25" s="1143"/>
      <c r="H25" s="1144"/>
      <c r="I25" s="1178"/>
    </row>
    <row r="26" spans="1:9" ht="15" customHeight="1">
      <c r="A26" s="395">
        <v>1</v>
      </c>
      <c r="B26" s="388" t="s">
        <v>345</v>
      </c>
      <c r="C26" s="389">
        <v>42</v>
      </c>
      <c r="D26" s="389">
        <v>1</v>
      </c>
      <c r="E26" s="389">
        <f t="shared" si="1"/>
        <v>336</v>
      </c>
      <c r="F26" s="390">
        <v>8</v>
      </c>
      <c r="G26" s="1244" t="s">
        <v>326</v>
      </c>
      <c r="H26" s="378" t="s">
        <v>369</v>
      </c>
      <c r="I26" s="1178"/>
    </row>
    <row r="27" spans="1:9" ht="15" customHeight="1">
      <c r="A27" s="349">
        <v>2</v>
      </c>
      <c r="B27" s="391" t="s">
        <v>322</v>
      </c>
      <c r="C27" s="350">
        <v>42</v>
      </c>
      <c r="D27" s="350">
        <v>1</v>
      </c>
      <c r="E27" s="350">
        <f t="shared" si="1"/>
        <v>336</v>
      </c>
      <c r="F27" s="299">
        <v>8</v>
      </c>
      <c r="G27" s="1179"/>
      <c r="H27" s="300" t="s">
        <v>370</v>
      </c>
      <c r="I27" s="1178"/>
    </row>
    <row r="28" spans="1:9" ht="15" customHeight="1">
      <c r="A28" s="349">
        <v>3</v>
      </c>
      <c r="B28" s="391" t="s">
        <v>321</v>
      </c>
      <c r="C28" s="350">
        <v>24</v>
      </c>
      <c r="D28" s="350">
        <v>1</v>
      </c>
      <c r="E28" s="350">
        <f t="shared" si="1"/>
        <v>192</v>
      </c>
      <c r="F28" s="299">
        <v>8</v>
      </c>
      <c r="G28" s="1179"/>
      <c r="H28" s="300" t="s">
        <v>389</v>
      </c>
      <c r="I28" s="1178"/>
    </row>
    <row r="29" spans="1:9" ht="15" customHeight="1">
      <c r="A29" s="349"/>
      <c r="B29" s="391" t="s">
        <v>481</v>
      </c>
      <c r="C29" s="350">
        <v>34</v>
      </c>
      <c r="D29" s="350">
        <v>1</v>
      </c>
      <c r="E29" s="350">
        <f t="shared" si="1"/>
        <v>272</v>
      </c>
      <c r="F29" s="299">
        <v>8</v>
      </c>
      <c r="G29" s="1179"/>
      <c r="H29" s="404"/>
      <c r="I29" s="1178"/>
    </row>
    <row r="30" spans="1:9" s="149" customFormat="1" ht="15" customHeight="1">
      <c r="A30" s="349">
        <v>4</v>
      </c>
      <c r="B30" s="391" t="s">
        <v>319</v>
      </c>
      <c r="C30" s="350">
        <v>10</v>
      </c>
      <c r="D30" s="350"/>
      <c r="E30" s="350">
        <f>C30*F30</f>
        <v>80</v>
      </c>
      <c r="F30" s="299">
        <v>8</v>
      </c>
      <c r="G30" s="1179"/>
      <c r="H30" s="1245"/>
      <c r="I30" s="1178"/>
    </row>
    <row r="31" spans="1:9" ht="15" customHeight="1">
      <c r="A31" s="349">
        <v>5</v>
      </c>
      <c r="B31" s="391" t="s">
        <v>316</v>
      </c>
      <c r="C31" s="350">
        <v>32</v>
      </c>
      <c r="D31" s="350"/>
      <c r="E31" s="350">
        <f>C31*F31</f>
        <v>256</v>
      </c>
      <c r="F31" s="299">
        <v>8</v>
      </c>
      <c r="G31" s="1179"/>
      <c r="H31" s="1179"/>
      <c r="I31" s="1178"/>
    </row>
    <row r="32" spans="1:9" ht="15" hidden="1" customHeight="1">
      <c r="A32" s="361">
        <v>6</v>
      </c>
      <c r="B32" s="392" t="s">
        <v>436</v>
      </c>
      <c r="C32" s="362">
        <v>10</v>
      </c>
      <c r="D32" s="362"/>
      <c r="E32" s="362">
        <f>D32*F32</f>
        <v>0</v>
      </c>
      <c r="F32" s="363">
        <v>8</v>
      </c>
      <c r="G32" s="1179"/>
      <c r="H32" s="1179"/>
      <c r="I32" s="1178"/>
    </row>
    <row r="33" spans="1:9" s="276" customFormat="1" ht="15" customHeight="1">
      <c r="A33" s="329">
        <v>7</v>
      </c>
      <c r="B33" s="303" t="s">
        <v>394</v>
      </c>
      <c r="C33" s="301">
        <v>40</v>
      </c>
      <c r="D33" s="301"/>
      <c r="E33" s="301">
        <v>320</v>
      </c>
      <c r="F33" s="301">
        <f>E33/C33</f>
        <v>8</v>
      </c>
      <c r="G33" s="1179"/>
      <c r="H33" s="1179"/>
      <c r="I33" s="1178"/>
    </row>
    <row r="34" spans="1:9" s="276" customFormat="1" ht="15" customHeight="1">
      <c r="A34" s="329">
        <v>8</v>
      </c>
      <c r="B34" s="303" t="s">
        <v>297</v>
      </c>
      <c r="C34" s="301">
        <v>24</v>
      </c>
      <c r="D34" s="301"/>
      <c r="E34" s="301">
        <v>192</v>
      </c>
      <c r="F34" s="301">
        <f>E34/C34</f>
        <v>8</v>
      </c>
      <c r="G34" s="1179"/>
      <c r="H34" s="1179"/>
      <c r="I34" s="1178"/>
    </row>
    <row r="35" spans="1:9" s="276" customFormat="1" ht="15" customHeight="1">
      <c r="A35" s="329">
        <v>9</v>
      </c>
      <c r="B35" s="303" t="s">
        <v>298</v>
      </c>
      <c r="C35" s="301">
        <v>24</v>
      </c>
      <c r="D35" s="301"/>
      <c r="E35" s="301">
        <v>192</v>
      </c>
      <c r="F35" s="301">
        <v>8</v>
      </c>
      <c r="G35" s="1179"/>
      <c r="H35" s="1179"/>
      <c r="I35" s="1178"/>
    </row>
    <row r="36" spans="1:9" s="276" customFormat="1" ht="15" customHeight="1">
      <c r="A36" s="329">
        <v>10</v>
      </c>
      <c r="B36" s="303" t="s">
        <v>412</v>
      </c>
      <c r="C36" s="301">
        <v>42</v>
      </c>
      <c r="D36" s="301"/>
      <c r="E36" s="301">
        <v>336</v>
      </c>
      <c r="F36" s="301">
        <f t="shared" ref="F36:F43" si="2">E36/C36</f>
        <v>8</v>
      </c>
      <c r="G36" s="1179"/>
      <c r="H36" s="1179"/>
      <c r="I36" s="1178"/>
    </row>
    <row r="37" spans="1:9" s="276" customFormat="1" ht="15" customHeight="1">
      <c r="A37" s="329">
        <v>11</v>
      </c>
      <c r="B37" s="305" t="s">
        <v>302</v>
      </c>
      <c r="C37" s="301">
        <v>24</v>
      </c>
      <c r="D37" s="301"/>
      <c r="E37" s="301">
        <v>192</v>
      </c>
      <c r="F37" s="301">
        <f t="shared" si="2"/>
        <v>8</v>
      </c>
      <c r="G37" s="1179"/>
      <c r="H37" s="1179"/>
      <c r="I37" s="1178"/>
    </row>
    <row r="38" spans="1:9" s="276" customFormat="1" ht="15" customHeight="1">
      <c r="A38" s="329">
        <v>12</v>
      </c>
      <c r="B38" s="303" t="s">
        <v>82</v>
      </c>
      <c r="C38" s="301">
        <v>144</v>
      </c>
      <c r="D38" s="301"/>
      <c r="E38" s="301">
        <v>1152</v>
      </c>
      <c r="F38" s="301">
        <f t="shared" si="2"/>
        <v>8</v>
      </c>
      <c r="G38" s="1179"/>
      <c r="H38" s="1179"/>
      <c r="I38" s="1178"/>
    </row>
    <row r="39" spans="1:9" s="276" customFormat="1" ht="15" customHeight="1">
      <c r="A39" s="329">
        <v>13</v>
      </c>
      <c r="B39" s="303" t="s">
        <v>80</v>
      </c>
      <c r="C39" s="301">
        <v>168</v>
      </c>
      <c r="D39" s="301"/>
      <c r="E39" s="301">
        <f>1344</f>
        <v>1344</v>
      </c>
      <c r="F39" s="301">
        <f t="shared" si="2"/>
        <v>8</v>
      </c>
      <c r="G39" s="1179"/>
      <c r="H39" s="1179"/>
      <c r="I39" s="1178"/>
    </row>
    <row r="40" spans="1:9" s="276" customFormat="1" ht="15" customHeight="1">
      <c r="A40" s="329">
        <v>14</v>
      </c>
      <c r="B40" s="303" t="s">
        <v>84</v>
      </c>
      <c r="C40" s="301">
        <v>45</v>
      </c>
      <c r="D40" s="301"/>
      <c r="E40" s="301">
        <v>360</v>
      </c>
      <c r="F40" s="301">
        <f t="shared" si="2"/>
        <v>8</v>
      </c>
      <c r="G40" s="1179"/>
      <c r="H40" s="1179"/>
      <c r="I40" s="1178"/>
    </row>
    <row r="41" spans="1:9" s="276" customFormat="1" ht="15" customHeight="1">
      <c r="A41" s="329">
        <v>15</v>
      </c>
      <c r="B41" s="303" t="s">
        <v>85</v>
      </c>
      <c r="C41" s="301">
        <v>30</v>
      </c>
      <c r="D41" s="301"/>
      <c r="E41" s="301">
        <v>240</v>
      </c>
      <c r="F41" s="301">
        <f t="shared" si="2"/>
        <v>8</v>
      </c>
      <c r="G41" s="1179"/>
      <c r="H41" s="1179"/>
      <c r="I41" s="1178"/>
    </row>
    <row r="42" spans="1:9" s="276" customFormat="1" ht="15" customHeight="1">
      <c r="A42" s="329">
        <v>16</v>
      </c>
      <c r="B42" s="303" t="s">
        <v>206</v>
      </c>
      <c r="C42" s="301">
        <v>18</v>
      </c>
      <c r="D42" s="301"/>
      <c r="E42" s="301">
        <v>144</v>
      </c>
      <c r="F42" s="301">
        <f t="shared" si="2"/>
        <v>8</v>
      </c>
      <c r="G42" s="1179"/>
      <c r="H42" s="1179"/>
      <c r="I42" s="1178"/>
    </row>
    <row r="43" spans="1:9" s="276" customFormat="1" ht="15" customHeight="1">
      <c r="A43" s="330">
        <v>17</v>
      </c>
      <c r="B43" s="305" t="s">
        <v>342</v>
      </c>
      <c r="C43" s="301">
        <v>16</v>
      </c>
      <c r="D43" s="301"/>
      <c r="E43" s="301">
        <v>128</v>
      </c>
      <c r="F43" s="301">
        <f t="shared" si="2"/>
        <v>8</v>
      </c>
      <c r="G43" s="1179"/>
      <c r="H43" s="1179"/>
      <c r="I43" s="1178"/>
    </row>
    <row r="44" spans="1:9" s="276" customFormat="1" ht="15" customHeight="1">
      <c r="A44" s="352">
        <v>18</v>
      </c>
      <c r="B44" s="303" t="s">
        <v>394</v>
      </c>
      <c r="C44" s="301">
        <v>40</v>
      </c>
      <c r="D44" s="301"/>
      <c r="E44" s="301">
        <v>180</v>
      </c>
      <c r="F44" s="301">
        <v>8</v>
      </c>
      <c r="G44" s="1179"/>
      <c r="H44" s="1179"/>
      <c r="I44" s="1178"/>
    </row>
    <row r="45" spans="1:9" s="276" customFormat="1" ht="15" customHeight="1">
      <c r="A45" s="352">
        <v>19</v>
      </c>
      <c r="B45" s="305" t="s">
        <v>431</v>
      </c>
      <c r="C45" s="301">
        <v>198</v>
      </c>
      <c r="D45" s="301"/>
      <c r="E45" s="301">
        <f>C45*F45</f>
        <v>1584</v>
      </c>
      <c r="F45" s="301">
        <v>8</v>
      </c>
      <c r="G45" s="1179"/>
      <c r="H45" s="1179"/>
      <c r="I45" s="1178"/>
    </row>
    <row r="46" spans="1:9" s="276" customFormat="1" ht="15" customHeight="1">
      <c r="A46" s="329">
        <v>20</v>
      </c>
      <c r="B46" s="393" t="s">
        <v>459</v>
      </c>
      <c r="C46" s="394">
        <v>9</v>
      </c>
      <c r="D46" s="394"/>
      <c r="E46" s="394">
        <v>72</v>
      </c>
      <c r="F46" s="394">
        <v>8</v>
      </c>
      <c r="G46" s="1179"/>
      <c r="H46" s="1179"/>
      <c r="I46" s="1178"/>
    </row>
    <row r="47" spans="1:9" s="276" customFormat="1" ht="15" customHeight="1">
      <c r="A47" s="504">
        <v>21</v>
      </c>
      <c r="B47" s="505" t="s">
        <v>537</v>
      </c>
      <c r="C47" s="394">
        <v>300</v>
      </c>
      <c r="D47" s="394"/>
      <c r="E47" s="394">
        <f t="shared" ref="E47:E53" si="3">C47*F47</f>
        <v>2400</v>
      </c>
      <c r="F47" s="394">
        <v>8</v>
      </c>
      <c r="G47" s="1179"/>
      <c r="H47" s="1179"/>
      <c r="I47" s="1178"/>
    </row>
    <row r="48" spans="1:9" s="276" customFormat="1" ht="15" customHeight="1">
      <c r="A48" s="396">
        <v>22</v>
      </c>
      <c r="B48" s="401" t="s">
        <v>478</v>
      </c>
      <c r="C48" s="396">
        <v>48</v>
      </c>
      <c r="D48" s="398"/>
      <c r="E48" s="398">
        <f t="shared" si="3"/>
        <v>384</v>
      </c>
      <c r="F48" s="399">
        <v>8</v>
      </c>
      <c r="G48" s="1179"/>
      <c r="H48" s="1179"/>
      <c r="I48" s="1178"/>
    </row>
    <row r="49" spans="1:9" s="276" customFormat="1" ht="15" customHeight="1">
      <c r="A49" s="396"/>
      <c r="B49" s="401" t="s">
        <v>551</v>
      </c>
      <c r="C49" s="396">
        <v>50</v>
      </c>
      <c r="D49" s="398"/>
      <c r="E49" s="398">
        <f t="shared" si="3"/>
        <v>400</v>
      </c>
      <c r="F49" s="399">
        <v>8</v>
      </c>
      <c r="G49" s="1179"/>
      <c r="H49" s="1179"/>
      <c r="I49" s="1178"/>
    </row>
    <row r="50" spans="1:9" s="276" customFormat="1" ht="15" customHeight="1">
      <c r="A50" s="396">
        <v>23</v>
      </c>
      <c r="B50" s="401" t="s">
        <v>479</v>
      </c>
      <c r="C50" s="396">
        <v>42</v>
      </c>
      <c r="D50" s="398"/>
      <c r="E50" s="398">
        <f t="shared" si="3"/>
        <v>336</v>
      </c>
      <c r="F50" s="399">
        <v>8</v>
      </c>
      <c r="G50" s="1179"/>
      <c r="H50" s="1179"/>
      <c r="I50" s="1178"/>
    </row>
    <row r="51" spans="1:9" s="276" customFormat="1" ht="15" customHeight="1">
      <c r="A51" s="397">
        <v>24</v>
      </c>
      <c r="B51" s="401" t="s">
        <v>480</v>
      </c>
      <c r="C51" s="396">
        <v>84</v>
      </c>
      <c r="D51" s="398"/>
      <c r="E51" s="398">
        <f t="shared" si="3"/>
        <v>672</v>
      </c>
      <c r="F51" s="399">
        <v>8</v>
      </c>
      <c r="G51" s="1179"/>
      <c r="H51" s="1179"/>
      <c r="I51" s="1178"/>
    </row>
    <row r="52" spans="1:9" s="276" customFormat="1" ht="15" customHeight="1">
      <c r="A52" s="396">
        <v>25</v>
      </c>
      <c r="B52" s="402" t="s">
        <v>476</v>
      </c>
      <c r="C52" s="541">
        <v>34</v>
      </c>
      <c r="D52" s="399"/>
      <c r="E52" s="399">
        <f t="shared" si="3"/>
        <v>272</v>
      </c>
      <c r="F52" s="399">
        <v>8</v>
      </c>
      <c r="G52" s="1179"/>
      <c r="H52" s="1179"/>
      <c r="I52" s="1178"/>
    </row>
    <row r="53" spans="1:9" s="276" customFormat="1" ht="15" customHeight="1" thickBot="1">
      <c r="A53" s="396">
        <v>26</v>
      </c>
      <c r="B53" s="403" t="s">
        <v>477</v>
      </c>
      <c r="C53" s="542">
        <v>232</v>
      </c>
      <c r="D53" s="399"/>
      <c r="E53" s="399">
        <f t="shared" si="3"/>
        <v>1856</v>
      </c>
      <c r="F53" s="400">
        <v>8</v>
      </c>
      <c r="G53" s="1180"/>
      <c r="H53" s="1181"/>
      <c r="I53" s="1178"/>
    </row>
    <row r="54" spans="1:9" s="149" customFormat="1" ht="15" customHeight="1">
      <c r="A54" s="341">
        <v>1</v>
      </c>
      <c r="B54" s="434" t="s">
        <v>339</v>
      </c>
      <c r="C54" s="336">
        <v>8</v>
      </c>
      <c r="D54" s="431"/>
      <c r="E54" s="336">
        <v>32</v>
      </c>
      <c r="F54" s="336">
        <v>4</v>
      </c>
      <c r="G54" s="1148" t="s">
        <v>341</v>
      </c>
      <c r="H54" s="338" t="s">
        <v>372</v>
      </c>
      <c r="I54" s="1178"/>
    </row>
    <row r="55" spans="1:9" s="149" customFormat="1" ht="15" customHeight="1">
      <c r="A55" s="342">
        <v>2</v>
      </c>
      <c r="B55" s="435" t="s">
        <v>360</v>
      </c>
      <c r="C55" s="337">
        <v>12</v>
      </c>
      <c r="D55" s="432"/>
      <c r="E55" s="337">
        <v>48</v>
      </c>
      <c r="F55" s="336">
        <v>4</v>
      </c>
      <c r="G55" s="1092"/>
      <c r="H55" s="503"/>
      <c r="I55" s="1178"/>
    </row>
    <row r="56" spans="1:9" s="149" customFormat="1" ht="15" customHeight="1">
      <c r="A56" s="342">
        <v>3</v>
      </c>
      <c r="B56" s="435" t="s">
        <v>361</v>
      </c>
      <c r="C56" s="337">
        <v>18</v>
      </c>
      <c r="D56" s="432"/>
      <c r="E56" s="337">
        <v>72</v>
      </c>
      <c r="F56" s="337">
        <v>4</v>
      </c>
      <c r="G56" s="1092"/>
      <c r="H56" s="503"/>
      <c r="I56" s="1178"/>
    </row>
    <row r="57" spans="1:9" s="149" customFormat="1" ht="15" customHeight="1">
      <c r="A57" s="343">
        <v>4</v>
      </c>
      <c r="B57" s="436" t="s">
        <v>305</v>
      </c>
      <c r="C57" s="337">
        <v>18</v>
      </c>
      <c r="D57" s="432"/>
      <c r="E57" s="337">
        <v>72</v>
      </c>
      <c r="F57" s="337">
        <f t="shared" ref="F57:F64" si="4">E57/C57</f>
        <v>4</v>
      </c>
      <c r="G57" s="1092"/>
      <c r="H57" s="339" t="s">
        <v>388</v>
      </c>
      <c r="I57" s="1178"/>
    </row>
    <row r="58" spans="1:9" s="149" customFormat="1" ht="15" customHeight="1">
      <c r="A58" s="342">
        <v>5</v>
      </c>
      <c r="B58" s="436" t="s">
        <v>413</v>
      </c>
      <c r="C58" s="337">
        <v>54</v>
      </c>
      <c r="D58" s="432"/>
      <c r="E58" s="337">
        <v>216</v>
      </c>
      <c r="F58" s="337">
        <f t="shared" si="4"/>
        <v>4</v>
      </c>
      <c r="G58" s="1092"/>
      <c r="H58" s="503"/>
      <c r="I58" s="1178"/>
    </row>
    <row r="59" spans="1:9" s="149" customFormat="1" ht="15" customHeight="1">
      <c r="A59" s="341">
        <v>6</v>
      </c>
      <c r="B59" s="436" t="s">
        <v>415</v>
      </c>
      <c r="C59" s="337">
        <v>144</v>
      </c>
      <c r="D59" s="432"/>
      <c r="E59" s="337">
        <v>576</v>
      </c>
      <c r="F59" s="337">
        <f t="shared" si="4"/>
        <v>4</v>
      </c>
      <c r="G59" s="1092"/>
      <c r="H59" s="503"/>
      <c r="I59" s="1178"/>
    </row>
    <row r="60" spans="1:9" s="149" customFormat="1" ht="15" customHeight="1">
      <c r="A60" s="342">
        <v>7</v>
      </c>
      <c r="B60" s="436" t="s">
        <v>414</v>
      </c>
      <c r="C60" s="337">
        <v>224</v>
      </c>
      <c r="D60" s="432"/>
      <c r="E60" s="337">
        <v>896</v>
      </c>
      <c r="F60" s="337">
        <f t="shared" si="4"/>
        <v>4</v>
      </c>
      <c r="G60" s="1092"/>
      <c r="H60" s="503"/>
      <c r="I60" s="1178"/>
    </row>
    <row r="61" spans="1:9" s="364" customFormat="1" ht="15" customHeight="1">
      <c r="A61" s="342">
        <v>8</v>
      </c>
      <c r="B61" s="436" t="s">
        <v>416</v>
      </c>
      <c r="C61" s="337">
        <v>26</v>
      </c>
      <c r="D61" s="432"/>
      <c r="E61" s="337">
        <v>104</v>
      </c>
      <c r="F61" s="337">
        <f t="shared" si="4"/>
        <v>4</v>
      </c>
      <c r="G61" s="1092"/>
      <c r="H61" s="365" t="s">
        <v>362</v>
      </c>
      <c r="I61" s="1178"/>
    </row>
    <row r="62" spans="1:9" s="364" customFormat="1" ht="15" customHeight="1">
      <c r="A62" s="343">
        <v>9</v>
      </c>
      <c r="B62" s="436" t="s">
        <v>46</v>
      </c>
      <c r="C62" s="337">
        <v>30</v>
      </c>
      <c r="D62" s="432"/>
      <c r="E62" s="337">
        <v>120</v>
      </c>
      <c r="F62" s="337">
        <f t="shared" si="4"/>
        <v>4</v>
      </c>
      <c r="G62" s="1092"/>
      <c r="H62" s="503"/>
      <c r="I62" s="1178"/>
    </row>
    <row r="63" spans="1:9" s="149" customFormat="1" ht="15" customHeight="1">
      <c r="A63" s="342">
        <v>10</v>
      </c>
      <c r="B63" s="437" t="s">
        <v>49</v>
      </c>
      <c r="C63" s="337">
        <v>18</v>
      </c>
      <c r="D63" s="432"/>
      <c r="E63" s="337">
        <v>72</v>
      </c>
      <c r="F63" s="337">
        <f t="shared" si="4"/>
        <v>4</v>
      </c>
      <c r="G63" s="1092"/>
      <c r="H63" s="503"/>
      <c r="I63" s="1178"/>
    </row>
    <row r="64" spans="1:9" s="149" customFormat="1" ht="15" customHeight="1">
      <c r="A64" s="341">
        <v>11</v>
      </c>
      <c r="B64" s="438" t="s">
        <v>375</v>
      </c>
      <c r="C64" s="340">
        <v>20</v>
      </c>
      <c r="D64" s="433"/>
      <c r="E64" s="340">
        <v>80</v>
      </c>
      <c r="F64" s="340">
        <f t="shared" si="4"/>
        <v>4</v>
      </c>
      <c r="G64" s="1092"/>
      <c r="H64" s="503"/>
      <c r="I64" s="1178"/>
    </row>
    <row r="65" spans="1:9" s="149" customFormat="1" ht="15" customHeight="1">
      <c r="A65" s="342">
        <v>12</v>
      </c>
      <c r="B65" s="435" t="s">
        <v>67</v>
      </c>
      <c r="C65" s="337">
        <v>14</v>
      </c>
      <c r="D65" s="432"/>
      <c r="E65" s="337">
        <f>C65*F65</f>
        <v>56</v>
      </c>
      <c r="F65" s="337">
        <v>4</v>
      </c>
      <c r="G65" s="1092"/>
      <c r="H65" s="503"/>
      <c r="I65" s="1178"/>
    </row>
    <row r="66" spans="1:9" s="149" customFormat="1" ht="15" customHeight="1">
      <c r="A66" s="342">
        <v>13</v>
      </c>
      <c r="B66" s="437" t="s">
        <v>463</v>
      </c>
      <c r="C66" s="340">
        <v>12</v>
      </c>
      <c r="D66" s="433"/>
      <c r="E66" s="337">
        <f t="shared" ref="E66:E77" si="5">C66*F66</f>
        <v>48</v>
      </c>
      <c r="F66" s="340">
        <v>4</v>
      </c>
      <c r="G66" s="1092"/>
      <c r="H66" s="503"/>
      <c r="I66" s="1178"/>
    </row>
    <row r="67" spans="1:9" s="149" customFormat="1" ht="15" customHeight="1">
      <c r="A67" s="343"/>
      <c r="B67" s="507" t="s">
        <v>540</v>
      </c>
      <c r="C67" s="340">
        <v>15</v>
      </c>
      <c r="D67" s="433"/>
      <c r="E67" s="337">
        <f>C67*F67</f>
        <v>60</v>
      </c>
      <c r="F67" s="340">
        <v>4</v>
      </c>
      <c r="G67" s="1092"/>
      <c r="H67" s="506"/>
      <c r="I67" s="1178"/>
    </row>
    <row r="68" spans="1:9" s="149" customFormat="1" ht="15" customHeight="1">
      <c r="A68" s="343">
        <v>14</v>
      </c>
      <c r="B68" s="515" t="s">
        <v>541</v>
      </c>
      <c r="C68" s="516">
        <v>15</v>
      </c>
      <c r="D68" s="517"/>
      <c r="E68" s="518">
        <f>C68*F68</f>
        <v>60</v>
      </c>
      <c r="F68" s="516">
        <v>4</v>
      </c>
      <c r="G68" s="1092"/>
      <c r="H68" s="506"/>
      <c r="I68" s="1178"/>
    </row>
    <row r="69" spans="1:9" s="149" customFormat="1" ht="15" customHeight="1">
      <c r="A69" s="343">
        <v>15</v>
      </c>
      <c r="B69" s="455" t="s">
        <v>550</v>
      </c>
      <c r="C69" s="340">
        <v>12</v>
      </c>
      <c r="D69" s="433"/>
      <c r="E69" s="337">
        <f t="shared" si="5"/>
        <v>48</v>
      </c>
      <c r="F69" s="340">
        <v>4</v>
      </c>
      <c r="G69" s="1092"/>
      <c r="H69" s="454"/>
      <c r="I69" s="1178"/>
    </row>
    <row r="70" spans="1:9" s="149" customFormat="1" ht="15" customHeight="1">
      <c r="A70" s="342">
        <v>16</v>
      </c>
      <c r="B70" s="430" t="s">
        <v>502</v>
      </c>
      <c r="C70" s="337">
        <v>16</v>
      </c>
      <c r="D70" s="432"/>
      <c r="E70" s="337">
        <f t="shared" si="5"/>
        <v>64</v>
      </c>
      <c r="F70" s="337">
        <v>4</v>
      </c>
      <c r="G70" s="1092"/>
      <c r="H70" s="339"/>
      <c r="I70" s="1178"/>
    </row>
    <row r="71" spans="1:9" s="149" customFormat="1" ht="15" customHeight="1">
      <c r="A71" s="341">
        <v>17</v>
      </c>
      <c r="B71" s="439" t="s">
        <v>503</v>
      </c>
      <c r="C71" s="337">
        <v>12</v>
      </c>
      <c r="D71" s="432"/>
      <c r="E71" s="337">
        <f t="shared" si="5"/>
        <v>48</v>
      </c>
      <c r="F71" s="337">
        <v>4</v>
      </c>
      <c r="G71" s="1092"/>
      <c r="H71" s="339"/>
      <c r="I71" s="1178"/>
    </row>
    <row r="72" spans="1:9" s="149" customFormat="1" ht="15" customHeight="1">
      <c r="A72" s="342">
        <v>18</v>
      </c>
      <c r="B72" s="456" t="s">
        <v>511</v>
      </c>
      <c r="C72" s="337">
        <v>21</v>
      </c>
      <c r="D72" s="432"/>
      <c r="E72" s="337">
        <f t="shared" si="5"/>
        <v>84</v>
      </c>
      <c r="F72" s="337">
        <v>4</v>
      </c>
      <c r="G72" s="1092"/>
      <c r="H72" s="457"/>
      <c r="I72" s="1178"/>
    </row>
    <row r="73" spans="1:9" s="149" customFormat="1" ht="15" customHeight="1">
      <c r="A73" s="342">
        <v>19</v>
      </c>
      <c r="B73" s="456" t="s">
        <v>542</v>
      </c>
      <c r="C73" s="337">
        <v>8</v>
      </c>
      <c r="D73" s="432"/>
      <c r="E73" s="337">
        <f t="shared" si="5"/>
        <v>32</v>
      </c>
      <c r="F73" s="337">
        <v>4</v>
      </c>
      <c r="G73" s="1092"/>
      <c r="H73" s="457"/>
      <c r="I73" s="1178"/>
    </row>
    <row r="74" spans="1:9" s="149" customFormat="1" ht="15" customHeight="1">
      <c r="A74" s="343">
        <v>20</v>
      </c>
      <c r="B74" s="456" t="s">
        <v>528</v>
      </c>
      <c r="C74" s="337">
        <v>9</v>
      </c>
      <c r="D74" s="432"/>
      <c r="E74" s="337">
        <f t="shared" si="5"/>
        <v>36</v>
      </c>
      <c r="F74" s="337">
        <v>4</v>
      </c>
      <c r="G74" s="1092"/>
      <c r="H74" s="457"/>
      <c r="I74" s="1178"/>
    </row>
    <row r="75" spans="1:9" s="149" customFormat="1" ht="15" customHeight="1">
      <c r="A75" s="342">
        <v>21</v>
      </c>
      <c r="B75" s="456" t="s">
        <v>538</v>
      </c>
      <c r="C75" s="337">
        <v>16</v>
      </c>
      <c r="D75" s="432"/>
      <c r="E75" s="337">
        <f t="shared" si="5"/>
        <v>64</v>
      </c>
      <c r="F75" s="337">
        <v>4</v>
      </c>
      <c r="G75" s="1092"/>
      <c r="H75" s="457"/>
      <c r="I75" s="1178"/>
    </row>
    <row r="76" spans="1:9" s="149" customFormat="1" ht="15" customHeight="1">
      <c r="A76" s="341"/>
      <c r="B76" s="456" t="s">
        <v>553</v>
      </c>
      <c r="C76" s="337">
        <v>15</v>
      </c>
      <c r="D76" s="432"/>
      <c r="E76" s="337">
        <f t="shared" si="5"/>
        <v>60</v>
      </c>
      <c r="F76" s="337">
        <v>4</v>
      </c>
      <c r="G76" s="1092"/>
      <c r="H76" s="457"/>
      <c r="I76" s="1178"/>
    </row>
    <row r="77" spans="1:9" s="149" customFormat="1" ht="15" customHeight="1">
      <c r="A77" s="341"/>
      <c r="B77" s="456" t="s">
        <v>552</v>
      </c>
      <c r="C77" s="337">
        <v>12</v>
      </c>
      <c r="D77" s="432"/>
      <c r="E77" s="337">
        <f t="shared" si="5"/>
        <v>48</v>
      </c>
      <c r="F77" s="337">
        <v>4</v>
      </c>
      <c r="G77" s="1092"/>
      <c r="H77" s="457"/>
      <c r="I77" s="1178"/>
    </row>
    <row r="78" spans="1:9" s="149" customFormat="1" ht="15" customHeight="1">
      <c r="A78" s="341">
        <v>22</v>
      </c>
      <c r="B78" s="501" t="s">
        <v>517</v>
      </c>
      <c r="C78" s="502">
        <v>20</v>
      </c>
      <c r="D78" s="432"/>
      <c r="E78" s="502">
        <v>20</v>
      </c>
      <c r="F78" s="337">
        <v>4</v>
      </c>
      <c r="G78" s="1092"/>
      <c r="H78" s="457"/>
      <c r="I78" s="1178"/>
    </row>
    <row r="79" spans="1:9" s="149" customFormat="1" ht="15" customHeight="1">
      <c r="A79" s="342">
        <v>23</v>
      </c>
      <c r="B79" s="501" t="s">
        <v>519</v>
      </c>
      <c r="C79" s="502">
        <v>5</v>
      </c>
      <c r="D79" s="432"/>
      <c r="E79" s="502">
        <v>5</v>
      </c>
      <c r="F79" s="337">
        <v>4</v>
      </c>
      <c r="G79" s="1092"/>
      <c r="H79" s="457"/>
      <c r="I79" s="1178"/>
    </row>
    <row r="80" spans="1:9" s="149" customFormat="1" ht="15" customHeight="1">
      <c r="A80" s="342">
        <v>24</v>
      </c>
      <c r="B80" s="501" t="s">
        <v>520</v>
      </c>
      <c r="C80" s="502">
        <v>8</v>
      </c>
      <c r="D80" s="432"/>
      <c r="E80" s="502">
        <v>8</v>
      </c>
      <c r="F80" s="337">
        <v>4</v>
      </c>
      <c r="G80" s="1092"/>
      <c r="H80" s="457"/>
      <c r="I80" s="1178"/>
    </row>
    <row r="81" spans="1:9" s="149" customFormat="1" ht="15" customHeight="1">
      <c r="A81" s="343">
        <v>25</v>
      </c>
      <c r="B81" s="501" t="s">
        <v>521</v>
      </c>
      <c r="C81" s="502">
        <v>12</v>
      </c>
      <c r="D81" s="432"/>
      <c r="E81" s="502">
        <v>12</v>
      </c>
      <c r="F81" s="337">
        <v>4</v>
      </c>
      <c r="G81" s="1093"/>
      <c r="H81" s="457"/>
      <c r="I81" s="1178"/>
    </row>
    <row r="82" spans="1:9" s="149" customFormat="1" ht="15" customHeight="1">
      <c r="A82" s="343">
        <v>26</v>
      </c>
      <c r="B82" s="515" t="s">
        <v>543</v>
      </c>
      <c r="C82" s="516">
        <v>12</v>
      </c>
      <c r="D82" s="517"/>
      <c r="E82" s="518">
        <v>72</v>
      </c>
      <c r="F82" s="516">
        <f>E82/C82</f>
        <v>6</v>
      </c>
      <c r="G82" s="519" t="s">
        <v>544</v>
      </c>
      <c r="H82" s="457"/>
      <c r="I82" s="1178"/>
    </row>
    <row r="83" spans="1:9" s="149" customFormat="1" ht="15" customHeight="1">
      <c r="A83" s="343"/>
      <c r="B83" s="515" t="s">
        <v>545</v>
      </c>
      <c r="C83" s="516"/>
      <c r="D83" s="517"/>
      <c r="E83" s="518"/>
      <c r="F83" s="516"/>
      <c r="G83" s="519" t="s">
        <v>548</v>
      </c>
      <c r="H83" s="457"/>
      <c r="I83" s="1178"/>
    </row>
    <row r="84" spans="1:9" s="149" customFormat="1" ht="15" customHeight="1">
      <c r="A84" s="343"/>
      <c r="B84" s="515" t="s">
        <v>547</v>
      </c>
      <c r="C84" s="516"/>
      <c r="D84" s="517"/>
      <c r="E84" s="518"/>
      <c r="F84" s="516"/>
      <c r="G84" s="519" t="s">
        <v>549</v>
      </c>
      <c r="H84" s="457"/>
      <c r="I84" s="1178"/>
    </row>
    <row r="85" spans="1:9" s="149" customFormat="1" ht="15" customHeight="1">
      <c r="A85" s="441">
        <v>17</v>
      </c>
      <c r="B85" s="442" t="s">
        <v>374</v>
      </c>
      <c r="C85" s="223">
        <f>66</f>
        <v>66</v>
      </c>
      <c r="D85" s="223"/>
      <c r="E85" s="223">
        <f>C85*F85</f>
        <v>264</v>
      </c>
      <c r="F85" s="223">
        <v>4</v>
      </c>
      <c r="G85" s="224" t="s">
        <v>222</v>
      </c>
      <c r="H85" s="270" t="s">
        <v>401</v>
      </c>
      <c r="I85" s="1178"/>
    </row>
    <row r="86" spans="1:9">
      <c r="A86" s="440">
        <v>1</v>
      </c>
      <c r="B86" s="535" t="s">
        <v>81</v>
      </c>
      <c r="C86" s="543">
        <v>294</v>
      </c>
      <c r="D86" s="536"/>
      <c r="E86" s="537">
        <f>C86*F86</f>
        <v>3528</v>
      </c>
      <c r="F86" s="537">
        <v>12</v>
      </c>
      <c r="G86" s="396" t="s">
        <v>417</v>
      </c>
      <c r="H86" s="538"/>
      <c r="I86" s="1178"/>
    </row>
    <row r="87" spans="1:9">
      <c r="A87" s="204">
        <v>1</v>
      </c>
      <c r="B87" s="206" t="s">
        <v>390</v>
      </c>
      <c r="C87" s="544">
        <v>90</v>
      </c>
      <c r="D87" s="206"/>
      <c r="E87" s="207">
        <f>C87*F87</f>
        <v>2160</v>
      </c>
      <c r="F87" s="207">
        <v>24</v>
      </c>
      <c r="G87" s="208" t="s">
        <v>229</v>
      </c>
      <c r="H87" s="209"/>
      <c r="I87" s="1178"/>
    </row>
    <row r="88" spans="1:9">
      <c r="A88" s="187">
        <v>1</v>
      </c>
      <c r="B88" s="528" t="s">
        <v>533</v>
      </c>
      <c r="C88" s="545">
        <v>40</v>
      </c>
      <c r="D88" s="528"/>
      <c r="E88" s="529">
        <f>C88*F88</f>
        <v>480</v>
      </c>
      <c r="F88" s="529">
        <v>12</v>
      </c>
      <c r="G88" s="530" t="s">
        <v>495</v>
      </c>
      <c r="H88" s="186"/>
      <c r="I88" s="521"/>
    </row>
    <row r="89" spans="1:9">
      <c r="A89" s="534">
        <v>1</v>
      </c>
      <c r="B89" s="528" t="s">
        <v>534</v>
      </c>
      <c r="C89" s="546">
        <v>20</v>
      </c>
      <c r="D89" s="531"/>
      <c r="E89" s="532">
        <v>480</v>
      </c>
      <c r="F89" s="532">
        <v>12</v>
      </c>
      <c r="G89" s="533" t="s">
        <v>499</v>
      </c>
      <c r="H89" s="539" t="s">
        <v>535</v>
      </c>
      <c r="I89" s="522"/>
    </row>
    <row r="90" spans="1:9">
      <c r="A90" s="494">
        <v>1</v>
      </c>
      <c r="B90" s="498" t="s">
        <v>427</v>
      </c>
      <c r="C90" s="500"/>
      <c r="D90" s="498"/>
      <c r="E90" s="498"/>
      <c r="F90" s="498"/>
      <c r="G90" s="500" t="s">
        <v>428</v>
      </c>
      <c r="H90" s="498"/>
      <c r="I90" s="458" t="s">
        <v>530</v>
      </c>
    </row>
    <row r="91" spans="1:9">
      <c r="A91" s="497"/>
      <c r="B91" s="498" t="s">
        <v>437</v>
      </c>
      <c r="C91" s="500"/>
      <c r="D91" s="498"/>
      <c r="E91" s="498"/>
      <c r="F91" s="498"/>
      <c r="G91" s="500" t="s">
        <v>438</v>
      </c>
      <c r="H91" s="498"/>
      <c r="I91" s="458" t="s">
        <v>531</v>
      </c>
    </row>
    <row r="92" spans="1:9">
      <c r="A92" s="497">
        <v>1</v>
      </c>
      <c r="B92" s="523" t="s">
        <v>532</v>
      </c>
      <c r="C92" s="524"/>
      <c r="D92" s="523"/>
      <c r="E92" s="523">
        <v>480</v>
      </c>
      <c r="F92" s="523"/>
      <c r="G92" s="524" t="s">
        <v>493</v>
      </c>
      <c r="H92" s="498"/>
      <c r="I92" s="458" t="s">
        <v>530</v>
      </c>
    </row>
    <row r="93" spans="1:9" ht="15.75" thickBot="1">
      <c r="A93" s="495"/>
      <c r="B93" s="525" t="s">
        <v>437</v>
      </c>
      <c r="C93" s="527"/>
      <c r="D93" s="526"/>
      <c r="E93" s="526"/>
      <c r="F93" s="526"/>
      <c r="G93" s="527" t="s">
        <v>497</v>
      </c>
      <c r="H93" s="496"/>
      <c r="I93" s="499" t="s">
        <v>531</v>
      </c>
    </row>
    <row r="94" spans="1:9">
      <c r="C94" s="547"/>
      <c r="D94" s="285"/>
    </row>
  </sheetData>
  <mergeCells count="19">
    <mergeCell ref="H5:H9"/>
    <mergeCell ref="G6:G14"/>
    <mergeCell ref="B1:I1"/>
    <mergeCell ref="F3:F4"/>
    <mergeCell ref="G3:G4"/>
    <mergeCell ref="H3:H4"/>
    <mergeCell ref="I3:I4"/>
    <mergeCell ref="A3:A4"/>
    <mergeCell ref="B3:B4"/>
    <mergeCell ref="C3:C4"/>
    <mergeCell ref="D3:D4"/>
    <mergeCell ref="E3:E4"/>
    <mergeCell ref="H15:H17"/>
    <mergeCell ref="G15:G25"/>
    <mergeCell ref="H22:H25"/>
    <mergeCell ref="I15:I87"/>
    <mergeCell ref="G26:G53"/>
    <mergeCell ref="H30:H53"/>
    <mergeCell ref="G54:G81"/>
  </mergeCells>
  <printOptions horizontalCentered="1"/>
  <pageMargins left="0" right="0" top="1.0900000000000001" bottom="0.05" header="0" footer="0.2"/>
  <pageSetup paperSize="9" scale="73" orientation="landscape" verticalDpi="0" r:id="rId1"/>
  <headerFooter>
    <oddHeader>&amp;L&amp;"Arial Black,Regular"PT.QUTY KARUNIA&amp;R18/07/2013</oddHeader>
  </headerFooter>
  <rowBreaks count="1" manualBreakCount="1">
    <brk id="53" max="8" man="1"/>
  </row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O55"/>
  <sheetViews>
    <sheetView view="pageBreakPreview" topLeftCell="A22" zoomScaleSheetLayoutView="100" workbookViewId="0">
      <selection activeCell="C35" sqref="C35"/>
    </sheetView>
  </sheetViews>
  <sheetFormatPr defaultRowHeight="15"/>
  <cols>
    <col min="1" max="1" width="6.28515625" style="86" customWidth="1"/>
    <col min="2" max="2" width="35.85546875" customWidth="1"/>
    <col min="3" max="3" width="8.7109375" customWidth="1"/>
    <col min="4" max="4" width="20.85546875" bestFit="1" customWidth="1"/>
    <col min="5" max="5" width="12.7109375" customWidth="1"/>
    <col min="6" max="6" width="11" customWidth="1"/>
    <col min="7" max="7" width="24.85546875" customWidth="1"/>
    <col min="8" max="8" width="20.5703125" customWidth="1"/>
    <col min="9" max="9" width="35.140625" customWidth="1"/>
    <col min="10" max="10" width="18.7109375" customWidth="1"/>
  </cols>
  <sheetData>
    <row r="1" spans="1:9" ht="27" thickBot="1">
      <c r="A1" s="1182" t="s">
        <v>363</v>
      </c>
      <c r="B1" s="1182"/>
      <c r="C1" s="1182"/>
      <c r="D1" s="1182"/>
      <c r="E1" s="1182"/>
      <c r="F1" s="1182"/>
      <c r="G1" s="1182"/>
      <c r="H1" s="1182"/>
      <c r="I1" s="1182"/>
    </row>
    <row r="2" spans="1:9" ht="24.95" customHeight="1">
      <c r="A2" s="1268" t="s">
        <v>358</v>
      </c>
      <c r="B2" s="1252" t="s">
        <v>255</v>
      </c>
      <c r="C2" s="1113" t="s">
        <v>256</v>
      </c>
      <c r="D2" s="1113" t="s">
        <v>257</v>
      </c>
      <c r="E2" s="1113" t="s">
        <v>382</v>
      </c>
      <c r="F2" s="1113" t="s">
        <v>381</v>
      </c>
      <c r="G2" s="1113" t="s">
        <v>259</v>
      </c>
      <c r="H2" s="1113" t="s">
        <v>260</v>
      </c>
      <c r="I2" s="1176" t="s">
        <v>273</v>
      </c>
    </row>
    <row r="3" spans="1:9" ht="31.5" customHeight="1" thickBot="1">
      <c r="A3" s="1269"/>
      <c r="B3" s="1247"/>
      <c r="C3" s="1248"/>
      <c r="D3" s="1248"/>
      <c r="E3" s="1248"/>
      <c r="F3" s="1248"/>
      <c r="G3" s="1248"/>
      <c r="H3" s="1114"/>
      <c r="I3" s="1177"/>
    </row>
    <row r="4" spans="1:9" ht="15" customHeight="1" thickTop="1">
      <c r="A4" s="187">
        <v>1</v>
      </c>
      <c r="B4" s="177" t="s">
        <v>317</v>
      </c>
      <c r="C4" s="178">
        <v>30</v>
      </c>
      <c r="D4" s="178">
        <v>30</v>
      </c>
      <c r="E4" s="178">
        <f>D4*F4</f>
        <v>480</v>
      </c>
      <c r="F4" s="178">
        <v>16</v>
      </c>
      <c r="G4" s="1282" t="s">
        <v>327</v>
      </c>
      <c r="H4" s="1132" t="s">
        <v>366</v>
      </c>
      <c r="I4" s="1285" t="s">
        <v>220</v>
      </c>
    </row>
    <row r="5" spans="1:9" ht="15" customHeight="1">
      <c r="A5" s="187">
        <v>2</v>
      </c>
      <c r="B5" s="177" t="s">
        <v>318</v>
      </c>
      <c r="C5" s="178">
        <v>24</v>
      </c>
      <c r="D5" s="178">
        <v>24</v>
      </c>
      <c r="E5" s="178">
        <f>D5*F5</f>
        <v>384</v>
      </c>
      <c r="F5" s="178">
        <v>16</v>
      </c>
      <c r="G5" s="1283"/>
      <c r="H5" s="1132"/>
      <c r="I5" s="1286"/>
    </row>
    <row r="6" spans="1:9" ht="15" customHeight="1">
      <c r="A6" s="187">
        <v>3</v>
      </c>
      <c r="B6" s="177" t="s">
        <v>331</v>
      </c>
      <c r="C6" s="178">
        <v>12</v>
      </c>
      <c r="D6" s="178">
        <v>1</v>
      </c>
      <c r="E6" s="178">
        <f>C6*F6</f>
        <v>192</v>
      </c>
      <c r="F6" s="178">
        <v>16</v>
      </c>
      <c r="G6" s="1283"/>
      <c r="H6" s="179" t="s">
        <v>367</v>
      </c>
      <c r="I6" s="1286"/>
    </row>
    <row r="7" spans="1:9" ht="15" customHeight="1">
      <c r="A7" s="187">
        <v>4</v>
      </c>
      <c r="B7" s="177" t="s">
        <v>332</v>
      </c>
      <c r="C7" s="178">
        <v>16</v>
      </c>
      <c r="D7" s="178">
        <v>1</v>
      </c>
      <c r="E7" s="178">
        <f>C7*F7</f>
        <v>256</v>
      </c>
      <c r="F7" s="178">
        <v>16</v>
      </c>
      <c r="G7" s="1283"/>
      <c r="H7" s="179" t="s">
        <v>367</v>
      </c>
      <c r="I7" s="1286"/>
    </row>
    <row r="8" spans="1:9" ht="15" customHeight="1">
      <c r="A8" s="187">
        <v>5</v>
      </c>
      <c r="B8" s="177" t="s">
        <v>333</v>
      </c>
      <c r="C8" s="178">
        <v>12</v>
      </c>
      <c r="D8" s="178">
        <v>1</v>
      </c>
      <c r="E8" s="178">
        <f>C8*F8</f>
        <v>192</v>
      </c>
      <c r="F8" s="178">
        <v>16</v>
      </c>
      <c r="G8" s="1283"/>
      <c r="H8" s="179" t="s">
        <v>367</v>
      </c>
      <c r="I8" s="1286"/>
    </row>
    <row r="9" spans="1:9" ht="15" customHeight="1">
      <c r="A9" s="187">
        <v>6</v>
      </c>
      <c r="B9" s="177" t="s">
        <v>334</v>
      </c>
      <c r="C9" s="178">
        <v>16</v>
      </c>
      <c r="D9" s="178">
        <v>1</v>
      </c>
      <c r="E9" s="178">
        <f>C9*F9</f>
        <v>256</v>
      </c>
      <c r="F9" s="178">
        <v>16</v>
      </c>
      <c r="G9" s="1284"/>
      <c r="H9" s="179" t="s">
        <v>367</v>
      </c>
      <c r="I9" s="1286"/>
    </row>
    <row r="10" spans="1:9" ht="15" customHeight="1">
      <c r="A10" s="235">
        <v>7</v>
      </c>
      <c r="B10" s="236" t="s">
        <v>342</v>
      </c>
      <c r="C10" s="237">
        <v>7</v>
      </c>
      <c r="D10" s="237">
        <v>7</v>
      </c>
      <c r="E10" s="237">
        <v>126</v>
      </c>
      <c r="F10" s="237">
        <v>18</v>
      </c>
      <c r="G10" s="238" t="s">
        <v>343</v>
      </c>
      <c r="H10" s="239" t="s">
        <v>368</v>
      </c>
      <c r="I10" s="1286"/>
    </row>
    <row r="11" spans="1:9" ht="15" customHeight="1">
      <c r="A11" s="187">
        <v>8</v>
      </c>
      <c r="B11" s="177" t="s">
        <v>345</v>
      </c>
      <c r="C11" s="178">
        <v>42</v>
      </c>
      <c r="D11" s="178">
        <v>1</v>
      </c>
      <c r="E11" s="178">
        <f>C11*F11</f>
        <v>336</v>
      </c>
      <c r="F11" s="178">
        <v>8</v>
      </c>
      <c r="G11" s="1133" t="s">
        <v>326</v>
      </c>
      <c r="H11" s="179" t="s">
        <v>369</v>
      </c>
      <c r="I11" s="1286"/>
    </row>
    <row r="12" spans="1:9" ht="15" customHeight="1">
      <c r="A12" s="187">
        <v>9</v>
      </c>
      <c r="B12" s="177" t="s">
        <v>322</v>
      </c>
      <c r="C12" s="178">
        <v>42</v>
      </c>
      <c r="D12" s="178">
        <v>1</v>
      </c>
      <c r="E12" s="178">
        <f>C12*F12</f>
        <v>336</v>
      </c>
      <c r="F12" s="178">
        <v>8</v>
      </c>
      <c r="G12" s="1257"/>
      <c r="H12" s="179" t="s">
        <v>370</v>
      </c>
      <c r="I12" s="1286"/>
    </row>
    <row r="13" spans="1:9" ht="15" customHeight="1">
      <c r="A13" s="187">
        <v>10</v>
      </c>
      <c r="B13" s="177" t="s">
        <v>321</v>
      </c>
      <c r="C13" s="178">
        <v>24</v>
      </c>
      <c r="D13" s="178">
        <v>1</v>
      </c>
      <c r="E13" s="178">
        <f>C13*F13</f>
        <v>192</v>
      </c>
      <c r="F13" s="178">
        <v>8</v>
      </c>
      <c r="G13" s="1257"/>
      <c r="H13" s="179" t="s">
        <v>389</v>
      </c>
      <c r="I13" s="1286"/>
    </row>
    <row r="14" spans="1:9" s="149" customFormat="1" ht="15" customHeight="1">
      <c r="A14" s="187">
        <v>11</v>
      </c>
      <c r="B14" s="177" t="s">
        <v>319</v>
      </c>
      <c r="C14" s="178">
        <v>10</v>
      </c>
      <c r="D14" s="178">
        <v>10</v>
      </c>
      <c r="E14" s="178">
        <f>D14*F14</f>
        <v>80</v>
      </c>
      <c r="F14" s="178">
        <v>8</v>
      </c>
      <c r="G14" s="1257"/>
      <c r="H14" s="179" t="s">
        <v>371</v>
      </c>
      <c r="I14" s="1286"/>
    </row>
    <row r="15" spans="1:9" ht="15" customHeight="1">
      <c r="A15" s="187">
        <v>12</v>
      </c>
      <c r="B15" s="177" t="s">
        <v>316</v>
      </c>
      <c r="C15" s="178">
        <v>30</v>
      </c>
      <c r="D15" s="178">
        <v>30</v>
      </c>
      <c r="E15" s="178">
        <f>D15*F15</f>
        <v>240</v>
      </c>
      <c r="F15" s="178">
        <v>8</v>
      </c>
      <c r="G15" s="1257"/>
      <c r="H15" s="179" t="s">
        <v>371</v>
      </c>
      <c r="I15" s="1286"/>
    </row>
    <row r="16" spans="1:9" ht="15" customHeight="1">
      <c r="A16" s="187">
        <v>13</v>
      </c>
      <c r="B16" s="180" t="s">
        <v>338</v>
      </c>
      <c r="C16" s="181">
        <v>10</v>
      </c>
      <c r="D16" s="181">
        <v>10</v>
      </c>
      <c r="E16" s="181">
        <f>D16*F16</f>
        <v>80</v>
      </c>
      <c r="F16" s="181">
        <v>8</v>
      </c>
      <c r="G16" s="1257"/>
      <c r="H16" s="284" t="s">
        <v>371</v>
      </c>
      <c r="I16" s="1286"/>
    </row>
    <row r="17" spans="1:15" s="276" customFormat="1" ht="15" customHeight="1">
      <c r="A17" s="271">
        <v>14</v>
      </c>
      <c r="B17" s="272" t="s">
        <v>394</v>
      </c>
      <c r="C17" s="273">
        <v>40</v>
      </c>
      <c r="D17" s="273">
        <v>40</v>
      </c>
      <c r="E17" s="273">
        <v>320</v>
      </c>
      <c r="F17" s="273">
        <f>E17/C17</f>
        <v>8</v>
      </c>
      <c r="G17" s="1134"/>
      <c r="H17" s="274" t="s">
        <v>371</v>
      </c>
      <c r="I17" s="275" t="s">
        <v>393</v>
      </c>
    </row>
    <row r="18" spans="1:15" s="149" customFormat="1" ht="15" customHeight="1">
      <c r="A18" s="240">
        <v>15</v>
      </c>
      <c r="B18" s="241" t="s">
        <v>339</v>
      </c>
      <c r="C18" s="242">
        <v>8</v>
      </c>
      <c r="D18" s="242">
        <v>8</v>
      </c>
      <c r="E18" s="242">
        <v>32</v>
      </c>
      <c r="F18" s="242">
        <v>4</v>
      </c>
      <c r="G18" s="1263" t="s">
        <v>341</v>
      </c>
      <c r="H18" s="243" t="s">
        <v>372</v>
      </c>
      <c r="I18" s="1133" t="s">
        <v>227</v>
      </c>
    </row>
    <row r="19" spans="1:15" s="149" customFormat="1" ht="15" customHeight="1">
      <c r="A19" s="240">
        <v>16</v>
      </c>
      <c r="B19" s="241" t="s">
        <v>360</v>
      </c>
      <c r="C19" s="242">
        <v>12</v>
      </c>
      <c r="D19" s="242">
        <v>12</v>
      </c>
      <c r="E19" s="242">
        <v>48</v>
      </c>
      <c r="F19" s="242">
        <f>E19/D19</f>
        <v>4</v>
      </c>
      <c r="G19" s="1264"/>
      <c r="H19" s="243" t="s">
        <v>373</v>
      </c>
      <c r="I19" s="1257"/>
    </row>
    <row r="20" spans="1:15" s="149" customFormat="1" ht="15" customHeight="1">
      <c r="A20" s="240">
        <v>17</v>
      </c>
      <c r="B20" s="241" t="s">
        <v>361</v>
      </c>
      <c r="C20" s="242">
        <v>18</v>
      </c>
      <c r="D20" s="242">
        <v>18</v>
      </c>
      <c r="E20" s="242">
        <v>72</v>
      </c>
      <c r="F20" s="242">
        <v>4</v>
      </c>
      <c r="G20" s="1265"/>
      <c r="H20" s="243" t="s">
        <v>373</v>
      </c>
      <c r="I20" s="1257"/>
    </row>
    <row r="21" spans="1:15" s="149" customFormat="1" ht="15" customHeight="1">
      <c r="A21" s="1287">
        <v>18</v>
      </c>
      <c r="B21" s="1289" t="s">
        <v>374</v>
      </c>
      <c r="C21" s="223">
        <v>72</v>
      </c>
      <c r="D21" s="223">
        <v>72</v>
      </c>
      <c r="E21" s="223">
        <v>288</v>
      </c>
      <c r="F21" s="223">
        <v>4</v>
      </c>
      <c r="G21" s="224" t="s">
        <v>222</v>
      </c>
      <c r="H21" s="224" t="s">
        <v>373</v>
      </c>
      <c r="I21" s="1257"/>
    </row>
    <row r="22" spans="1:15" s="149" customFormat="1" ht="15" customHeight="1">
      <c r="A22" s="1288"/>
      <c r="B22" s="1290"/>
      <c r="C22" s="223">
        <f>66</f>
        <v>66</v>
      </c>
      <c r="D22" s="223">
        <v>66</v>
      </c>
      <c r="E22" s="223">
        <f>C22*F22</f>
        <v>264</v>
      </c>
      <c r="F22" s="223">
        <v>4</v>
      </c>
      <c r="G22" s="224" t="s">
        <v>222</v>
      </c>
      <c r="H22" s="270" t="s">
        <v>401</v>
      </c>
      <c r="I22" s="1257"/>
    </row>
    <row r="23" spans="1:15" s="149" customFormat="1" ht="15" customHeight="1">
      <c r="A23" s="225">
        <v>19</v>
      </c>
      <c r="B23" s="226" t="s">
        <v>375</v>
      </c>
      <c r="C23" s="227">
        <v>24</v>
      </c>
      <c r="D23" s="227">
        <v>24</v>
      </c>
      <c r="E23" s="227">
        <f>C23*F23</f>
        <v>96</v>
      </c>
      <c r="F23" s="227">
        <v>4</v>
      </c>
      <c r="G23" s="228" t="s">
        <v>223</v>
      </c>
      <c r="H23" s="229" t="s">
        <v>376</v>
      </c>
      <c r="I23" s="1257"/>
    </row>
    <row r="24" spans="1:15" s="149" customFormat="1" ht="15" customHeight="1">
      <c r="A24" s="230">
        <v>20</v>
      </c>
      <c r="B24" s="231" t="s">
        <v>67</v>
      </c>
      <c r="C24" s="232">
        <v>12</v>
      </c>
      <c r="D24" s="232">
        <v>12</v>
      </c>
      <c r="E24" s="232">
        <f>D24*F24</f>
        <v>48</v>
      </c>
      <c r="F24" s="232">
        <v>4</v>
      </c>
      <c r="G24" s="233" t="s">
        <v>221</v>
      </c>
      <c r="H24" s="234" t="s">
        <v>364</v>
      </c>
      <c r="I24" s="1134"/>
    </row>
    <row r="25" spans="1:15" ht="15" customHeight="1">
      <c r="A25" s="216">
        <v>21</v>
      </c>
      <c r="B25" s="217" t="s">
        <v>19</v>
      </c>
      <c r="C25" s="218">
        <v>36</v>
      </c>
      <c r="D25" s="218">
        <v>36</v>
      </c>
      <c r="E25" s="218">
        <v>216</v>
      </c>
      <c r="F25" s="219">
        <f>E25/D25</f>
        <v>6</v>
      </c>
      <c r="G25" s="1266" t="s">
        <v>218</v>
      </c>
      <c r="H25" s="1258" t="s">
        <v>219</v>
      </c>
      <c r="I25" s="1133" t="s">
        <v>220</v>
      </c>
    </row>
    <row r="26" spans="1:15" ht="15" customHeight="1">
      <c r="A26" s="216">
        <v>22</v>
      </c>
      <c r="B26" s="217" t="s">
        <v>27</v>
      </c>
      <c r="C26" s="218">
        <v>96</v>
      </c>
      <c r="D26" s="218">
        <v>96</v>
      </c>
      <c r="E26" s="218">
        <v>576</v>
      </c>
      <c r="F26" s="219">
        <f t="shared" ref="F26:F34" si="0">E26/D26</f>
        <v>6</v>
      </c>
      <c r="G26" s="1267"/>
      <c r="H26" s="1258"/>
      <c r="I26" s="1257"/>
    </row>
    <row r="27" spans="1:15" ht="15" customHeight="1">
      <c r="A27" s="216">
        <v>23</v>
      </c>
      <c r="B27" s="217" t="s">
        <v>31</v>
      </c>
      <c r="C27" s="218">
        <v>160</v>
      </c>
      <c r="D27" s="218">
        <v>160</v>
      </c>
      <c r="E27" s="218">
        <v>960</v>
      </c>
      <c r="F27" s="219">
        <f t="shared" si="0"/>
        <v>6</v>
      </c>
      <c r="G27" s="1267"/>
      <c r="H27" s="1258"/>
      <c r="I27" s="1257"/>
      <c r="J27" s="120"/>
      <c r="K27" s="120"/>
      <c r="L27" s="120"/>
      <c r="M27" s="120"/>
      <c r="N27" s="120"/>
      <c r="O27" s="120"/>
    </row>
    <row r="28" spans="1:15" ht="15" customHeight="1">
      <c r="A28" s="315">
        <v>24</v>
      </c>
      <c r="B28" s="309" t="s">
        <v>34</v>
      </c>
      <c r="C28" s="310">
        <v>36</v>
      </c>
      <c r="D28" s="310">
        <v>36</v>
      </c>
      <c r="E28" s="310">
        <v>216</v>
      </c>
      <c r="F28" s="313">
        <f t="shared" si="0"/>
        <v>6</v>
      </c>
      <c r="G28" s="1267"/>
      <c r="H28" s="1258"/>
      <c r="I28" s="1257"/>
      <c r="J28" s="120"/>
      <c r="K28" s="120"/>
      <c r="L28" s="120"/>
      <c r="M28" s="120"/>
      <c r="N28" s="120"/>
      <c r="O28" s="120"/>
    </row>
    <row r="29" spans="1:15" ht="15" customHeight="1">
      <c r="A29" s="315">
        <v>25</v>
      </c>
      <c r="B29" s="309" t="s">
        <v>37</v>
      </c>
      <c r="C29" s="310">
        <v>48</v>
      </c>
      <c r="D29" s="310">
        <v>48</v>
      </c>
      <c r="E29" s="310">
        <v>288</v>
      </c>
      <c r="F29" s="313">
        <f t="shared" si="0"/>
        <v>6</v>
      </c>
      <c r="G29" s="1267"/>
      <c r="H29" s="1258"/>
      <c r="I29" s="1257"/>
      <c r="J29" s="120"/>
      <c r="K29" s="120"/>
      <c r="L29" s="120"/>
      <c r="M29" s="120"/>
      <c r="N29" s="120"/>
      <c r="O29" s="120"/>
    </row>
    <row r="30" spans="1:15" ht="15" customHeight="1">
      <c r="A30" s="216">
        <v>26</v>
      </c>
      <c r="B30" s="220" t="s">
        <v>41</v>
      </c>
      <c r="C30" s="221">
        <v>20</v>
      </c>
      <c r="D30" s="221">
        <v>1</v>
      </c>
      <c r="E30" s="221">
        <v>120</v>
      </c>
      <c r="F30" s="219">
        <v>6</v>
      </c>
      <c r="G30" s="1267"/>
      <c r="H30" s="222" t="s">
        <v>362</v>
      </c>
      <c r="I30" s="1257"/>
      <c r="J30" s="120"/>
      <c r="K30" s="120"/>
      <c r="L30" s="120"/>
      <c r="M30" s="120"/>
      <c r="N30" s="120"/>
      <c r="O30" s="120"/>
    </row>
    <row r="31" spans="1:15" ht="15" customHeight="1">
      <c r="A31" s="216">
        <v>27</v>
      </c>
      <c r="B31" s="217" t="s">
        <v>46</v>
      </c>
      <c r="C31" s="218">
        <v>20</v>
      </c>
      <c r="D31" s="218">
        <v>20</v>
      </c>
      <c r="E31" s="218">
        <v>120</v>
      </c>
      <c r="F31" s="219">
        <f t="shared" si="0"/>
        <v>6</v>
      </c>
      <c r="G31" s="1267"/>
      <c r="H31" s="1258" t="s">
        <v>219</v>
      </c>
      <c r="I31" s="1257"/>
      <c r="J31" s="120"/>
      <c r="K31" s="120"/>
      <c r="L31" s="120"/>
      <c r="M31" s="120"/>
      <c r="N31" s="120"/>
      <c r="O31" s="120"/>
    </row>
    <row r="32" spans="1:15" ht="15" customHeight="1">
      <c r="A32" s="216">
        <v>28</v>
      </c>
      <c r="B32" s="217" t="s">
        <v>49</v>
      </c>
      <c r="C32" s="218">
        <v>12</v>
      </c>
      <c r="D32" s="218">
        <v>12</v>
      </c>
      <c r="E32" s="218">
        <v>72</v>
      </c>
      <c r="F32" s="219">
        <f t="shared" si="0"/>
        <v>6</v>
      </c>
      <c r="G32" s="1267"/>
      <c r="H32" s="1258"/>
      <c r="I32" s="1257"/>
      <c r="J32" s="120"/>
      <c r="K32" s="120"/>
      <c r="L32" s="120"/>
      <c r="M32" s="120"/>
      <c r="N32" s="120"/>
      <c r="O32" s="120"/>
    </row>
    <row r="33" spans="1:9" ht="15" customHeight="1">
      <c r="A33" s="315">
        <v>29</v>
      </c>
      <c r="B33" s="309" t="s">
        <v>54</v>
      </c>
      <c r="C33" s="310">
        <v>12</v>
      </c>
      <c r="D33" s="310">
        <v>12</v>
      </c>
      <c r="E33" s="310">
        <v>72</v>
      </c>
      <c r="F33" s="313">
        <f t="shared" si="0"/>
        <v>6</v>
      </c>
      <c r="G33" s="1267"/>
      <c r="H33" s="1258"/>
      <c r="I33" s="1257"/>
    </row>
    <row r="34" spans="1:9" ht="15" customHeight="1">
      <c r="A34" s="315">
        <v>30</v>
      </c>
      <c r="B34" s="309" t="s">
        <v>58</v>
      </c>
      <c r="C34" s="310">
        <v>6</v>
      </c>
      <c r="D34" s="310">
        <v>6</v>
      </c>
      <c r="E34" s="310">
        <v>36</v>
      </c>
      <c r="F34" s="313">
        <f t="shared" si="0"/>
        <v>6</v>
      </c>
      <c r="G34" s="1267"/>
      <c r="H34" s="1258"/>
      <c r="I34" s="1257"/>
    </row>
    <row r="35" spans="1:9" ht="15" customHeight="1" thickBot="1">
      <c r="A35" s="315">
        <v>31</v>
      </c>
      <c r="B35" s="311" t="s">
        <v>63</v>
      </c>
      <c r="C35" s="312">
        <v>6</v>
      </c>
      <c r="D35" s="312">
        <v>6</v>
      </c>
      <c r="E35" s="312">
        <v>36</v>
      </c>
      <c r="F35" s="314">
        <f>E35/D35</f>
        <v>6</v>
      </c>
      <c r="G35" s="1267"/>
      <c r="H35" s="1259"/>
      <c r="I35" s="1257"/>
    </row>
    <row r="36" spans="1:9">
      <c r="A36" s="210">
        <v>32</v>
      </c>
      <c r="B36" s="211" t="s">
        <v>377</v>
      </c>
      <c r="C36" s="176">
        <v>60</v>
      </c>
      <c r="D36" s="176">
        <v>12</v>
      </c>
      <c r="E36" s="212">
        <f>C36*F36</f>
        <v>480</v>
      </c>
      <c r="F36" s="213">
        <v>8</v>
      </c>
      <c r="G36" s="214" t="s">
        <v>378</v>
      </c>
      <c r="H36" s="215" t="s">
        <v>379</v>
      </c>
      <c r="I36" s="179" t="s">
        <v>220</v>
      </c>
    </row>
    <row r="37" spans="1:9">
      <c r="A37" s="196">
        <v>33</v>
      </c>
      <c r="B37" s="197" t="s">
        <v>226</v>
      </c>
      <c r="C37" s="198">
        <v>10</v>
      </c>
      <c r="D37" s="198">
        <v>1</v>
      </c>
      <c r="E37" s="199">
        <f>F37*C37</f>
        <v>120</v>
      </c>
      <c r="F37" s="199">
        <v>12</v>
      </c>
      <c r="G37" s="1260" t="s">
        <v>225</v>
      </c>
      <c r="H37" s="200" t="s">
        <v>362</v>
      </c>
      <c r="I37" s="1132" t="s">
        <v>220</v>
      </c>
    </row>
    <row r="38" spans="1:9">
      <c r="A38" s="196">
        <v>34</v>
      </c>
      <c r="B38" s="197" t="s">
        <v>81</v>
      </c>
      <c r="C38" s="198">
        <v>294</v>
      </c>
      <c r="D38" s="198">
        <v>294</v>
      </c>
      <c r="E38" s="199">
        <f>C38*F38</f>
        <v>3528</v>
      </c>
      <c r="F38" s="199">
        <v>12</v>
      </c>
      <c r="G38" s="1261"/>
      <c r="H38" s="1260" t="s">
        <v>365</v>
      </c>
      <c r="I38" s="1132"/>
    </row>
    <row r="39" spans="1:9">
      <c r="A39" s="196">
        <v>35</v>
      </c>
      <c r="B39" s="197" t="s">
        <v>82</v>
      </c>
      <c r="C39" s="198">
        <v>96</v>
      </c>
      <c r="D39" s="198">
        <v>96</v>
      </c>
      <c r="E39" s="199">
        <f t="shared" ref="E39:E44" si="1">F39*C39</f>
        <v>1152</v>
      </c>
      <c r="F39" s="199">
        <v>12</v>
      </c>
      <c r="G39" s="1261"/>
      <c r="H39" s="1261"/>
      <c r="I39" s="1132"/>
    </row>
    <row r="40" spans="1:9">
      <c r="A40" s="196">
        <v>36</v>
      </c>
      <c r="B40" s="197" t="s">
        <v>80</v>
      </c>
      <c r="C40" s="198">
        <v>112</v>
      </c>
      <c r="D40" s="198">
        <v>112</v>
      </c>
      <c r="E40" s="199">
        <f t="shared" si="1"/>
        <v>1344</v>
      </c>
      <c r="F40" s="199">
        <v>12</v>
      </c>
      <c r="G40" s="1261"/>
      <c r="H40" s="1261"/>
      <c r="I40" s="1132"/>
    </row>
    <row r="41" spans="1:9">
      <c r="A41" s="196">
        <v>37</v>
      </c>
      <c r="B41" s="197" t="s">
        <v>84</v>
      </c>
      <c r="C41" s="198">
        <v>30</v>
      </c>
      <c r="D41" s="198">
        <v>30</v>
      </c>
      <c r="E41" s="199">
        <f t="shared" si="1"/>
        <v>360</v>
      </c>
      <c r="F41" s="199">
        <v>12</v>
      </c>
      <c r="G41" s="1261"/>
      <c r="H41" s="1261"/>
      <c r="I41" s="1132"/>
    </row>
    <row r="42" spans="1:9">
      <c r="A42" s="196">
        <v>38</v>
      </c>
      <c r="B42" s="197" t="s">
        <v>85</v>
      </c>
      <c r="C42" s="198">
        <v>20</v>
      </c>
      <c r="D42" s="198">
        <v>20</v>
      </c>
      <c r="E42" s="199">
        <f t="shared" si="1"/>
        <v>240</v>
      </c>
      <c r="F42" s="199">
        <v>12</v>
      </c>
      <c r="G42" s="1261"/>
      <c r="H42" s="1261"/>
      <c r="I42" s="1132"/>
    </row>
    <row r="43" spans="1:9">
      <c r="A43" s="196">
        <v>39</v>
      </c>
      <c r="B43" s="201" t="s">
        <v>206</v>
      </c>
      <c r="C43" s="202">
        <v>12</v>
      </c>
      <c r="D43" s="202">
        <v>12</v>
      </c>
      <c r="E43" s="203">
        <f t="shared" si="1"/>
        <v>144</v>
      </c>
      <c r="F43" s="203">
        <v>12</v>
      </c>
      <c r="G43" s="1261"/>
      <c r="H43" s="1262"/>
      <c r="I43" s="1133"/>
    </row>
    <row r="44" spans="1:9">
      <c r="A44" s="204">
        <v>40</v>
      </c>
      <c r="B44" s="205" t="s">
        <v>380</v>
      </c>
      <c r="C44" s="206">
        <v>36</v>
      </c>
      <c r="D44" s="206">
        <v>36</v>
      </c>
      <c r="E44" s="207">
        <f t="shared" si="1"/>
        <v>864</v>
      </c>
      <c r="F44" s="207">
        <v>24</v>
      </c>
      <c r="G44" s="208" t="s">
        <v>230</v>
      </c>
      <c r="H44" s="209" t="s">
        <v>383</v>
      </c>
      <c r="I44" s="179" t="s">
        <v>220</v>
      </c>
    </row>
    <row r="45" spans="1:9">
      <c r="A45" s="244">
        <v>41</v>
      </c>
      <c r="B45" s="245" t="s">
        <v>390</v>
      </c>
      <c r="C45" s="246">
        <v>90</v>
      </c>
      <c r="D45" s="246">
        <v>90</v>
      </c>
      <c r="E45" s="247">
        <v>216</v>
      </c>
      <c r="F45" s="247">
        <v>24</v>
      </c>
      <c r="G45" s="208" t="s">
        <v>229</v>
      </c>
      <c r="H45" s="209" t="s">
        <v>391</v>
      </c>
      <c r="I45" s="291" t="s">
        <v>220</v>
      </c>
    </row>
    <row r="46" spans="1:9">
      <c r="A46" s="1036">
        <v>42</v>
      </c>
      <c r="B46" s="1270" t="s">
        <v>231</v>
      </c>
      <c r="C46" s="1273">
        <v>10</v>
      </c>
      <c r="D46" s="1273">
        <v>1</v>
      </c>
      <c r="E46" s="1276">
        <v>120</v>
      </c>
      <c r="F46" s="1279">
        <v>12</v>
      </c>
      <c r="G46" s="183" t="s">
        <v>384</v>
      </c>
      <c r="H46" s="186" t="s">
        <v>232</v>
      </c>
      <c r="I46" s="182" t="s">
        <v>385</v>
      </c>
    </row>
    <row r="47" spans="1:9">
      <c r="A47" s="1026"/>
      <c r="B47" s="1271"/>
      <c r="C47" s="1274"/>
      <c r="D47" s="1274"/>
      <c r="E47" s="1277"/>
      <c r="F47" s="1280"/>
      <c r="G47" s="183" t="s">
        <v>386</v>
      </c>
      <c r="H47" s="186" t="s">
        <v>232</v>
      </c>
      <c r="I47" s="179" t="s">
        <v>220</v>
      </c>
    </row>
    <row r="48" spans="1:9" ht="101.25" customHeight="1">
      <c r="A48" s="1032"/>
      <c r="B48" s="1272"/>
      <c r="C48" s="1275"/>
      <c r="D48" s="1275"/>
      <c r="E48" s="1278"/>
      <c r="F48" s="1281"/>
      <c r="G48" s="186" t="s">
        <v>387</v>
      </c>
      <c r="H48" s="186" t="s">
        <v>232</v>
      </c>
      <c r="I48" s="179" t="s">
        <v>220</v>
      </c>
    </row>
    <row r="49" spans="1:9">
      <c r="A49" s="188">
        <v>43</v>
      </c>
      <c r="B49" s="189" t="s">
        <v>297</v>
      </c>
      <c r="C49" s="190">
        <v>16</v>
      </c>
      <c r="D49" s="190">
        <v>16</v>
      </c>
      <c r="E49" s="190">
        <v>192</v>
      </c>
      <c r="F49" s="190">
        <f t="shared" ref="F49:F55" si="2">+E49/C49</f>
        <v>12</v>
      </c>
      <c r="G49" s="1254" t="s">
        <v>275</v>
      </c>
      <c r="H49" s="1254" t="s">
        <v>365</v>
      </c>
      <c r="I49" s="1133" t="s">
        <v>220</v>
      </c>
    </row>
    <row r="50" spans="1:9">
      <c r="A50" s="188">
        <v>44</v>
      </c>
      <c r="B50" s="191" t="s">
        <v>298</v>
      </c>
      <c r="C50" s="190">
        <v>16</v>
      </c>
      <c r="D50" s="190">
        <v>16</v>
      </c>
      <c r="E50" s="190">
        <v>192</v>
      </c>
      <c r="F50" s="190">
        <f t="shared" si="2"/>
        <v>12</v>
      </c>
      <c r="G50" s="1255"/>
      <c r="H50" s="1255"/>
      <c r="I50" s="1257"/>
    </row>
    <row r="51" spans="1:9">
      <c r="A51" s="188">
        <v>45</v>
      </c>
      <c r="B51" s="189" t="s">
        <v>299</v>
      </c>
      <c r="C51" s="190">
        <v>24</v>
      </c>
      <c r="D51" s="190">
        <v>24</v>
      </c>
      <c r="E51" s="190">
        <v>288</v>
      </c>
      <c r="F51" s="190">
        <f t="shared" si="2"/>
        <v>12</v>
      </c>
      <c r="G51" s="1255"/>
      <c r="H51" s="1255"/>
      <c r="I51" s="1257"/>
    </row>
    <row r="52" spans="1:9">
      <c r="A52" s="188">
        <v>46</v>
      </c>
      <c r="B52" s="189" t="s">
        <v>302</v>
      </c>
      <c r="C52" s="190">
        <v>18</v>
      </c>
      <c r="D52" s="190">
        <v>18</v>
      </c>
      <c r="E52" s="190">
        <v>216</v>
      </c>
      <c r="F52" s="190">
        <f t="shared" si="2"/>
        <v>12</v>
      </c>
      <c r="G52" s="1256"/>
      <c r="H52" s="1256"/>
      <c r="I52" s="1134"/>
    </row>
    <row r="53" spans="1:9">
      <c r="A53" s="192">
        <v>47</v>
      </c>
      <c r="B53" s="193" t="s">
        <v>300</v>
      </c>
      <c r="C53" s="194">
        <v>24</v>
      </c>
      <c r="D53" s="194">
        <v>24</v>
      </c>
      <c r="E53" s="194">
        <v>576</v>
      </c>
      <c r="F53" s="194">
        <f t="shared" si="2"/>
        <v>24</v>
      </c>
      <c r="G53" s="1253" t="s">
        <v>295</v>
      </c>
      <c r="H53" s="1253" t="s">
        <v>383</v>
      </c>
      <c r="I53" s="1132" t="s">
        <v>220</v>
      </c>
    </row>
    <row r="54" spans="1:9">
      <c r="A54" s="192">
        <v>48</v>
      </c>
      <c r="B54" s="195" t="s">
        <v>301</v>
      </c>
      <c r="C54" s="194">
        <v>24</v>
      </c>
      <c r="D54" s="194">
        <v>24</v>
      </c>
      <c r="E54" s="194">
        <v>576</v>
      </c>
      <c r="F54" s="194">
        <f t="shared" si="2"/>
        <v>24</v>
      </c>
      <c r="G54" s="1253"/>
      <c r="H54" s="1253"/>
      <c r="I54" s="1132"/>
    </row>
    <row r="55" spans="1:9">
      <c r="A55" s="187">
        <v>49</v>
      </c>
      <c r="B55" s="184" t="s">
        <v>305</v>
      </c>
      <c r="C55" s="185">
        <v>12</v>
      </c>
      <c r="D55" s="185">
        <v>1</v>
      </c>
      <c r="E55" s="185">
        <v>72</v>
      </c>
      <c r="F55" s="185">
        <f t="shared" si="2"/>
        <v>6</v>
      </c>
      <c r="G55" s="179" t="s">
        <v>296</v>
      </c>
      <c r="H55" s="277" t="s">
        <v>388</v>
      </c>
      <c r="I55" s="179" t="s">
        <v>220</v>
      </c>
    </row>
  </sheetData>
  <mergeCells count="37">
    <mergeCell ref="A1:I1"/>
    <mergeCell ref="H49:H52"/>
    <mergeCell ref="I49:I52"/>
    <mergeCell ref="A2:A3"/>
    <mergeCell ref="A46:A48"/>
    <mergeCell ref="B46:B48"/>
    <mergeCell ref="C46:C48"/>
    <mergeCell ref="D46:D48"/>
    <mergeCell ref="E46:E48"/>
    <mergeCell ref="F46:F48"/>
    <mergeCell ref="G4:G9"/>
    <mergeCell ref="H4:H5"/>
    <mergeCell ref="I4:I16"/>
    <mergeCell ref="G11:G17"/>
    <mergeCell ref="A21:A22"/>
    <mergeCell ref="B21:B22"/>
    <mergeCell ref="G53:G54"/>
    <mergeCell ref="H53:H54"/>
    <mergeCell ref="I53:I54"/>
    <mergeCell ref="G49:G52"/>
    <mergeCell ref="I18:I24"/>
    <mergeCell ref="H31:H35"/>
    <mergeCell ref="I25:I35"/>
    <mergeCell ref="G37:G43"/>
    <mergeCell ref="H38:H43"/>
    <mergeCell ref="I37:I43"/>
    <mergeCell ref="G18:G20"/>
    <mergeCell ref="G25:G35"/>
    <mergeCell ref="H25:H29"/>
    <mergeCell ref="G2:G3"/>
    <mergeCell ref="H2:H3"/>
    <mergeCell ref="I2:I3"/>
    <mergeCell ref="B2:B3"/>
    <mergeCell ref="C2:C3"/>
    <mergeCell ref="D2:D3"/>
    <mergeCell ref="E2:E3"/>
    <mergeCell ref="F2:F3"/>
  </mergeCells>
  <pageMargins left="0.98" right="0" top="1.0900000000000001" bottom="0.21" header="0" footer="0.2"/>
  <pageSetup paperSize="9" scale="70" orientation="landscape" verticalDpi="0" r:id="rId1"/>
  <headerFooter>
    <oddHeader>&amp;L&amp;"Arial Black,Regular"PT.QUTY KARUNIA&amp;R18/07/2013</oddHeader>
  </headerFooter>
  <rowBreaks count="1" manualBreakCount="1">
    <brk id="36" min="1" max="8" man="1"/>
  </row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N31"/>
  <sheetViews>
    <sheetView view="pageBreakPreview" topLeftCell="A4" zoomScaleSheetLayoutView="100" workbookViewId="0">
      <selection activeCell="C7" sqref="C7"/>
    </sheetView>
  </sheetViews>
  <sheetFormatPr defaultRowHeight="15"/>
  <cols>
    <col min="1" max="1" width="33.7109375" customWidth="1"/>
    <col min="2" max="2" width="8.7109375" customWidth="1"/>
    <col min="3" max="3" width="11.28515625" customWidth="1"/>
    <col min="4" max="4" width="14.42578125" customWidth="1"/>
    <col min="5" max="5" width="11" customWidth="1"/>
    <col min="6" max="6" width="22" customWidth="1"/>
    <col min="7" max="7" width="20" customWidth="1"/>
    <col min="8" max="8" width="36.28515625" bestFit="1" customWidth="1"/>
    <col min="9" max="9" width="18.7109375" customWidth="1"/>
  </cols>
  <sheetData>
    <row r="1" spans="1:8" ht="26.25">
      <c r="A1" s="1182" t="s">
        <v>325</v>
      </c>
      <c r="B1" s="1182"/>
      <c r="C1" s="1182"/>
      <c r="D1" s="1182"/>
      <c r="E1" s="1182"/>
      <c r="F1" s="1182"/>
      <c r="G1" s="1182"/>
      <c r="H1" s="1182"/>
    </row>
    <row r="2" spans="1:8" ht="16.5" thickBot="1">
      <c r="A2" s="91"/>
      <c r="B2" s="91"/>
      <c r="C2" s="91"/>
      <c r="D2" s="91"/>
      <c r="E2" s="91"/>
      <c r="F2" s="92"/>
      <c r="G2" s="92"/>
      <c r="H2" s="93"/>
    </row>
    <row r="3" spans="1:8" ht="24.95" customHeight="1">
      <c r="A3" s="1217" t="s">
        <v>255</v>
      </c>
      <c r="B3" s="1218" t="s">
        <v>256</v>
      </c>
      <c r="C3" s="1218" t="s">
        <v>257</v>
      </c>
      <c r="D3" s="1218" t="s">
        <v>258</v>
      </c>
      <c r="E3" s="1218" t="s">
        <v>313</v>
      </c>
      <c r="F3" s="1218" t="s">
        <v>259</v>
      </c>
      <c r="G3" s="1218" t="s">
        <v>260</v>
      </c>
      <c r="H3" s="1219" t="s">
        <v>273</v>
      </c>
    </row>
    <row r="4" spans="1:8" ht="31.5" customHeight="1" thickBot="1">
      <c r="A4" s="1301"/>
      <c r="B4" s="1236"/>
      <c r="C4" s="1236"/>
      <c r="D4" s="1236"/>
      <c r="E4" s="1236"/>
      <c r="F4" s="1236"/>
      <c r="G4" s="1302"/>
      <c r="H4" s="1237"/>
    </row>
    <row r="5" spans="1:8" ht="30" customHeight="1" thickTop="1">
      <c r="A5" s="112" t="s">
        <v>317</v>
      </c>
      <c r="B5" s="99">
        <v>30</v>
      </c>
      <c r="C5" s="99">
        <v>30</v>
      </c>
      <c r="D5" s="99">
        <f>C5*E5</f>
        <v>480</v>
      </c>
      <c r="E5" s="99">
        <v>16</v>
      </c>
      <c r="F5" s="1296" t="s">
        <v>327</v>
      </c>
      <c r="G5" s="1299" t="s">
        <v>328</v>
      </c>
      <c r="H5" s="1292" t="s">
        <v>220</v>
      </c>
    </row>
    <row r="6" spans="1:8" ht="30" customHeight="1">
      <c r="A6" s="112" t="s">
        <v>318</v>
      </c>
      <c r="B6" s="99">
        <v>24</v>
      </c>
      <c r="C6" s="99">
        <v>24</v>
      </c>
      <c r="D6" s="99">
        <f>C6*E6</f>
        <v>384</v>
      </c>
      <c r="E6" s="99">
        <v>16</v>
      </c>
      <c r="F6" s="1297"/>
      <c r="G6" s="1299"/>
      <c r="H6" s="1293"/>
    </row>
    <row r="7" spans="1:8" ht="30" customHeight="1">
      <c r="A7" s="112" t="s">
        <v>331</v>
      </c>
      <c r="B7" s="99">
        <v>12</v>
      </c>
      <c r="C7" s="99">
        <v>1</v>
      </c>
      <c r="D7" s="99">
        <f>B7*E7</f>
        <v>192</v>
      </c>
      <c r="E7" s="99">
        <v>16</v>
      </c>
      <c r="F7" s="1297"/>
      <c r="G7" s="145" t="s">
        <v>335</v>
      </c>
      <c r="H7" s="1293"/>
    </row>
    <row r="8" spans="1:8" ht="30" customHeight="1">
      <c r="A8" s="112" t="s">
        <v>332</v>
      </c>
      <c r="B8" s="99">
        <v>16</v>
      </c>
      <c r="C8" s="99">
        <v>1</v>
      </c>
      <c r="D8" s="99">
        <f>B8*E8</f>
        <v>256</v>
      </c>
      <c r="E8" s="99">
        <v>16</v>
      </c>
      <c r="F8" s="1297"/>
      <c r="G8" s="145" t="s">
        <v>335</v>
      </c>
      <c r="H8" s="1293"/>
    </row>
    <row r="9" spans="1:8" ht="30" customHeight="1">
      <c r="A9" s="112" t="s">
        <v>333</v>
      </c>
      <c r="B9" s="99">
        <v>12</v>
      </c>
      <c r="C9" s="99">
        <v>1</v>
      </c>
      <c r="D9" s="99">
        <f>B9*E9</f>
        <v>192</v>
      </c>
      <c r="E9" s="99">
        <v>16</v>
      </c>
      <c r="F9" s="1297"/>
      <c r="G9" s="145" t="s">
        <v>335</v>
      </c>
      <c r="H9" s="1293"/>
    </row>
    <row r="10" spans="1:8" ht="30" customHeight="1">
      <c r="A10" s="112" t="s">
        <v>334</v>
      </c>
      <c r="B10" s="99">
        <v>16</v>
      </c>
      <c r="C10" s="99">
        <v>1</v>
      </c>
      <c r="D10" s="99">
        <f>B10*E10</f>
        <v>256</v>
      </c>
      <c r="E10" s="99">
        <v>16</v>
      </c>
      <c r="F10" s="1297"/>
      <c r="G10" s="145" t="s">
        <v>335</v>
      </c>
      <c r="H10" s="1293"/>
    </row>
    <row r="11" spans="1:8" ht="30" customHeight="1">
      <c r="A11" s="111" t="s">
        <v>336</v>
      </c>
      <c r="B11" s="100">
        <v>8</v>
      </c>
      <c r="C11" s="100">
        <v>8</v>
      </c>
      <c r="D11" s="100">
        <v>128</v>
      </c>
      <c r="E11" s="100">
        <f>D11/B11</f>
        <v>16</v>
      </c>
      <c r="F11" s="1298"/>
      <c r="G11" s="157" t="s">
        <v>337</v>
      </c>
      <c r="H11" s="1293"/>
    </row>
    <row r="12" spans="1:8" ht="30" customHeight="1">
      <c r="A12" s="112" t="s">
        <v>342</v>
      </c>
      <c r="B12" s="99">
        <v>7</v>
      </c>
      <c r="C12" s="99">
        <v>7</v>
      </c>
      <c r="D12" s="99">
        <v>126</v>
      </c>
      <c r="E12" s="99">
        <v>18</v>
      </c>
      <c r="F12" s="151" t="s">
        <v>343</v>
      </c>
      <c r="G12" s="152" t="s">
        <v>344</v>
      </c>
      <c r="H12" s="1293"/>
    </row>
    <row r="13" spans="1:8" ht="30" customHeight="1">
      <c r="A13" s="146" t="s">
        <v>345</v>
      </c>
      <c r="B13" s="147">
        <v>42</v>
      </c>
      <c r="C13" s="147">
        <v>1</v>
      </c>
      <c r="D13" s="147">
        <f>B13*E13</f>
        <v>336</v>
      </c>
      <c r="E13" s="147">
        <v>8</v>
      </c>
      <c r="F13" s="1294" t="s">
        <v>326</v>
      </c>
      <c r="G13" s="148" t="s">
        <v>323</v>
      </c>
      <c r="H13" s="1293"/>
    </row>
    <row r="14" spans="1:8" ht="30" customHeight="1">
      <c r="A14" s="146" t="s">
        <v>322</v>
      </c>
      <c r="B14" s="147">
        <v>42</v>
      </c>
      <c r="C14" s="147">
        <v>1</v>
      </c>
      <c r="D14" s="147">
        <f>B14*E14</f>
        <v>336</v>
      </c>
      <c r="E14" s="147">
        <v>8</v>
      </c>
      <c r="F14" s="1295"/>
      <c r="G14" s="148" t="s">
        <v>329</v>
      </c>
      <c r="H14" s="1293"/>
    </row>
    <row r="15" spans="1:8" ht="30" customHeight="1">
      <c r="A15" s="146" t="s">
        <v>321</v>
      </c>
      <c r="B15" s="147">
        <v>24</v>
      </c>
      <c r="C15" s="147">
        <v>1</v>
      </c>
      <c r="D15" s="147">
        <f>B15*E15</f>
        <v>192</v>
      </c>
      <c r="E15" s="147">
        <v>8</v>
      </c>
      <c r="F15" s="1295"/>
      <c r="G15" s="148" t="s">
        <v>324</v>
      </c>
      <c r="H15" s="1293"/>
    </row>
    <row r="16" spans="1:8" s="149" customFormat="1" ht="30" customHeight="1">
      <c r="A16" s="146" t="s">
        <v>319</v>
      </c>
      <c r="B16" s="147">
        <v>10</v>
      </c>
      <c r="C16" s="147">
        <v>10</v>
      </c>
      <c r="D16" s="147">
        <f>C16*E16</f>
        <v>80</v>
      </c>
      <c r="E16" s="147">
        <v>8</v>
      </c>
      <c r="F16" s="1295"/>
      <c r="G16" s="148" t="s">
        <v>277</v>
      </c>
      <c r="H16" s="1293"/>
    </row>
    <row r="17" spans="1:14" ht="30" customHeight="1">
      <c r="A17" s="146" t="s">
        <v>316</v>
      </c>
      <c r="B17" s="147">
        <v>30</v>
      </c>
      <c r="C17" s="147">
        <v>30</v>
      </c>
      <c r="D17" s="147">
        <f>C17*E17</f>
        <v>240</v>
      </c>
      <c r="E17" s="147">
        <v>8</v>
      </c>
      <c r="F17" s="1295"/>
      <c r="G17" s="148" t="s">
        <v>330</v>
      </c>
      <c r="H17" s="1293"/>
    </row>
    <row r="18" spans="1:14" ht="30" customHeight="1">
      <c r="A18" s="153" t="s">
        <v>338</v>
      </c>
      <c r="B18" s="154">
        <v>10</v>
      </c>
      <c r="C18" s="154">
        <v>10</v>
      </c>
      <c r="D18" s="154">
        <f>C18*E18</f>
        <v>80</v>
      </c>
      <c r="E18" s="154">
        <v>8</v>
      </c>
      <c r="F18" s="1295"/>
      <c r="G18" s="150" t="s">
        <v>330</v>
      </c>
      <c r="H18" s="1293"/>
    </row>
    <row r="19" spans="1:14" s="149" customFormat="1" ht="30" customHeight="1">
      <c r="A19" s="155" t="s">
        <v>339</v>
      </c>
      <c r="B19" s="147">
        <v>8</v>
      </c>
      <c r="C19" s="147">
        <v>8</v>
      </c>
      <c r="D19" s="147">
        <v>32</v>
      </c>
      <c r="E19" s="147">
        <v>4</v>
      </c>
      <c r="F19" s="1294" t="s">
        <v>341</v>
      </c>
      <c r="G19" s="148" t="s">
        <v>340</v>
      </c>
      <c r="H19" s="156" t="s">
        <v>227</v>
      </c>
    </row>
    <row r="20" spans="1:14" s="149" customFormat="1" ht="30" customHeight="1">
      <c r="A20" s="155" t="s">
        <v>360</v>
      </c>
      <c r="B20" s="147">
        <v>12</v>
      </c>
      <c r="C20" s="147">
        <v>12</v>
      </c>
      <c r="D20" s="147">
        <v>48</v>
      </c>
      <c r="E20" s="147">
        <f>D20/C20</f>
        <v>4</v>
      </c>
      <c r="F20" s="1295"/>
      <c r="G20" s="148" t="s">
        <v>268</v>
      </c>
      <c r="H20" s="156" t="s">
        <v>227</v>
      </c>
    </row>
    <row r="21" spans="1:14" s="149" customFormat="1" ht="30" customHeight="1">
      <c r="A21" s="155" t="s">
        <v>361</v>
      </c>
      <c r="B21" s="147">
        <v>18</v>
      </c>
      <c r="C21" s="147">
        <v>18</v>
      </c>
      <c r="D21" s="147">
        <v>72</v>
      </c>
      <c r="E21" s="147">
        <v>4</v>
      </c>
      <c r="F21" s="1300"/>
      <c r="G21" s="148" t="s">
        <v>268</v>
      </c>
      <c r="H21" s="156" t="s">
        <v>227</v>
      </c>
    </row>
    <row r="23" spans="1:14">
      <c r="C23" s="120"/>
      <c r="D23" s="120"/>
      <c r="E23" s="120"/>
      <c r="F23" s="120"/>
    </row>
    <row r="24" spans="1:14">
      <c r="C24" s="120"/>
      <c r="D24" s="1291"/>
      <c r="E24" s="120"/>
      <c r="F24" s="120"/>
      <c r="I24" s="120"/>
      <c r="J24" s="120"/>
      <c r="K24" s="120"/>
      <c r="L24" s="120"/>
      <c r="M24" s="120"/>
      <c r="N24" s="120"/>
    </row>
    <row r="25" spans="1:14">
      <c r="C25" s="120"/>
      <c r="D25" s="1291"/>
      <c r="E25" s="120"/>
      <c r="F25" s="120"/>
      <c r="I25" s="120"/>
      <c r="J25" s="120"/>
      <c r="K25" s="120"/>
      <c r="L25" s="120"/>
      <c r="M25" s="120"/>
      <c r="N25" s="120"/>
    </row>
    <row r="26" spans="1:14">
      <c r="C26" s="120"/>
      <c r="D26" s="1291"/>
      <c r="E26" s="120"/>
      <c r="F26" s="120"/>
      <c r="I26" s="120"/>
      <c r="J26" s="120"/>
      <c r="K26" s="120"/>
      <c r="L26" s="120"/>
      <c r="M26" s="120"/>
      <c r="N26" s="120"/>
    </row>
    <row r="27" spans="1:14">
      <c r="C27" s="120"/>
      <c r="D27" s="1291"/>
      <c r="E27" s="120"/>
      <c r="F27" s="120"/>
      <c r="I27" s="120"/>
      <c r="J27" s="120"/>
      <c r="K27" s="120"/>
      <c r="L27" s="120"/>
      <c r="M27" s="120"/>
      <c r="N27" s="120"/>
    </row>
    <row r="28" spans="1:14">
      <c r="C28" s="120"/>
      <c r="D28" s="120"/>
      <c r="E28" s="120"/>
      <c r="F28" s="120"/>
      <c r="I28" s="120"/>
      <c r="J28" s="120"/>
      <c r="K28" s="120"/>
      <c r="L28" s="120"/>
      <c r="M28" s="120"/>
      <c r="N28" s="120"/>
    </row>
    <row r="29" spans="1:14">
      <c r="C29" s="120"/>
      <c r="D29" s="120"/>
      <c r="E29" s="120"/>
      <c r="F29" s="120"/>
      <c r="I29" s="120"/>
      <c r="J29" s="120"/>
      <c r="K29" s="120"/>
      <c r="L29" s="120"/>
      <c r="M29" s="120"/>
      <c r="N29" s="120"/>
    </row>
    <row r="30" spans="1:14">
      <c r="C30" s="120"/>
      <c r="D30" s="120"/>
      <c r="E30" s="120"/>
      <c r="F30" s="120"/>
    </row>
    <row r="31" spans="1:14">
      <c r="C31" s="120"/>
      <c r="D31" s="120"/>
      <c r="E31" s="120"/>
      <c r="F31" s="120"/>
    </row>
  </sheetData>
  <mergeCells count="15">
    <mergeCell ref="A1:H1"/>
    <mergeCell ref="A3:A4"/>
    <mergeCell ref="B3:B4"/>
    <mergeCell ref="C3:C4"/>
    <mergeCell ref="D3:D4"/>
    <mergeCell ref="E3:E4"/>
    <mergeCell ref="F3:F4"/>
    <mergeCell ref="G3:G4"/>
    <mergeCell ref="H3:H4"/>
    <mergeCell ref="D24:D27"/>
    <mergeCell ref="H5:H18"/>
    <mergeCell ref="F13:F18"/>
    <mergeCell ref="F5:F11"/>
    <mergeCell ref="G5:G6"/>
    <mergeCell ref="F19:F21"/>
  </mergeCells>
  <pageMargins left="0.98" right="0" top="0.98" bottom="0.5" header="0" footer="0"/>
  <pageSetup paperSize="9" scale="80" orientation="landscape" verticalDpi="0" r:id="rId1"/>
  <headerFooter>
    <oddHeader>&amp;L&amp;"Arial Black,Regular"PT.QUTY KARUNIA&amp;R18/07/2013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38"/>
  <sheetViews>
    <sheetView view="pageBreakPreview" topLeftCell="A25" zoomScaleSheetLayoutView="100" workbookViewId="0">
      <selection activeCell="D23" sqref="D23"/>
    </sheetView>
  </sheetViews>
  <sheetFormatPr defaultRowHeight="15"/>
  <cols>
    <col min="1" max="1" width="5.42578125" customWidth="1"/>
    <col min="2" max="2" width="27.140625" customWidth="1"/>
    <col min="3" max="3" width="27.7109375" style="76" customWidth="1"/>
    <col min="4" max="4" width="11.5703125" style="63" customWidth="1"/>
    <col min="5" max="5" width="15.28515625" style="86" customWidth="1"/>
    <col min="6" max="6" width="19.7109375" style="63" customWidth="1"/>
    <col min="7" max="7" width="21.5703125" style="63" customWidth="1"/>
  </cols>
  <sheetData>
    <row r="1" spans="1:11" ht="15.95" customHeight="1">
      <c r="A1" s="1006" t="s">
        <v>249</v>
      </c>
      <c r="B1" s="1006"/>
      <c r="C1" s="1006"/>
      <c r="D1" s="81"/>
      <c r="E1" s="62"/>
      <c r="F1" s="62"/>
      <c r="G1" s="62"/>
    </row>
    <row r="2" spans="1:11" ht="15.95" customHeight="1" thickBot="1">
      <c r="A2" s="1303" t="s">
        <v>250</v>
      </c>
      <c r="B2" s="1303"/>
      <c r="C2" s="1303"/>
      <c r="D2" s="82"/>
      <c r="E2" s="62"/>
      <c r="F2" s="62"/>
      <c r="G2" s="62"/>
    </row>
    <row r="3" spans="1:11" s="61" customFormat="1" ht="42.75" customHeight="1" thickBot="1">
      <c r="A3" s="64" t="s">
        <v>0</v>
      </c>
      <c r="B3" s="65" t="s">
        <v>254</v>
      </c>
      <c r="C3" s="65" t="s">
        <v>1</v>
      </c>
      <c r="D3" s="78" t="s">
        <v>242</v>
      </c>
      <c r="E3" s="66" t="s">
        <v>253</v>
      </c>
      <c r="F3" s="77" t="s">
        <v>252</v>
      </c>
      <c r="G3" s="67" t="s">
        <v>6</v>
      </c>
    </row>
    <row r="4" spans="1:11" ht="30" customHeight="1">
      <c r="A4" s="68">
        <v>1</v>
      </c>
      <c r="B4" s="1308" t="s">
        <v>247</v>
      </c>
      <c r="C4" s="68" t="s">
        <v>19</v>
      </c>
      <c r="D4" s="79">
        <v>36</v>
      </c>
      <c r="E4" s="88">
        <f>2088504+447084+404568</f>
        <v>2940156</v>
      </c>
      <c r="F4" s="357">
        <f>E4/D4</f>
        <v>81671</v>
      </c>
      <c r="G4" s="89"/>
    </row>
    <row r="5" spans="1:11" ht="30" customHeight="1">
      <c r="A5" s="69">
        <v>2</v>
      </c>
      <c r="B5" s="1308"/>
      <c r="C5" s="69" t="s">
        <v>27</v>
      </c>
      <c r="D5" s="80">
        <v>96</v>
      </c>
      <c r="E5" s="84">
        <f>2151360+183168+178560</f>
        <v>2513088</v>
      </c>
      <c r="F5" s="358">
        <f t="shared" ref="F5:F14" si="0">E5/D5</f>
        <v>26178</v>
      </c>
      <c r="G5" s="83"/>
    </row>
    <row r="6" spans="1:11" ht="30" customHeight="1">
      <c r="A6" s="69">
        <v>3</v>
      </c>
      <c r="B6" s="1308"/>
      <c r="C6" s="69" t="s">
        <v>31</v>
      </c>
      <c r="D6" s="80">
        <v>160</v>
      </c>
      <c r="E6" s="84">
        <f>4354560+200640+438720</f>
        <v>4993920</v>
      </c>
      <c r="F6" s="358">
        <f t="shared" si="0"/>
        <v>31212</v>
      </c>
      <c r="G6" s="83"/>
    </row>
    <row r="7" spans="1:11" ht="30" customHeight="1">
      <c r="A7" s="69">
        <v>4</v>
      </c>
      <c r="B7" s="1308"/>
      <c r="C7" s="69" t="s">
        <v>34</v>
      </c>
      <c r="D7" s="80">
        <v>36</v>
      </c>
      <c r="E7" s="84">
        <f>1667376+237744+307620</f>
        <v>2212740</v>
      </c>
      <c r="F7" s="358">
        <f t="shared" si="0"/>
        <v>61465</v>
      </c>
      <c r="G7" s="83"/>
    </row>
    <row r="8" spans="1:11" ht="30" customHeight="1">
      <c r="A8" s="69">
        <v>5</v>
      </c>
      <c r="B8" s="1308"/>
      <c r="C8" s="69" t="s">
        <v>37</v>
      </c>
      <c r="D8" s="80">
        <v>48</v>
      </c>
      <c r="E8" s="84">
        <f>606672+84816+161040</f>
        <v>852528</v>
      </c>
      <c r="F8" s="358">
        <f t="shared" si="0"/>
        <v>17761</v>
      </c>
      <c r="G8" s="83"/>
    </row>
    <row r="9" spans="1:11" ht="30" customHeight="1">
      <c r="A9" s="69">
        <v>6</v>
      </c>
      <c r="B9" s="1308"/>
      <c r="C9" s="69" t="s">
        <v>46</v>
      </c>
      <c r="D9" s="69">
        <v>20</v>
      </c>
      <c r="E9" s="84">
        <f>420912+262008+103824</f>
        <v>786744</v>
      </c>
      <c r="F9" s="358">
        <f t="shared" si="0"/>
        <v>39337.199999999997</v>
      </c>
      <c r="G9" s="85"/>
      <c r="K9" s="86"/>
    </row>
    <row r="10" spans="1:11" ht="30" customHeight="1">
      <c r="A10" s="69">
        <v>7</v>
      </c>
      <c r="B10" s="1308"/>
      <c r="C10" s="69" t="s">
        <v>49</v>
      </c>
      <c r="D10" s="69">
        <v>12</v>
      </c>
      <c r="E10" s="84">
        <f>157176+25236+34932</f>
        <v>217344</v>
      </c>
      <c r="F10" s="358">
        <f t="shared" si="0"/>
        <v>18112</v>
      </c>
      <c r="G10" s="83"/>
    </row>
    <row r="11" spans="1:11" ht="30" customHeight="1">
      <c r="A11" s="69">
        <v>8</v>
      </c>
      <c r="B11" s="1308"/>
      <c r="C11" s="69" t="s">
        <v>54</v>
      </c>
      <c r="D11" s="80">
        <v>12</v>
      </c>
      <c r="E11" s="84">
        <f>237800+36384+21852</f>
        <v>296036</v>
      </c>
      <c r="F11" s="356" t="s">
        <v>251</v>
      </c>
      <c r="G11" s="87"/>
    </row>
    <row r="12" spans="1:11" ht="30" customHeight="1">
      <c r="A12" s="69">
        <v>9</v>
      </c>
      <c r="B12" s="1308"/>
      <c r="C12" s="69" t="s">
        <v>248</v>
      </c>
      <c r="D12" s="80">
        <v>10</v>
      </c>
      <c r="E12" s="84">
        <v>16944</v>
      </c>
      <c r="F12" s="358">
        <v>1695</v>
      </c>
      <c r="G12" s="83"/>
    </row>
    <row r="13" spans="1:11" ht="30" customHeight="1">
      <c r="A13" s="69">
        <v>10</v>
      </c>
      <c r="B13" s="1308"/>
      <c r="C13" s="69" t="s">
        <v>58</v>
      </c>
      <c r="D13" s="80">
        <v>6</v>
      </c>
      <c r="E13" s="84">
        <f>71064+15480+3924+12852</f>
        <v>103320</v>
      </c>
      <c r="F13" s="358">
        <f t="shared" si="0"/>
        <v>17220</v>
      </c>
      <c r="G13" s="83"/>
    </row>
    <row r="14" spans="1:11" ht="30" customHeight="1">
      <c r="A14" s="69">
        <v>11</v>
      </c>
      <c r="B14" s="1309"/>
      <c r="C14" s="69" t="s">
        <v>63</v>
      </c>
      <c r="D14" s="80">
        <v>6</v>
      </c>
      <c r="E14" s="84">
        <f>131004+32220+5220+21780</f>
        <v>190224</v>
      </c>
      <c r="F14" s="358">
        <f t="shared" si="0"/>
        <v>31704</v>
      </c>
      <c r="G14" s="83"/>
    </row>
    <row r="15" spans="1:11" ht="30" customHeight="1">
      <c r="A15" s="69">
        <v>1</v>
      </c>
      <c r="B15" s="1304" t="s">
        <v>240</v>
      </c>
      <c r="C15" s="69" t="s">
        <v>81</v>
      </c>
      <c r="D15" s="80">
        <v>294</v>
      </c>
      <c r="E15" s="71">
        <f>12841920+469224+1404144</f>
        <v>14715288</v>
      </c>
      <c r="F15" s="354">
        <f>E15/D15</f>
        <v>50052</v>
      </c>
      <c r="G15" s="71"/>
    </row>
    <row r="16" spans="1:11" ht="30" customHeight="1">
      <c r="A16" s="69">
        <v>2</v>
      </c>
      <c r="B16" s="1310"/>
      <c r="C16" s="69" t="s">
        <v>82</v>
      </c>
      <c r="D16" s="80">
        <v>96</v>
      </c>
      <c r="E16" s="71">
        <f>1305792+265536+169200</f>
        <v>1740528</v>
      </c>
      <c r="F16" s="355">
        <f t="shared" ref="F16:F22" si="1">E16/D16</f>
        <v>18130.5</v>
      </c>
      <c r="G16" s="71"/>
    </row>
    <row r="17" spans="1:7" ht="30" customHeight="1">
      <c r="A17" s="69">
        <v>3</v>
      </c>
      <c r="B17" s="1310"/>
      <c r="C17" s="69" t="s">
        <v>80</v>
      </c>
      <c r="D17" s="80">
        <v>112</v>
      </c>
      <c r="E17" s="71">
        <f>4902816+800592+301920</f>
        <v>6005328</v>
      </c>
      <c r="F17" s="355">
        <f t="shared" si="1"/>
        <v>53619</v>
      </c>
      <c r="G17" s="71"/>
    </row>
    <row r="18" spans="1:7" ht="30" customHeight="1">
      <c r="A18" s="69">
        <v>4</v>
      </c>
      <c r="B18" s="1310"/>
      <c r="C18" s="69" t="s">
        <v>83</v>
      </c>
      <c r="D18" s="80">
        <v>16</v>
      </c>
      <c r="E18" s="71">
        <f>338736+179280+105984</f>
        <v>624000</v>
      </c>
      <c r="F18" s="355">
        <f t="shared" si="1"/>
        <v>39000</v>
      </c>
      <c r="G18" s="71"/>
    </row>
    <row r="19" spans="1:7" ht="30" customHeight="1">
      <c r="A19" s="69">
        <v>5</v>
      </c>
      <c r="B19" s="1310"/>
      <c r="C19" s="69" t="s">
        <v>84</v>
      </c>
      <c r="D19" s="80">
        <v>30</v>
      </c>
      <c r="E19" s="71">
        <f>446616+46008+99720</f>
        <v>592344</v>
      </c>
      <c r="F19" s="355">
        <f t="shared" si="1"/>
        <v>19744.8</v>
      </c>
      <c r="G19" s="71"/>
    </row>
    <row r="20" spans="1:7" ht="30" customHeight="1">
      <c r="A20" s="69">
        <v>6</v>
      </c>
      <c r="B20" s="1310"/>
      <c r="C20" s="69" t="s">
        <v>85</v>
      </c>
      <c r="D20" s="80">
        <v>20</v>
      </c>
      <c r="E20" s="71">
        <f>323688+36408+102264</f>
        <v>462360</v>
      </c>
      <c r="F20" s="355">
        <f t="shared" si="1"/>
        <v>23118</v>
      </c>
      <c r="G20" s="71"/>
    </row>
    <row r="21" spans="1:7" ht="30" customHeight="1">
      <c r="A21" s="69">
        <v>7</v>
      </c>
      <c r="B21" s="1310"/>
      <c r="C21" s="69" t="s">
        <v>206</v>
      </c>
      <c r="D21" s="80">
        <v>12</v>
      </c>
      <c r="E21" s="71">
        <f>39168+3888+4032</f>
        <v>47088</v>
      </c>
      <c r="F21" s="355">
        <f t="shared" si="1"/>
        <v>3924</v>
      </c>
      <c r="G21" s="71"/>
    </row>
    <row r="22" spans="1:7" ht="30" customHeight="1">
      <c r="A22" s="69">
        <v>8</v>
      </c>
      <c r="B22" s="1305"/>
      <c r="C22" s="69" t="s">
        <v>86</v>
      </c>
      <c r="D22" s="80">
        <v>120</v>
      </c>
      <c r="E22" s="71">
        <f>537600+86400+69120</f>
        <v>693120</v>
      </c>
      <c r="F22" s="355">
        <f t="shared" si="1"/>
        <v>5776</v>
      </c>
      <c r="G22" s="71"/>
    </row>
    <row r="23" spans="1:7" ht="30" customHeight="1">
      <c r="A23" s="69">
        <v>1</v>
      </c>
      <c r="B23" s="73" t="s">
        <v>315</v>
      </c>
      <c r="C23" s="69" t="s">
        <v>41</v>
      </c>
      <c r="D23" s="69">
        <v>20</v>
      </c>
      <c r="E23" s="84">
        <f>22112+50664+60840</f>
        <v>133616</v>
      </c>
      <c r="F23" s="71">
        <f>E23/D23</f>
        <v>6680.8</v>
      </c>
      <c r="G23" s="71"/>
    </row>
    <row r="24" spans="1:7" ht="30" customHeight="1">
      <c r="A24" s="69">
        <v>2</v>
      </c>
      <c r="B24" s="74" t="s">
        <v>314</v>
      </c>
      <c r="C24" s="69" t="s">
        <v>226</v>
      </c>
      <c r="D24" s="69">
        <v>10</v>
      </c>
      <c r="E24" s="84">
        <f>66216+13944+20160+5544</f>
        <v>105864</v>
      </c>
      <c r="F24" s="71">
        <f t="shared" ref="F24:F38" si="2">E24/D24</f>
        <v>10586.4</v>
      </c>
      <c r="G24" s="71"/>
    </row>
    <row r="25" spans="1:7" ht="30" customHeight="1">
      <c r="A25" s="69">
        <v>3</v>
      </c>
      <c r="B25" s="74" t="s">
        <v>246</v>
      </c>
      <c r="C25" s="69" t="s">
        <v>87</v>
      </c>
      <c r="D25" s="69">
        <v>12</v>
      </c>
      <c r="E25" s="84">
        <f>53856+5184</f>
        <v>59040</v>
      </c>
      <c r="F25" s="71">
        <f t="shared" si="2"/>
        <v>4920</v>
      </c>
      <c r="G25" s="71"/>
    </row>
    <row r="26" spans="1:7" ht="30" customHeight="1">
      <c r="A26" s="1306">
        <v>4</v>
      </c>
      <c r="B26" s="1304" t="s">
        <v>237</v>
      </c>
      <c r="C26" s="69" t="s">
        <v>88</v>
      </c>
      <c r="D26" s="69">
        <v>72</v>
      </c>
      <c r="E26" s="84">
        <f>792192</f>
        <v>792192</v>
      </c>
      <c r="F26" s="71">
        <f t="shared" si="2"/>
        <v>11002.666666666666</v>
      </c>
      <c r="G26" s="71"/>
    </row>
    <row r="27" spans="1:7" ht="30" customHeight="1">
      <c r="A27" s="1307"/>
      <c r="B27" s="1305"/>
      <c r="C27" s="69" t="s">
        <v>89</v>
      </c>
      <c r="D27" s="69">
        <v>90</v>
      </c>
      <c r="E27" s="84">
        <v>963360</v>
      </c>
      <c r="F27" s="71">
        <f t="shared" si="2"/>
        <v>10704</v>
      </c>
      <c r="G27" s="71"/>
    </row>
    <row r="28" spans="1:7" ht="30" customHeight="1">
      <c r="A28" s="1306">
        <v>5</v>
      </c>
      <c r="B28" s="1304" t="s">
        <v>234</v>
      </c>
      <c r="C28" s="69" t="s">
        <v>71</v>
      </c>
      <c r="D28" s="69">
        <v>18</v>
      </c>
      <c r="E28" s="84">
        <f>556136+66864+201912</f>
        <v>824912</v>
      </c>
      <c r="F28" s="71">
        <f t="shared" si="2"/>
        <v>45828.444444444445</v>
      </c>
      <c r="G28" s="71"/>
    </row>
    <row r="29" spans="1:7" ht="30" customHeight="1">
      <c r="A29" s="1307"/>
      <c r="B29" s="1305"/>
      <c r="C29" s="69" t="s">
        <v>77</v>
      </c>
      <c r="D29" s="69">
        <v>24</v>
      </c>
      <c r="E29" s="84">
        <f>50224+1360632+37920+294760+132256</f>
        <v>1875792</v>
      </c>
      <c r="F29" s="71">
        <f t="shared" si="2"/>
        <v>78158</v>
      </c>
      <c r="G29" s="71"/>
    </row>
    <row r="30" spans="1:7" ht="30" customHeight="1">
      <c r="A30" s="69">
        <v>6</v>
      </c>
      <c r="B30" s="74" t="s">
        <v>232</v>
      </c>
      <c r="C30" s="69" t="s">
        <v>231</v>
      </c>
      <c r="D30" s="69">
        <v>10</v>
      </c>
      <c r="E30" s="84">
        <f>31200+2760+3360</f>
        <v>37320</v>
      </c>
      <c r="F30" s="71">
        <f t="shared" si="2"/>
        <v>3732</v>
      </c>
      <c r="G30" s="71"/>
    </row>
    <row r="31" spans="1:7" ht="30" customHeight="1">
      <c r="A31" s="69">
        <v>7</v>
      </c>
      <c r="B31" s="74" t="s">
        <v>233</v>
      </c>
      <c r="C31" s="69" t="s">
        <v>67</v>
      </c>
      <c r="D31" s="69">
        <v>12</v>
      </c>
      <c r="E31" s="84">
        <f>1145256+213248+222800</f>
        <v>1581304</v>
      </c>
      <c r="F31" s="71">
        <f t="shared" si="2"/>
        <v>131775.33333333334</v>
      </c>
      <c r="G31" s="71"/>
    </row>
    <row r="32" spans="1:7" ht="30" customHeight="1">
      <c r="A32" s="69">
        <v>8</v>
      </c>
      <c r="B32" s="74" t="s">
        <v>235</v>
      </c>
      <c r="C32" s="69" t="s">
        <v>205</v>
      </c>
      <c r="D32" s="69">
        <v>72</v>
      </c>
      <c r="E32" s="84">
        <f>357100+72000</f>
        <v>429100</v>
      </c>
      <c r="F32" s="71">
        <f t="shared" si="2"/>
        <v>5959.7222222222226</v>
      </c>
      <c r="G32" s="71"/>
    </row>
    <row r="33" spans="1:7" ht="30" customHeight="1">
      <c r="A33" s="69">
        <v>9</v>
      </c>
      <c r="B33" s="74" t="s">
        <v>243</v>
      </c>
      <c r="C33" s="69" t="s">
        <v>78</v>
      </c>
      <c r="D33" s="69">
        <v>60</v>
      </c>
      <c r="E33" s="84">
        <f>43200+43200+43200+48000</f>
        <v>177600</v>
      </c>
      <c r="F33" s="71">
        <f t="shared" si="2"/>
        <v>2960</v>
      </c>
      <c r="G33" s="71"/>
    </row>
    <row r="34" spans="1:7" ht="30" customHeight="1">
      <c r="A34" s="69">
        <v>10</v>
      </c>
      <c r="B34" s="74" t="s">
        <v>236</v>
      </c>
      <c r="C34" s="69" t="s">
        <v>228</v>
      </c>
      <c r="D34" s="69">
        <v>8</v>
      </c>
      <c r="E34" s="84">
        <f>273408+41280+41216</f>
        <v>355904</v>
      </c>
      <c r="F34" s="71">
        <f t="shared" si="2"/>
        <v>44488</v>
      </c>
      <c r="G34" s="71"/>
    </row>
    <row r="35" spans="1:7" ht="30" customHeight="1">
      <c r="A35" s="1306">
        <v>11</v>
      </c>
      <c r="B35" s="1304" t="s">
        <v>238</v>
      </c>
      <c r="C35" s="69" t="s">
        <v>244</v>
      </c>
      <c r="D35" s="69">
        <v>16</v>
      </c>
      <c r="E35" s="84">
        <v>96000</v>
      </c>
      <c r="F35" s="71">
        <f t="shared" si="2"/>
        <v>6000</v>
      </c>
      <c r="G35" s="71"/>
    </row>
    <row r="36" spans="1:7" ht="30" customHeight="1">
      <c r="A36" s="1307"/>
      <c r="B36" s="1305"/>
      <c r="C36" s="69" t="s">
        <v>245</v>
      </c>
      <c r="D36" s="69">
        <v>12</v>
      </c>
      <c r="E36" s="84">
        <v>66240</v>
      </c>
      <c r="F36" s="71">
        <f t="shared" si="2"/>
        <v>5520</v>
      </c>
      <c r="G36" s="71"/>
    </row>
    <row r="37" spans="1:7" ht="30" customHeight="1">
      <c r="A37" s="69">
        <v>12</v>
      </c>
      <c r="B37" s="74" t="s">
        <v>239</v>
      </c>
      <c r="C37" s="69" t="s">
        <v>224</v>
      </c>
      <c r="D37" s="69">
        <v>44</v>
      </c>
      <c r="E37" s="84">
        <f>696864+85440+178128</f>
        <v>960432</v>
      </c>
      <c r="F37" s="71">
        <f t="shared" si="2"/>
        <v>21828</v>
      </c>
      <c r="G37" s="71"/>
    </row>
    <row r="38" spans="1:7" ht="30" customHeight="1">
      <c r="A38" s="75">
        <v>13</v>
      </c>
      <c r="B38" s="353" t="s">
        <v>241</v>
      </c>
      <c r="C38" s="69" t="s">
        <v>91</v>
      </c>
      <c r="D38" s="69">
        <v>36</v>
      </c>
      <c r="E38" s="70">
        <f>1070784+144576+206784</f>
        <v>1422144</v>
      </c>
      <c r="F38" s="71">
        <f t="shared" si="2"/>
        <v>39504</v>
      </c>
      <c r="G38" s="72"/>
    </row>
  </sheetData>
  <mergeCells count="10">
    <mergeCell ref="A1:C1"/>
    <mergeCell ref="A2:C2"/>
    <mergeCell ref="B35:B36"/>
    <mergeCell ref="A35:A36"/>
    <mergeCell ref="B4:B14"/>
    <mergeCell ref="B15:B22"/>
    <mergeCell ref="B26:B27"/>
    <mergeCell ref="A26:A27"/>
    <mergeCell ref="B28:B29"/>
    <mergeCell ref="A28:A29"/>
  </mergeCells>
  <printOptions horizontalCentered="1"/>
  <pageMargins left="0.98" right="0.5" top="0.98" bottom="0.5" header="0" footer="0"/>
  <pageSetup paperSize="9" scale="72" orientation="landscape" r:id="rId1"/>
  <headerFooter>
    <oddHeader>&amp;L30/05/2013</oddHeader>
    <oddFooter>Page &amp;P of &amp;N</oddFooter>
  </headerFooter>
  <rowBreaks count="1" manualBreakCount="1">
    <brk id="22" max="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N47"/>
  <sheetViews>
    <sheetView view="pageBreakPreview" zoomScaleSheetLayoutView="100" workbookViewId="0">
      <selection activeCell="A32" sqref="A32"/>
    </sheetView>
  </sheetViews>
  <sheetFormatPr defaultRowHeight="15"/>
  <cols>
    <col min="1" max="1" width="40.42578125" bestFit="1" customWidth="1"/>
    <col min="2" max="2" width="8.7109375" customWidth="1"/>
    <col min="3" max="3" width="10.42578125" customWidth="1"/>
    <col min="4" max="4" width="14.42578125" customWidth="1"/>
    <col min="5" max="5" width="11" customWidth="1"/>
    <col min="6" max="6" width="22" customWidth="1"/>
    <col min="7" max="7" width="20" customWidth="1"/>
    <col min="8" max="8" width="36.140625" customWidth="1"/>
    <col min="9" max="9" width="18.7109375" customWidth="1"/>
  </cols>
  <sheetData>
    <row r="1" spans="1:8" ht="26.25">
      <c r="A1" s="1182" t="s">
        <v>272</v>
      </c>
      <c r="B1" s="1182"/>
      <c r="C1" s="1182"/>
      <c r="D1" s="1182"/>
      <c r="E1" s="1182"/>
      <c r="F1" s="1182"/>
      <c r="G1" s="1182"/>
      <c r="H1" s="1182"/>
    </row>
    <row r="2" spans="1:8" ht="16.5" thickBot="1">
      <c r="A2" s="91"/>
      <c r="B2" s="91"/>
      <c r="C2" s="91"/>
      <c r="D2" s="91"/>
      <c r="E2" s="91"/>
      <c r="F2" s="92"/>
      <c r="G2" s="92"/>
      <c r="H2" s="93"/>
    </row>
    <row r="3" spans="1:8" ht="24.95" customHeight="1">
      <c r="A3" s="1217" t="s">
        <v>255</v>
      </c>
      <c r="B3" s="1218" t="s">
        <v>256</v>
      </c>
      <c r="C3" s="1218" t="s">
        <v>257</v>
      </c>
      <c r="D3" s="1218" t="s">
        <v>258</v>
      </c>
      <c r="E3" s="1218" t="s">
        <v>313</v>
      </c>
      <c r="F3" s="1218" t="s">
        <v>259</v>
      </c>
      <c r="G3" s="1218" t="s">
        <v>260</v>
      </c>
      <c r="H3" s="1219" t="s">
        <v>273</v>
      </c>
    </row>
    <row r="4" spans="1:8" ht="31.5" customHeight="1" thickBot="1">
      <c r="A4" s="1301"/>
      <c r="B4" s="1236"/>
      <c r="C4" s="1236"/>
      <c r="D4" s="1236"/>
      <c r="E4" s="1236"/>
      <c r="F4" s="1236"/>
      <c r="G4" s="1236"/>
      <c r="H4" s="1237"/>
    </row>
    <row r="5" spans="1:8" ht="30" customHeight="1" thickTop="1">
      <c r="A5" s="109" t="s">
        <v>281</v>
      </c>
      <c r="B5" s="101">
        <v>72</v>
      </c>
      <c r="C5" s="101">
        <v>72</v>
      </c>
      <c r="D5" s="101">
        <v>1296</v>
      </c>
      <c r="E5" s="101">
        <f t="shared" ref="E5:E24" si="0">+D5/B5</f>
        <v>18</v>
      </c>
      <c r="F5" s="1336" t="s">
        <v>261</v>
      </c>
      <c r="G5" s="1336" t="s">
        <v>262</v>
      </c>
      <c r="H5" s="1342" t="s">
        <v>220</v>
      </c>
    </row>
    <row r="6" spans="1:8" ht="30" customHeight="1">
      <c r="A6" s="110" t="s">
        <v>282</v>
      </c>
      <c r="B6" s="102">
        <v>240</v>
      </c>
      <c r="C6" s="102">
        <v>240</v>
      </c>
      <c r="D6" s="102">
        <v>4320</v>
      </c>
      <c r="E6" s="102">
        <f t="shared" si="0"/>
        <v>18</v>
      </c>
      <c r="F6" s="1337"/>
      <c r="G6" s="1337"/>
      <c r="H6" s="1343"/>
    </row>
    <row r="7" spans="1:8" ht="30" customHeight="1">
      <c r="A7" s="110" t="s">
        <v>263</v>
      </c>
      <c r="B7" s="102">
        <v>240</v>
      </c>
      <c r="C7" s="102">
        <v>240</v>
      </c>
      <c r="D7" s="102">
        <v>4320</v>
      </c>
      <c r="E7" s="102">
        <f t="shared" si="0"/>
        <v>18</v>
      </c>
      <c r="F7" s="1338"/>
      <c r="G7" s="1338"/>
      <c r="H7" s="1344"/>
    </row>
    <row r="8" spans="1:8" ht="30" customHeight="1">
      <c r="A8" s="111" t="s">
        <v>283</v>
      </c>
      <c r="B8" s="103">
        <v>18</v>
      </c>
      <c r="C8" s="103">
        <v>18</v>
      </c>
      <c r="D8" s="103">
        <v>216</v>
      </c>
      <c r="E8" s="103">
        <f t="shared" si="0"/>
        <v>12</v>
      </c>
      <c r="F8" s="1341" t="s">
        <v>275</v>
      </c>
      <c r="G8" s="1339" t="s">
        <v>270</v>
      </c>
      <c r="H8" s="1323" t="s">
        <v>220</v>
      </c>
    </row>
    <row r="9" spans="1:8" ht="30" customHeight="1">
      <c r="A9" s="111" t="s">
        <v>284</v>
      </c>
      <c r="B9" s="100">
        <v>32</v>
      </c>
      <c r="C9" s="100">
        <v>32</v>
      </c>
      <c r="D9" s="100">
        <v>384</v>
      </c>
      <c r="E9" s="100">
        <f t="shared" si="0"/>
        <v>12</v>
      </c>
      <c r="F9" s="1339"/>
      <c r="G9" s="1339"/>
      <c r="H9" s="1323"/>
    </row>
    <row r="10" spans="1:8" ht="30" customHeight="1">
      <c r="A10" s="111" t="s">
        <v>285</v>
      </c>
      <c r="B10" s="100">
        <v>16</v>
      </c>
      <c r="C10" s="100">
        <v>16</v>
      </c>
      <c r="D10" s="100">
        <v>192</v>
      </c>
      <c r="E10" s="100">
        <f t="shared" si="0"/>
        <v>12</v>
      </c>
      <c r="F10" s="1340"/>
      <c r="G10" s="1340"/>
      <c r="H10" s="1324"/>
    </row>
    <row r="11" spans="1:8" ht="30" customHeight="1">
      <c r="A11" s="113" t="s">
        <v>286</v>
      </c>
      <c r="B11" s="99">
        <v>24</v>
      </c>
      <c r="C11" s="99">
        <v>24</v>
      </c>
      <c r="D11" s="99">
        <v>192</v>
      </c>
      <c r="E11" s="99">
        <f t="shared" si="0"/>
        <v>8</v>
      </c>
      <c r="F11" s="1325" t="s">
        <v>276</v>
      </c>
      <c r="G11" s="1325" t="s">
        <v>277</v>
      </c>
      <c r="H11" s="1328" t="s">
        <v>220</v>
      </c>
    </row>
    <row r="12" spans="1:8" ht="30" customHeight="1">
      <c r="A12" s="112" t="s">
        <v>287</v>
      </c>
      <c r="B12" s="99">
        <v>18</v>
      </c>
      <c r="C12" s="99">
        <v>18</v>
      </c>
      <c r="D12" s="99">
        <v>144</v>
      </c>
      <c r="E12" s="99">
        <f t="shared" si="0"/>
        <v>8</v>
      </c>
      <c r="F12" s="1326"/>
      <c r="G12" s="1326"/>
      <c r="H12" s="1329"/>
    </row>
    <row r="13" spans="1:8" ht="30" customHeight="1">
      <c r="A13" s="112" t="s">
        <v>316</v>
      </c>
      <c r="B13" s="99">
        <v>25</v>
      </c>
      <c r="C13" s="99">
        <v>25</v>
      </c>
      <c r="D13" s="99">
        <f>C13*E13</f>
        <v>200</v>
      </c>
      <c r="E13" s="99">
        <v>8</v>
      </c>
      <c r="F13" s="1326"/>
      <c r="G13" s="1326"/>
      <c r="H13" s="1329"/>
    </row>
    <row r="14" spans="1:8" ht="30" customHeight="1">
      <c r="A14" s="112" t="s">
        <v>317</v>
      </c>
      <c r="B14" s="99">
        <v>60</v>
      </c>
      <c r="C14" s="99">
        <v>60</v>
      </c>
      <c r="D14" s="99">
        <f>C14*E14</f>
        <v>480</v>
      </c>
      <c r="E14" s="99">
        <v>8</v>
      </c>
      <c r="F14" s="1326"/>
      <c r="G14" s="1326"/>
      <c r="H14" s="1329"/>
    </row>
    <row r="15" spans="1:8" ht="30" customHeight="1" thickBot="1">
      <c r="A15" s="137" t="s">
        <v>319</v>
      </c>
      <c r="B15" s="138">
        <v>16</v>
      </c>
      <c r="C15" s="138">
        <v>16</v>
      </c>
      <c r="D15" s="138">
        <f>C15*E15</f>
        <v>64</v>
      </c>
      <c r="E15" s="138">
        <v>4</v>
      </c>
      <c r="F15" s="1326"/>
      <c r="G15" s="1327"/>
      <c r="H15" s="1329"/>
    </row>
    <row r="16" spans="1:8" ht="30" customHeight="1">
      <c r="A16" s="112" t="s">
        <v>320</v>
      </c>
      <c r="B16" s="99">
        <v>45</v>
      </c>
      <c r="C16" s="99">
        <v>1</v>
      </c>
      <c r="D16" s="99">
        <f>B16*E16</f>
        <v>360</v>
      </c>
      <c r="E16" s="99">
        <v>8</v>
      </c>
      <c r="F16" s="1326"/>
      <c r="G16" s="141" t="s">
        <v>323</v>
      </c>
      <c r="H16" s="1329"/>
    </row>
    <row r="17" spans="1:8" ht="30" customHeight="1">
      <c r="A17" s="112" t="s">
        <v>322</v>
      </c>
      <c r="B17" s="99">
        <v>45</v>
      </c>
      <c r="C17" s="99">
        <v>1</v>
      </c>
      <c r="D17" s="99">
        <f>B17*E17</f>
        <v>360</v>
      </c>
      <c r="E17" s="99">
        <v>8</v>
      </c>
      <c r="F17" s="1326"/>
      <c r="G17" s="141" t="s">
        <v>323</v>
      </c>
      <c r="H17" s="1329"/>
    </row>
    <row r="18" spans="1:8" ht="30" customHeight="1">
      <c r="A18" s="112" t="s">
        <v>321</v>
      </c>
      <c r="B18" s="99">
        <v>30</v>
      </c>
      <c r="C18" s="99">
        <v>1</v>
      </c>
      <c r="D18" s="99">
        <f>B18*E18</f>
        <v>240</v>
      </c>
      <c r="E18" s="99">
        <v>8</v>
      </c>
      <c r="F18" s="1327"/>
      <c r="G18" s="141" t="s">
        <v>324</v>
      </c>
      <c r="H18" s="1330"/>
    </row>
    <row r="19" spans="1:8" ht="30" customHeight="1">
      <c r="A19" s="114" t="s">
        <v>288</v>
      </c>
      <c r="B19" s="104">
        <v>15</v>
      </c>
      <c r="C19" s="104">
        <v>15</v>
      </c>
      <c r="D19" s="104">
        <v>30</v>
      </c>
      <c r="E19" s="104">
        <f t="shared" si="0"/>
        <v>2</v>
      </c>
      <c r="F19" s="117" t="s">
        <v>278</v>
      </c>
      <c r="G19" s="117" t="s">
        <v>279</v>
      </c>
      <c r="H19" s="118" t="s">
        <v>280</v>
      </c>
    </row>
    <row r="20" spans="1:8" ht="30" customHeight="1">
      <c r="A20" s="115" t="s">
        <v>294</v>
      </c>
      <c r="B20" s="106">
        <v>20</v>
      </c>
      <c r="C20" s="106">
        <v>20</v>
      </c>
      <c r="D20" s="106">
        <v>120</v>
      </c>
      <c r="E20" s="106">
        <f t="shared" si="0"/>
        <v>6</v>
      </c>
      <c r="F20" s="1313" t="s">
        <v>265</v>
      </c>
      <c r="G20" s="1313" t="s">
        <v>266</v>
      </c>
      <c r="H20" s="1315" t="s">
        <v>220</v>
      </c>
    </row>
    <row r="21" spans="1:8" ht="30" customHeight="1">
      <c r="A21" s="115" t="s">
        <v>289</v>
      </c>
      <c r="B21" s="107">
        <v>30</v>
      </c>
      <c r="C21" s="107">
        <v>30</v>
      </c>
      <c r="D21" s="107">
        <v>180</v>
      </c>
      <c r="E21" s="107">
        <f t="shared" si="0"/>
        <v>6</v>
      </c>
      <c r="F21" s="1314"/>
      <c r="G21" s="1314"/>
      <c r="H21" s="1316"/>
    </row>
    <row r="22" spans="1:8" ht="30" customHeight="1">
      <c r="A22" s="115" t="s">
        <v>290</v>
      </c>
      <c r="B22" s="107">
        <v>30</v>
      </c>
      <c r="C22" s="107">
        <v>30</v>
      </c>
      <c r="D22" s="107">
        <v>180</v>
      </c>
      <c r="E22" s="108">
        <f t="shared" si="0"/>
        <v>6</v>
      </c>
      <c r="F22" s="1314"/>
      <c r="G22" s="1314"/>
      <c r="H22" s="1316"/>
    </row>
    <row r="23" spans="1:8" ht="30" customHeight="1">
      <c r="A23" s="116" t="s">
        <v>291</v>
      </c>
      <c r="B23" s="105">
        <v>15</v>
      </c>
      <c r="C23" s="105">
        <v>15</v>
      </c>
      <c r="D23" s="105">
        <v>60</v>
      </c>
      <c r="E23" s="105">
        <f t="shared" si="0"/>
        <v>4</v>
      </c>
      <c r="F23" s="1317" t="s">
        <v>267</v>
      </c>
      <c r="G23" s="1317" t="s">
        <v>268</v>
      </c>
      <c r="H23" s="1320" t="s">
        <v>227</v>
      </c>
    </row>
    <row r="24" spans="1:8" ht="30" customHeight="1">
      <c r="A24" s="116" t="s">
        <v>292</v>
      </c>
      <c r="B24" s="105">
        <v>9</v>
      </c>
      <c r="C24" s="105">
        <v>9</v>
      </c>
      <c r="D24" s="105">
        <v>36</v>
      </c>
      <c r="E24" s="105">
        <f t="shared" si="0"/>
        <v>4</v>
      </c>
      <c r="F24" s="1318"/>
      <c r="G24" s="1318"/>
      <c r="H24" s="1321"/>
    </row>
    <row r="25" spans="1:8" ht="30" customHeight="1">
      <c r="A25" s="139" t="s">
        <v>293</v>
      </c>
      <c r="B25" s="140">
        <v>32</v>
      </c>
      <c r="C25" s="140">
        <v>32</v>
      </c>
      <c r="D25" s="140">
        <v>128</v>
      </c>
      <c r="E25" s="140">
        <f>+D25/B25</f>
        <v>4</v>
      </c>
      <c r="F25" s="1319"/>
      <c r="G25" s="1319"/>
      <c r="H25" s="1322"/>
    </row>
    <row r="26" spans="1:8" ht="30" customHeight="1">
      <c r="A26" s="142"/>
      <c r="B26" s="143"/>
      <c r="C26" s="143"/>
      <c r="D26" s="143"/>
      <c r="E26" s="143"/>
      <c r="F26" s="144"/>
      <c r="G26" s="144"/>
      <c r="H26" s="95"/>
    </row>
    <row r="27" spans="1:8" ht="18" customHeight="1">
      <c r="A27" s="1345" t="s">
        <v>269</v>
      </c>
      <c r="B27" s="1345"/>
      <c r="C27" s="1345"/>
      <c r="D27" s="1345"/>
      <c r="E27" s="1345"/>
      <c r="F27" s="1345"/>
      <c r="G27" s="1345"/>
      <c r="H27" s="1345"/>
    </row>
    <row r="28" spans="1:8">
      <c r="A28" s="1345"/>
      <c r="B28" s="1345"/>
      <c r="C28" s="1345"/>
      <c r="D28" s="1345"/>
      <c r="E28" s="1345"/>
      <c r="F28" s="1345"/>
      <c r="G28" s="1345"/>
      <c r="H28" s="1345"/>
    </row>
    <row r="29" spans="1:8" ht="23.25" customHeight="1" thickBot="1">
      <c r="A29" s="1346"/>
      <c r="B29" s="1346"/>
      <c r="C29" s="1346"/>
      <c r="D29" s="1346"/>
      <c r="E29" s="1346"/>
      <c r="F29" s="1346"/>
      <c r="G29" s="1346"/>
      <c r="H29" s="1346"/>
    </row>
    <row r="30" spans="1:8" ht="35.1" customHeight="1">
      <c r="A30" s="1217" t="s">
        <v>255</v>
      </c>
      <c r="B30" s="1218" t="s">
        <v>256</v>
      </c>
      <c r="C30" s="1218" t="s">
        <v>257</v>
      </c>
      <c r="D30" s="1218" t="s">
        <v>304</v>
      </c>
      <c r="E30" s="1218" t="s">
        <v>303</v>
      </c>
      <c r="F30" s="1218" t="s">
        <v>259</v>
      </c>
      <c r="G30" s="1218" t="s">
        <v>260</v>
      </c>
      <c r="H30" s="1219" t="s">
        <v>273</v>
      </c>
    </row>
    <row r="31" spans="1:8" ht="35.1" customHeight="1" thickBot="1">
      <c r="A31" s="1301"/>
      <c r="B31" s="1236"/>
      <c r="C31" s="1236"/>
      <c r="D31" s="1236"/>
      <c r="E31" s="1236"/>
      <c r="F31" s="1236"/>
      <c r="G31" s="1236"/>
      <c r="H31" s="1237"/>
    </row>
    <row r="32" spans="1:8" ht="35.1" customHeight="1" thickTop="1">
      <c r="A32" s="129" t="s">
        <v>297</v>
      </c>
      <c r="B32" s="123">
        <v>16</v>
      </c>
      <c r="C32" s="123">
        <v>16</v>
      </c>
      <c r="D32" s="123">
        <v>192</v>
      </c>
      <c r="E32" s="123">
        <f t="shared" ref="E32:E38" si="1">+D32/B32</f>
        <v>12</v>
      </c>
      <c r="F32" s="1311" t="s">
        <v>264</v>
      </c>
      <c r="G32" s="1311" t="s">
        <v>270</v>
      </c>
      <c r="H32" s="1316" t="s">
        <v>220</v>
      </c>
    </row>
    <row r="33" spans="1:14" ht="35.1" customHeight="1">
      <c r="A33" s="130" t="s">
        <v>298</v>
      </c>
      <c r="B33" s="124">
        <v>16</v>
      </c>
      <c r="C33" s="124">
        <v>16</v>
      </c>
      <c r="D33" s="124">
        <v>192</v>
      </c>
      <c r="E33" s="124">
        <f t="shared" si="1"/>
        <v>12</v>
      </c>
      <c r="F33" s="1311"/>
      <c r="G33" s="1311"/>
      <c r="H33" s="1316"/>
    </row>
    <row r="34" spans="1:14" ht="35.1" customHeight="1">
      <c r="A34" s="131" t="s">
        <v>299</v>
      </c>
      <c r="B34" s="124">
        <v>24</v>
      </c>
      <c r="C34" s="124">
        <v>24</v>
      </c>
      <c r="D34" s="124">
        <v>288</v>
      </c>
      <c r="E34" s="124">
        <f t="shared" si="1"/>
        <v>12</v>
      </c>
      <c r="F34" s="1311"/>
      <c r="G34" s="1311"/>
      <c r="H34" s="1316"/>
    </row>
    <row r="35" spans="1:14" ht="35.1" customHeight="1" thickBot="1">
      <c r="A35" s="132" t="s">
        <v>302</v>
      </c>
      <c r="B35" s="125">
        <v>18</v>
      </c>
      <c r="C35" s="125">
        <v>18</v>
      </c>
      <c r="D35" s="125">
        <v>216</v>
      </c>
      <c r="E35" s="125">
        <f t="shared" si="1"/>
        <v>12</v>
      </c>
      <c r="F35" s="1312"/>
      <c r="G35" s="1312"/>
      <c r="H35" s="1333"/>
    </row>
    <row r="36" spans="1:14" ht="35.1" customHeight="1">
      <c r="A36" s="133" t="s">
        <v>300</v>
      </c>
      <c r="B36" s="126">
        <v>24</v>
      </c>
      <c r="C36" s="126">
        <v>24</v>
      </c>
      <c r="D36" s="126">
        <v>576</v>
      </c>
      <c r="E36" s="126">
        <f t="shared" si="1"/>
        <v>24</v>
      </c>
      <c r="F36" s="1331" t="s">
        <v>295</v>
      </c>
      <c r="G36" s="1331" t="s">
        <v>271</v>
      </c>
      <c r="H36" s="1334" t="s">
        <v>220</v>
      </c>
    </row>
    <row r="37" spans="1:14" ht="35.1" customHeight="1" thickBot="1">
      <c r="A37" s="134" t="s">
        <v>301</v>
      </c>
      <c r="B37" s="127">
        <v>24</v>
      </c>
      <c r="C37" s="127">
        <v>24</v>
      </c>
      <c r="D37" s="127">
        <v>576</v>
      </c>
      <c r="E37" s="127">
        <f>D37/B37</f>
        <v>24</v>
      </c>
      <c r="F37" s="1332"/>
      <c r="G37" s="1332"/>
      <c r="H37" s="1335"/>
    </row>
    <row r="38" spans="1:14" ht="35.1" customHeight="1" thickBot="1">
      <c r="A38" s="135" t="s">
        <v>305</v>
      </c>
      <c r="B38" s="128">
        <v>12</v>
      </c>
      <c r="C38" s="128">
        <v>1</v>
      </c>
      <c r="D38" s="128">
        <v>72</v>
      </c>
      <c r="E38" s="128">
        <f t="shared" si="1"/>
        <v>6</v>
      </c>
      <c r="F38" s="121" t="s">
        <v>296</v>
      </c>
      <c r="G38" s="121" t="s">
        <v>274</v>
      </c>
      <c r="H38" s="122" t="s">
        <v>220</v>
      </c>
    </row>
    <row r="39" spans="1:14" ht="15.75">
      <c r="A39" s="96"/>
      <c r="B39" s="97"/>
      <c r="C39" s="97"/>
      <c r="D39" s="97"/>
      <c r="E39" s="97"/>
      <c r="F39" s="98"/>
      <c r="G39" s="98"/>
      <c r="H39" s="94"/>
    </row>
    <row r="42" spans="1:14">
      <c r="I42" s="119"/>
      <c r="J42" s="119"/>
      <c r="K42" s="119"/>
      <c r="L42" s="119"/>
      <c r="M42" s="119"/>
      <c r="N42" s="119"/>
    </row>
    <row r="43" spans="1:14">
      <c r="I43" s="119"/>
      <c r="J43" s="119"/>
      <c r="K43" s="119"/>
      <c r="L43" s="119"/>
      <c r="M43" s="119"/>
      <c r="N43" s="119"/>
    </row>
    <row r="44" spans="1:14">
      <c r="I44" s="119"/>
      <c r="J44" s="119"/>
      <c r="K44" s="119"/>
      <c r="L44" s="119"/>
      <c r="M44" s="119"/>
      <c r="N44" s="119"/>
    </row>
    <row r="45" spans="1:14">
      <c r="I45" s="119"/>
      <c r="J45" s="119"/>
      <c r="K45" s="119"/>
      <c r="L45" s="119"/>
      <c r="M45" s="119"/>
      <c r="N45" s="119"/>
    </row>
    <row r="46" spans="1:14">
      <c r="I46" s="119"/>
      <c r="J46" s="119"/>
      <c r="K46" s="119"/>
      <c r="L46" s="119"/>
      <c r="M46" s="119"/>
      <c r="N46" s="119"/>
    </row>
    <row r="47" spans="1:14">
      <c r="I47" s="119"/>
      <c r="J47" s="119"/>
      <c r="K47" s="119"/>
      <c r="L47" s="119"/>
      <c r="M47" s="119"/>
      <c r="N47" s="119"/>
    </row>
  </sheetData>
  <mergeCells count="39">
    <mergeCell ref="F11:F18"/>
    <mergeCell ref="E30:E31"/>
    <mergeCell ref="A3:A4"/>
    <mergeCell ref="B3:B4"/>
    <mergeCell ref="C3:C4"/>
    <mergeCell ref="D3:D4"/>
    <mergeCell ref="E3:E4"/>
    <mergeCell ref="F36:F37"/>
    <mergeCell ref="G36:G37"/>
    <mergeCell ref="H32:H35"/>
    <mergeCell ref="H36:H37"/>
    <mergeCell ref="G5:G7"/>
    <mergeCell ref="F5:F7"/>
    <mergeCell ref="G8:G10"/>
    <mergeCell ref="F8:F10"/>
    <mergeCell ref="H5:H7"/>
    <mergeCell ref="A27:H29"/>
    <mergeCell ref="F30:F31"/>
    <mergeCell ref="G30:G31"/>
    <mergeCell ref="A30:A31"/>
    <mergeCell ref="B30:B31"/>
    <mergeCell ref="C30:C31"/>
    <mergeCell ref="D30:D31"/>
    <mergeCell ref="A1:H1"/>
    <mergeCell ref="H30:H31"/>
    <mergeCell ref="F32:F35"/>
    <mergeCell ref="G32:G35"/>
    <mergeCell ref="F20:F22"/>
    <mergeCell ref="G20:G22"/>
    <mergeCell ref="H20:H22"/>
    <mergeCell ref="F23:F25"/>
    <mergeCell ref="G23:G25"/>
    <mergeCell ref="H23:H25"/>
    <mergeCell ref="H8:H10"/>
    <mergeCell ref="G11:G15"/>
    <mergeCell ref="H11:H18"/>
    <mergeCell ref="F3:F4"/>
    <mergeCell ref="G3:G4"/>
    <mergeCell ref="H3:H4"/>
  </mergeCells>
  <pageMargins left="0.98" right="0" top="0.98" bottom="0.5" header="0" footer="0"/>
  <pageSetup paperSize="9" scale="80" orientation="landscape" verticalDpi="0" r:id="rId1"/>
  <headerFooter>
    <oddHeader>&amp;L&amp;"Arial Black,Regular"PT.QUTY KARUNIA&amp;R18/07/2013</oddHeader>
  </headerFooter>
  <rowBreaks count="1" manualBreakCount="1">
    <brk id="2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I36"/>
  <sheetViews>
    <sheetView topLeftCell="A22" workbookViewId="0">
      <selection activeCell="L30" sqref="L30"/>
    </sheetView>
  </sheetViews>
  <sheetFormatPr defaultRowHeight="15"/>
  <cols>
    <col min="2" max="2" width="7.5703125" customWidth="1"/>
    <col min="4" max="4" width="8.5703125" customWidth="1"/>
    <col min="6" max="6" width="11.28515625" customWidth="1"/>
    <col min="9" max="9" width="12" customWidth="1"/>
  </cols>
  <sheetData>
    <row r="2" spans="1:9" ht="21">
      <c r="A2" s="1347" t="s">
        <v>306</v>
      </c>
      <c r="B2" s="1347"/>
      <c r="C2" s="1347"/>
      <c r="D2" s="1347"/>
      <c r="E2" s="1347"/>
      <c r="F2" s="1347"/>
      <c r="G2" s="1347"/>
    </row>
    <row r="3" spans="1:9" ht="15.75" thickBot="1"/>
    <row r="4" spans="1:9" ht="15" customHeight="1">
      <c r="B4" s="1358"/>
      <c r="C4" s="1359"/>
      <c r="D4" s="1359"/>
      <c r="E4" s="1359"/>
      <c r="F4" s="1360"/>
    </row>
    <row r="5" spans="1:9" ht="15" customHeight="1">
      <c r="B5" s="1361"/>
      <c r="C5" s="1362"/>
      <c r="D5" s="1362"/>
      <c r="E5" s="1362"/>
      <c r="F5" s="1363"/>
      <c r="H5" s="1357" t="s">
        <v>307</v>
      </c>
      <c r="I5" s="1357"/>
    </row>
    <row r="6" spans="1:9" ht="15" customHeight="1">
      <c r="B6" s="1361"/>
      <c r="C6" s="1362"/>
      <c r="D6" s="1362"/>
      <c r="E6" s="1362"/>
      <c r="F6" s="1363"/>
    </row>
    <row r="7" spans="1:9" ht="15" customHeight="1">
      <c r="B7" s="1361"/>
      <c r="C7" s="1362"/>
      <c r="D7" s="1362"/>
      <c r="E7" s="1362"/>
      <c r="F7" s="1363"/>
      <c r="H7" s="90" t="s">
        <v>308</v>
      </c>
      <c r="I7" s="90"/>
    </row>
    <row r="8" spans="1:9" ht="24" customHeight="1" thickBot="1">
      <c r="B8" s="1364"/>
      <c r="C8" s="1365"/>
      <c r="D8" s="1365"/>
      <c r="E8" s="1365"/>
      <c r="F8" s="1366"/>
    </row>
    <row r="9" spans="1:9" ht="21">
      <c r="B9" s="136"/>
      <c r="C9" s="136"/>
      <c r="D9" s="136"/>
      <c r="E9" s="136"/>
      <c r="F9" s="136"/>
    </row>
    <row r="10" spans="1:9" ht="21">
      <c r="B10" s="1347" t="s">
        <v>309</v>
      </c>
      <c r="C10" s="1347"/>
      <c r="D10" s="1347"/>
      <c r="E10" s="1347"/>
      <c r="F10" s="1347"/>
    </row>
    <row r="11" spans="1:9" ht="15.75" thickBot="1"/>
    <row r="12" spans="1:9">
      <c r="B12" s="1348"/>
      <c r="C12" s="1349"/>
      <c r="D12" s="1349"/>
      <c r="E12" s="1349"/>
      <c r="F12" s="1350"/>
    </row>
    <row r="13" spans="1:9">
      <c r="B13" s="1351"/>
      <c r="C13" s="1352"/>
      <c r="D13" s="1352"/>
      <c r="E13" s="1352"/>
      <c r="F13" s="1353"/>
    </row>
    <row r="14" spans="1:9">
      <c r="B14" s="1351"/>
      <c r="C14" s="1352"/>
      <c r="D14" s="1352"/>
      <c r="E14" s="1352"/>
      <c r="F14" s="1353"/>
      <c r="H14" s="1367" t="s">
        <v>311</v>
      </c>
      <c r="I14" s="1367"/>
    </row>
    <row r="15" spans="1:9">
      <c r="B15" s="1351"/>
      <c r="C15" s="1352"/>
      <c r="D15" s="1352"/>
      <c r="E15" s="1352"/>
      <c r="F15" s="1353"/>
    </row>
    <row r="16" spans="1:9" ht="15.75" thickBot="1">
      <c r="B16" s="1354"/>
      <c r="C16" s="1355"/>
      <c r="D16" s="1355"/>
      <c r="E16" s="1355"/>
      <c r="F16" s="1356"/>
      <c r="G16" t="s">
        <v>429</v>
      </c>
    </row>
    <row r="17" spans="2:9">
      <c r="B17" s="120"/>
      <c r="C17" s="120"/>
      <c r="D17" s="120"/>
      <c r="E17" s="120"/>
      <c r="F17" s="120"/>
    </row>
    <row r="18" spans="2:9" ht="15.75" thickBot="1">
      <c r="B18" s="120"/>
      <c r="C18" s="120"/>
      <c r="D18" s="120"/>
      <c r="E18" s="120"/>
      <c r="F18" s="120"/>
    </row>
    <row r="19" spans="2:9">
      <c r="B19" s="1348"/>
      <c r="C19" s="1349"/>
      <c r="D19" s="1349"/>
      <c r="E19" s="1349"/>
      <c r="F19" s="1350"/>
    </row>
    <row r="20" spans="2:9">
      <c r="B20" s="1351"/>
      <c r="C20" s="1352"/>
      <c r="D20" s="1352"/>
      <c r="E20" s="1352"/>
      <c r="F20" s="1353"/>
    </row>
    <row r="21" spans="2:9">
      <c r="B21" s="1351"/>
      <c r="C21" s="1352"/>
      <c r="D21" s="1352"/>
      <c r="E21" s="1352"/>
      <c r="F21" s="1353"/>
      <c r="H21" s="1367" t="s">
        <v>311</v>
      </c>
      <c r="I21" s="1367"/>
    </row>
    <row r="22" spans="2:9">
      <c r="B22" s="1351"/>
      <c r="C22" s="1352"/>
      <c r="D22" s="1352"/>
      <c r="E22" s="1352"/>
      <c r="F22" s="1353"/>
    </row>
    <row r="23" spans="2:9" ht="15.75" thickBot="1">
      <c r="B23" s="1354"/>
      <c r="C23" s="1355"/>
      <c r="D23" s="1355"/>
      <c r="E23" s="1355"/>
      <c r="F23" s="1356"/>
      <c r="G23" t="s">
        <v>430</v>
      </c>
    </row>
    <row r="24" spans="2:9">
      <c r="B24" s="351"/>
      <c r="C24" s="351"/>
      <c r="D24" s="351"/>
      <c r="E24" s="351"/>
      <c r="F24" s="351"/>
    </row>
    <row r="25" spans="2:9" ht="21">
      <c r="B25" s="1347" t="s">
        <v>310</v>
      </c>
      <c r="C25" s="1347"/>
      <c r="D25" s="1347"/>
      <c r="E25" s="1347"/>
      <c r="F25" s="1347"/>
    </row>
    <row r="26" spans="2:9" ht="15.75" thickBot="1"/>
    <row r="27" spans="2:9">
      <c r="B27" s="1348"/>
      <c r="C27" s="1349"/>
      <c r="D27" s="1349"/>
      <c r="E27" s="1349"/>
      <c r="F27" s="1350"/>
    </row>
    <row r="28" spans="2:9">
      <c r="B28" s="1351"/>
      <c r="C28" s="1352"/>
      <c r="D28" s="1352"/>
      <c r="E28" s="1352"/>
      <c r="F28" s="1353"/>
    </row>
    <row r="29" spans="2:9">
      <c r="B29" s="1351"/>
      <c r="C29" s="1352"/>
      <c r="D29" s="1352"/>
      <c r="E29" s="1352"/>
      <c r="F29" s="1353"/>
    </row>
    <row r="30" spans="2:9">
      <c r="B30" s="1351"/>
      <c r="C30" s="1352"/>
      <c r="D30" s="1352"/>
      <c r="E30" s="1352"/>
      <c r="F30" s="1353"/>
    </row>
    <row r="31" spans="2:9">
      <c r="B31" s="1351"/>
      <c r="C31" s="1352"/>
      <c r="D31" s="1352"/>
      <c r="E31" s="1352"/>
      <c r="F31" s="1353"/>
      <c r="H31" s="1357" t="s">
        <v>312</v>
      </c>
      <c r="I31" s="1357"/>
    </row>
    <row r="32" spans="2:9">
      <c r="B32" s="1351"/>
      <c r="C32" s="1352"/>
      <c r="D32" s="1352"/>
      <c r="E32" s="1352"/>
      <c r="F32" s="1353"/>
    </row>
    <row r="33" spans="2:7">
      <c r="B33" s="1351"/>
      <c r="C33" s="1352"/>
      <c r="D33" s="1352"/>
      <c r="E33" s="1352"/>
      <c r="F33" s="1353"/>
    </row>
    <row r="34" spans="2:7">
      <c r="B34" s="1351"/>
      <c r="C34" s="1352"/>
      <c r="D34" s="1352"/>
      <c r="E34" s="1352"/>
      <c r="F34" s="1353"/>
    </row>
    <row r="35" spans="2:7">
      <c r="B35" s="1351"/>
      <c r="C35" s="1352"/>
      <c r="D35" s="1352"/>
      <c r="E35" s="1352"/>
      <c r="F35" s="1353"/>
    </row>
    <row r="36" spans="2:7" ht="15.75" thickBot="1">
      <c r="B36" s="1354"/>
      <c r="C36" s="1355"/>
      <c r="D36" s="1355"/>
      <c r="E36" s="1355"/>
      <c r="F36" s="1356"/>
      <c r="G36" t="s">
        <v>430</v>
      </c>
    </row>
  </sheetData>
  <mergeCells count="11">
    <mergeCell ref="B10:F10"/>
    <mergeCell ref="B27:F36"/>
    <mergeCell ref="A2:G2"/>
    <mergeCell ref="H5:I5"/>
    <mergeCell ref="B12:F16"/>
    <mergeCell ref="B4:F8"/>
    <mergeCell ref="B25:F25"/>
    <mergeCell ref="H14:I14"/>
    <mergeCell ref="H31:I31"/>
    <mergeCell ref="B19:F23"/>
    <mergeCell ref="H21:I21"/>
  </mergeCells>
  <pageMargins left="0.7" right="0.7" top="0.75" bottom="0.75" header="0.3" footer="0.3"/>
  <pageSetup paperSize="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E9"/>
    </sheetView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32</vt:i4>
      </vt:variant>
    </vt:vector>
  </HeadingPairs>
  <TitlesOfParts>
    <vt:vector size="68" baseType="lpstr">
      <vt:lpstr>114x76x31 </vt:lpstr>
      <vt:lpstr>114x38x23 </vt:lpstr>
      <vt:lpstr>38x38x31 </vt:lpstr>
      <vt:lpstr>detail klappar  </vt:lpstr>
      <vt:lpstr>76x57x96</vt:lpstr>
      <vt:lpstr>76x57x31</vt:lpstr>
      <vt:lpstr>detail klappar</vt:lpstr>
      <vt:lpstr>Lk. Cirkus Playmat (AP &amp; NA)</vt:lpstr>
      <vt:lpstr>Poang OKE</vt:lpstr>
      <vt:lpstr>Poang article</vt:lpstr>
      <vt:lpstr>New 2024</vt:lpstr>
      <vt:lpstr>Running artcl JUN 2025 </vt:lpstr>
      <vt:lpstr>Running artcl jan 2025</vt:lpstr>
      <vt:lpstr>Running artcl jan 2024</vt:lpstr>
      <vt:lpstr>Running artcl Sept 2023 </vt:lpstr>
      <vt:lpstr>Running artcl Agust 2023</vt:lpstr>
      <vt:lpstr>Running artcl juli 2022</vt:lpstr>
      <vt:lpstr>Sactbs 22</vt:lpstr>
      <vt:lpstr>SACTBAS 21</vt:lpstr>
      <vt:lpstr>Bertile&amp;Padruf</vt:lpstr>
      <vt:lpstr>Running artcl juli 2019</vt:lpstr>
      <vt:lpstr>JATTELIK</vt:lpstr>
      <vt:lpstr>SACTBS 2018</vt:lpstr>
      <vt:lpstr>Running artcl (OKTBER 2018)</vt:lpstr>
      <vt:lpstr>SACTBS 2017</vt:lpstr>
      <vt:lpstr>SACTBS 2016</vt:lpstr>
      <vt:lpstr>SACTBS 2015 </vt:lpstr>
      <vt:lpstr>SACTBS 2014 </vt:lpstr>
      <vt:lpstr>Running artcl (SEPTEMBER 17 (2)</vt:lpstr>
      <vt:lpstr>Running artcl (OKTBER 2017 )</vt:lpstr>
      <vt:lpstr>ALL ITEM SIZE CTN( RUNNING )</vt:lpstr>
      <vt:lpstr>Gosig range</vt:lpstr>
      <vt:lpstr>POLYBAG SIZE</vt:lpstr>
      <vt:lpstr>SACBTAS &amp;  SBAS 2013</vt:lpstr>
      <vt:lpstr>KAKI PALLET</vt:lpstr>
      <vt:lpstr>Sheet2</vt:lpstr>
      <vt:lpstr>'76x57x31'!Print_Area</vt:lpstr>
      <vt:lpstr>'ALL ITEM SIZE CTN( RUNNING )'!Print_Area</vt:lpstr>
      <vt:lpstr>'Gosig range'!Print_Area</vt:lpstr>
      <vt:lpstr>'KAKI PALLET'!Print_Area</vt:lpstr>
      <vt:lpstr>'Lk. Cirkus Playmat (AP &amp; NA)'!Print_Area</vt:lpstr>
      <vt:lpstr>'Poang article'!Print_Area</vt:lpstr>
      <vt:lpstr>'POLYBAG SIZE'!Print_Area</vt:lpstr>
      <vt:lpstr>'Running artcl (OKTBER 2017 )'!Print_Area</vt:lpstr>
      <vt:lpstr>'Running artcl (OKTBER 2018)'!Print_Area</vt:lpstr>
      <vt:lpstr>'Running artcl Agust 2023'!Print_Area</vt:lpstr>
      <vt:lpstr>'Running artcl jan 2024'!Print_Area</vt:lpstr>
      <vt:lpstr>'Running artcl Sept 2023 '!Print_Area</vt:lpstr>
      <vt:lpstr>'SACBTAS &amp;  SBAS 2013'!Print_Area</vt:lpstr>
      <vt:lpstr>'SACTBAS 21'!Print_Area</vt:lpstr>
      <vt:lpstr>'SACTBS 2014 '!Print_Area</vt:lpstr>
      <vt:lpstr>'SACTBS 2015 '!Print_Area</vt:lpstr>
      <vt:lpstr>'SACTBS 2016'!Print_Area</vt:lpstr>
      <vt:lpstr>'SACTBS 2017'!Print_Area</vt:lpstr>
      <vt:lpstr>'Sactbs 22'!Print_Area</vt:lpstr>
      <vt:lpstr>Sheet2!Print_Area</vt:lpstr>
      <vt:lpstr>'76x57x31'!Print_Titles</vt:lpstr>
      <vt:lpstr>'ALL ITEM SIZE CTN( RUNNING )'!Print_Titles</vt:lpstr>
      <vt:lpstr>'POLYBAG SIZE'!Print_Titles</vt:lpstr>
      <vt:lpstr>'Running artcl (OKTBER 2017 )'!Print_Titles</vt:lpstr>
      <vt:lpstr>'Running artcl (OKTBER 2018)'!Print_Titles</vt:lpstr>
      <vt:lpstr>'Running artcl Agust 2023'!Print_Titles</vt:lpstr>
      <vt:lpstr>'Running artcl jan 2024'!Print_Titles</vt:lpstr>
      <vt:lpstr>'Running artcl jan 2025'!Print_Titles</vt:lpstr>
      <vt:lpstr>'Running artcl juli 2019'!Print_Titles</vt:lpstr>
      <vt:lpstr>'Running artcl juli 2022'!Print_Titles</vt:lpstr>
      <vt:lpstr>'Running artcl JUN 2025 '!Print_Titles</vt:lpstr>
      <vt:lpstr>'Running artcl Sept 2023 '!Print_Titles</vt:lpstr>
    </vt:vector>
  </TitlesOfParts>
  <Company>PT.Quty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Mr.Lym</dc:creator>
  <cp:lastModifiedBy>Elmi</cp:lastModifiedBy>
  <cp:lastPrinted>2025-05-14T05:35:05Z</cp:lastPrinted>
  <dcterms:created xsi:type="dcterms:W3CDTF">2011-12-06T01:14:55Z</dcterms:created>
  <dcterms:modified xsi:type="dcterms:W3CDTF">2025-10-07T00:58:21Z</dcterms:modified>
</cp:coreProperties>
</file>